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bookViews>
    <workbookView xWindow="-24825" yWindow="-2025" windowWidth="15480" windowHeight="7695" tabRatio="831" firstSheet="2" activeTab="9"/>
  </bookViews>
  <sheets>
    <sheet name="Balance general" sheetId="29" state="hidden" r:id="rId1"/>
    <sheet name="Estado de resultados" sheetId="30" state="hidden" r:id="rId2"/>
    <sheet name="Balance" sheetId="1" r:id="rId3"/>
    <sheet name="Resultados" sheetId="2" r:id="rId4"/>
    <sheet name="FCL" sheetId="9" r:id="rId5"/>
    <sheet name="Imptos." sheetId="7" r:id="rId6"/>
    <sheet name="CapitalFijo" sheetId="6" r:id="rId7"/>
    <sheet name="PasivoFciero." sheetId="8" r:id="rId8"/>
    <sheet name="Supuestos" sheetId="21" r:id="rId9"/>
    <sheet name="Valoraciones" sheetId="17" r:id="rId10"/>
    <sheet name="VPN Cascada" sheetId="18" r:id="rId11"/>
    <sheet name="Tabla Comparación" sheetId="19" r:id="rId12"/>
    <sheet name="AnalVr." sheetId="10" r:id="rId13"/>
    <sheet name="AnalVr.Proy." sheetId="15" state="hidden" r:id="rId14"/>
    <sheet name="Base impuesto" sheetId="36" r:id="rId15"/>
    <sheet name="Indicadores" sheetId="13" r:id="rId16"/>
    <sheet name="KWOp." sheetId="4" r:id="rId17"/>
    <sheet name="KWOp.%" sheetId="5" r:id="rId18"/>
    <sheet name="Proy.WACC" sheetId="38" r:id="rId19"/>
    <sheet name="Conversión tasas" sheetId="14" r:id="rId20"/>
    <sheet name="Proy.FCL" sheetId="16" state="hidden" r:id="rId21"/>
    <sheet name="CreaciónVr." sheetId="11" r:id="rId22"/>
    <sheet name="Resultados%" sheetId="3" r:id="rId23"/>
    <sheet name="Deuda nueva" sheetId="40" r:id="rId24"/>
    <sheet name="Deuda actual " sheetId="35" r:id="rId25"/>
    <sheet name="Retornos año" sheetId="42" r:id="rId26"/>
    <sheet name="LIBOR" sheetId="39" r:id="rId27"/>
    <sheet name="Generadores" sheetId="12" state="hidden" r:id="rId28"/>
    <sheet name="DTF" sheetId="31" r:id="rId29"/>
    <sheet name="TRM" sheetId="37" r:id="rId30"/>
    <sheet name="Risk" sheetId="20" state="hidden" r:id="rId31"/>
    <sheet name="Beta Damodarán" sheetId="28" r:id="rId32"/>
  </sheets>
  <externalReferences>
    <externalReference r:id="rId33"/>
    <externalReference r:id="rId34"/>
    <externalReference r:id="rId35"/>
    <externalReference r:id="rId36"/>
    <externalReference r:id="rId37"/>
  </externalReferences>
  <definedNames>
    <definedName name="AnalVr.">AnalVr.!$A$1</definedName>
    <definedName name="AnalVr.Proy.">AnalVr.Proy.!$A$1</definedName>
    <definedName name="_xlnm.Print_Area" localSheetId="15">Indicadores!$A$1:$G$28</definedName>
    <definedName name="BG" localSheetId="31">[1]Balance!$A$1</definedName>
    <definedName name="BG" localSheetId="24">[2]Balance!$A$1</definedName>
    <definedName name="BG" localSheetId="23">[2]Balance!$A$1</definedName>
    <definedName name="BG" localSheetId="18">[3]Balance!$A$1</definedName>
    <definedName name="BG">Balance!$A$1</definedName>
    <definedName name="CapitalFijo">CapitalFijo!$A$1</definedName>
    <definedName name="CreaciónVr.">CreaciónVr.!$A$1</definedName>
    <definedName name="ER">Resultados!$A$1</definedName>
    <definedName name="FCL">FCL!$A$42</definedName>
    <definedName name="Generadores">Generadores!$A$1</definedName>
    <definedName name="HTML_CodePage" hidden="1">1252</definedName>
    <definedName name="HTML_Control" localSheetId="24" hidden="1">{"'Sheet1'!$A$1:$G$85"}</definedName>
    <definedName name="HTML_Control" localSheetId="23" hidden="1">{"'Sheet1'!$A$1:$G$85"}</definedName>
    <definedName name="HTML_Control" localSheetId="25"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mptos.">Imptos.!$A$1</definedName>
    <definedName name="KWOp.">KWOp.!$A$1</definedName>
    <definedName name="PASIVOFCIERO">PasivoFciero.!$A$1</definedName>
    <definedName name="Proy.Cifras">Indicadores!$A$1</definedName>
    <definedName name="Proy.FCL">Proy.FCL!$A$1</definedName>
    <definedName name="Renete" localSheetId="31">#REF!</definedName>
    <definedName name="Renete" localSheetId="24">#REF!</definedName>
    <definedName name="Renete" localSheetId="23">#REF!</definedName>
    <definedName name="Renete" localSheetId="18">#REF!</definedName>
    <definedName name="Renete">#REF!</definedName>
    <definedName name="_xlnm.Print_Titles" localSheetId="4">FCL!$1:$5</definedName>
    <definedName name="_xlnm.Print_Titles" localSheetId="20">Proy.FCL!$1:$5</definedName>
    <definedName name="_xlnm.Print_Titles" localSheetId="9">Valoraciones!$1:$3</definedName>
    <definedName name="Valoraciones">Valoraciones!$A$1</definedName>
    <definedName name="WACC" localSheetId="24">[2]Proy.WACC!#REF!</definedName>
    <definedName name="WACC" localSheetId="23">[2]Proy.WACC!#REF!</definedName>
    <definedName name="WACC" localSheetId="18">Proy.WACC!$A$1</definedName>
    <definedName name="WACC">'Conversión tasas'!#REF!</definedName>
  </definedNames>
  <calcPr calcId="144525"/>
</workbook>
</file>

<file path=xl/calcChain.xml><?xml version="1.0" encoding="utf-8"?>
<calcChain xmlns="http://schemas.openxmlformats.org/spreadsheetml/2006/main">
  <c r="C57" i="38" l="1"/>
  <c r="D57" i="38"/>
  <c r="E57" i="38"/>
  <c r="F57" i="38"/>
  <c r="G57" i="38"/>
  <c r="B57" i="38"/>
  <c r="C56" i="38"/>
  <c r="D56" i="38"/>
  <c r="E56" i="38"/>
  <c r="F56" i="38"/>
  <c r="G56" i="38"/>
  <c r="B56" i="38"/>
  <c r="E35" i="13" l="1"/>
  <c r="A8" i="38"/>
  <c r="A6" i="38"/>
  <c r="B107" i="42" l="1"/>
  <c r="B8" i="38"/>
  <c r="C8" i="38" s="1"/>
  <c r="D8" i="38" s="1"/>
  <c r="E8" i="38" s="1"/>
  <c r="F8" i="38" s="1"/>
  <c r="G8" i="38" s="1"/>
  <c r="H8" i="38" s="1"/>
  <c r="B7" i="38"/>
  <c r="D103" i="42"/>
  <c r="D98" i="42"/>
  <c r="B98" i="42"/>
  <c r="H98" i="42" s="1"/>
  <c r="D97" i="42"/>
  <c r="B97" i="42"/>
  <c r="H97" i="42" s="1"/>
  <c r="D96" i="42"/>
  <c r="B96" i="42"/>
  <c r="H96" i="42" s="1"/>
  <c r="I95" i="42"/>
  <c r="D95" i="42"/>
  <c r="B95" i="42"/>
  <c r="H95" i="42" s="1"/>
  <c r="I94" i="42"/>
  <c r="D94" i="42"/>
  <c r="C94" i="42"/>
  <c r="B94" i="42"/>
  <c r="D93" i="42"/>
  <c r="C93" i="42"/>
  <c r="B93" i="42"/>
  <c r="I93" i="42" s="1"/>
  <c r="I92" i="42"/>
  <c r="D92" i="42"/>
  <c r="C92" i="42"/>
  <c r="B92" i="42"/>
  <c r="D91" i="42"/>
  <c r="C91" i="42"/>
  <c r="B91" i="42"/>
  <c r="I91" i="42" s="1"/>
  <c r="I90" i="42"/>
  <c r="D90" i="42"/>
  <c r="C90" i="42"/>
  <c r="B90" i="42"/>
  <c r="D89" i="42"/>
  <c r="C89" i="42"/>
  <c r="B89" i="42"/>
  <c r="I89" i="42" s="1"/>
  <c r="I88" i="42"/>
  <c r="D88" i="42"/>
  <c r="C88" i="42"/>
  <c r="B88" i="42"/>
  <c r="D87" i="42"/>
  <c r="C87" i="42"/>
  <c r="B87" i="42"/>
  <c r="I87" i="42" s="1"/>
  <c r="I86" i="42"/>
  <c r="D86" i="42"/>
  <c r="C86" i="42"/>
  <c r="B86" i="42"/>
  <c r="D85" i="42"/>
  <c r="C85" i="42"/>
  <c r="B85" i="42"/>
  <c r="I85" i="42" s="1"/>
  <c r="I84" i="42"/>
  <c r="D84" i="42"/>
  <c r="C84" i="42"/>
  <c r="B84" i="42"/>
  <c r="D83" i="42"/>
  <c r="C83" i="42"/>
  <c r="B83" i="42"/>
  <c r="I83" i="42" s="1"/>
  <c r="I82" i="42"/>
  <c r="D82" i="42"/>
  <c r="C82" i="42"/>
  <c r="B82" i="42"/>
  <c r="D81" i="42"/>
  <c r="C81" i="42"/>
  <c r="B81" i="42"/>
  <c r="I81" i="42" s="1"/>
  <c r="I80" i="42"/>
  <c r="D80" i="42"/>
  <c r="C80" i="42"/>
  <c r="B80" i="42"/>
  <c r="D79" i="42"/>
  <c r="C79" i="42"/>
  <c r="B79" i="42"/>
  <c r="I79" i="42" s="1"/>
  <c r="I78" i="42"/>
  <c r="D78" i="42"/>
  <c r="C78" i="42"/>
  <c r="B78" i="42"/>
  <c r="D77" i="42"/>
  <c r="C77" i="42"/>
  <c r="B77" i="42"/>
  <c r="I77" i="42" s="1"/>
  <c r="I76" i="42"/>
  <c r="D76" i="42"/>
  <c r="C76" i="42"/>
  <c r="B76" i="42"/>
  <c r="D75" i="42"/>
  <c r="C75" i="42"/>
  <c r="B75" i="42"/>
  <c r="I75" i="42" s="1"/>
  <c r="I74" i="42"/>
  <c r="D74" i="42"/>
  <c r="C74" i="42"/>
  <c r="B74" i="42"/>
  <c r="D73" i="42"/>
  <c r="C73" i="42"/>
  <c r="B73" i="42"/>
  <c r="I73" i="42" s="1"/>
  <c r="I72" i="42"/>
  <c r="D72" i="42"/>
  <c r="C72" i="42"/>
  <c r="B72" i="42"/>
  <c r="D71" i="42"/>
  <c r="C71" i="42"/>
  <c r="B71" i="42"/>
  <c r="I71" i="42" s="1"/>
  <c r="I70" i="42"/>
  <c r="D70" i="42"/>
  <c r="C70" i="42"/>
  <c r="B70" i="42"/>
  <c r="D69" i="42"/>
  <c r="C69" i="42"/>
  <c r="B69" i="42"/>
  <c r="I69" i="42" s="1"/>
  <c r="I68" i="42"/>
  <c r="D68" i="42"/>
  <c r="C68" i="42"/>
  <c r="B68" i="42"/>
  <c r="D67" i="42"/>
  <c r="C67" i="42"/>
  <c r="B67" i="42"/>
  <c r="I67" i="42" s="1"/>
  <c r="I66" i="42"/>
  <c r="D66" i="42"/>
  <c r="C66" i="42"/>
  <c r="B66" i="42"/>
  <c r="D65" i="42"/>
  <c r="C65" i="42"/>
  <c r="B65" i="42"/>
  <c r="I65" i="42" s="1"/>
  <c r="I64" i="42"/>
  <c r="D64" i="42"/>
  <c r="C64" i="42"/>
  <c r="B64" i="42"/>
  <c r="D63" i="42"/>
  <c r="C63" i="42"/>
  <c r="B63" i="42"/>
  <c r="I63" i="42" s="1"/>
  <c r="I62" i="42"/>
  <c r="D62" i="42"/>
  <c r="C62" i="42"/>
  <c r="B62" i="42"/>
  <c r="D61" i="42"/>
  <c r="C61" i="42"/>
  <c r="B61" i="42"/>
  <c r="I61" i="42" s="1"/>
  <c r="I60" i="42"/>
  <c r="D60" i="42"/>
  <c r="C60" i="42"/>
  <c r="B60" i="42"/>
  <c r="D59" i="42"/>
  <c r="C59" i="42"/>
  <c r="B59" i="42"/>
  <c r="I59" i="42" s="1"/>
  <c r="I58" i="42"/>
  <c r="D58" i="42"/>
  <c r="C58" i="42"/>
  <c r="B58" i="42"/>
  <c r="D57" i="42"/>
  <c r="C57" i="42"/>
  <c r="B57" i="42"/>
  <c r="I57" i="42" s="1"/>
  <c r="I56" i="42"/>
  <c r="D56" i="42"/>
  <c r="C56" i="42"/>
  <c r="B56" i="42"/>
  <c r="D55" i="42"/>
  <c r="C55" i="42"/>
  <c r="B55" i="42"/>
  <c r="I55" i="42" s="1"/>
  <c r="I54" i="42"/>
  <c r="D54" i="42"/>
  <c r="C54" i="42"/>
  <c r="B54" i="42"/>
  <c r="D53" i="42"/>
  <c r="C53" i="42"/>
  <c r="B53" i="42"/>
  <c r="I53" i="42" s="1"/>
  <c r="I52" i="42"/>
  <c r="D52" i="42"/>
  <c r="C52" i="42"/>
  <c r="C102" i="42" s="1"/>
  <c r="B52" i="42"/>
  <c r="D51" i="42"/>
  <c r="C51" i="42"/>
  <c r="B51" i="42"/>
  <c r="I51" i="42" s="1"/>
  <c r="D50" i="42"/>
  <c r="I50" i="42" s="1"/>
  <c r="C50" i="42"/>
  <c r="B50" i="42"/>
  <c r="H50" i="42" s="1"/>
  <c r="I49" i="42"/>
  <c r="D49" i="42"/>
  <c r="C49" i="42"/>
  <c r="B49" i="42"/>
  <c r="D48" i="42"/>
  <c r="C48" i="42"/>
  <c r="B48" i="42"/>
  <c r="I48" i="42" s="1"/>
  <c r="D47" i="42"/>
  <c r="I47" i="42" s="1"/>
  <c r="C47" i="42"/>
  <c r="H47" i="42" s="1"/>
  <c r="B47" i="42"/>
  <c r="H46" i="42"/>
  <c r="D46" i="42"/>
  <c r="C46" i="42"/>
  <c r="B46" i="42"/>
  <c r="I46" i="42" s="1"/>
  <c r="D45" i="42"/>
  <c r="C45" i="42"/>
  <c r="B45" i="42"/>
  <c r="I44" i="42"/>
  <c r="D44" i="42"/>
  <c r="C44" i="42"/>
  <c r="B44" i="42"/>
  <c r="H44" i="42" s="1"/>
  <c r="I43" i="42"/>
  <c r="D43" i="42"/>
  <c r="C43" i="42"/>
  <c r="B43" i="42"/>
  <c r="D42" i="42"/>
  <c r="C42" i="42"/>
  <c r="B42" i="42"/>
  <c r="H42" i="42" s="1"/>
  <c r="D41" i="42"/>
  <c r="C41" i="42"/>
  <c r="B41" i="42"/>
  <c r="I40" i="42"/>
  <c r="D40" i="42"/>
  <c r="C40" i="42"/>
  <c r="B40" i="42"/>
  <c r="H40" i="42" s="1"/>
  <c r="I39" i="42"/>
  <c r="D39" i="42"/>
  <c r="C39" i="42"/>
  <c r="B39" i="42"/>
  <c r="D38" i="42"/>
  <c r="C38" i="42"/>
  <c r="B38" i="42"/>
  <c r="H38" i="42" s="1"/>
  <c r="D37" i="42"/>
  <c r="C37" i="42"/>
  <c r="B37" i="42"/>
  <c r="I36" i="42"/>
  <c r="D36" i="42"/>
  <c r="C36" i="42"/>
  <c r="B36" i="42"/>
  <c r="H36" i="42" s="1"/>
  <c r="I35" i="42"/>
  <c r="D35" i="42"/>
  <c r="C35" i="42"/>
  <c r="B35" i="42"/>
  <c r="D34" i="42"/>
  <c r="C34" i="42"/>
  <c r="B34" i="42"/>
  <c r="H34" i="42" s="1"/>
  <c r="D33" i="42"/>
  <c r="C33" i="42"/>
  <c r="B33" i="42"/>
  <c r="I32" i="42"/>
  <c r="D32" i="42"/>
  <c r="C32" i="42"/>
  <c r="B32" i="42"/>
  <c r="H32" i="42" s="1"/>
  <c r="I31" i="42"/>
  <c r="D31" i="42"/>
  <c r="C31" i="42"/>
  <c r="B31" i="42"/>
  <c r="D30" i="42"/>
  <c r="C30" i="42"/>
  <c r="B30" i="42"/>
  <c r="D29" i="42"/>
  <c r="C29" i="42"/>
  <c r="B29" i="42"/>
  <c r="I28" i="42"/>
  <c r="D28" i="42"/>
  <c r="C28" i="42"/>
  <c r="B28" i="42"/>
  <c r="H28" i="42" s="1"/>
  <c r="I27" i="42"/>
  <c r="D27" i="42"/>
  <c r="C27" i="42"/>
  <c r="B27" i="42"/>
  <c r="D26" i="42"/>
  <c r="C26" i="42"/>
  <c r="B26" i="42"/>
  <c r="D25" i="42"/>
  <c r="C25" i="42"/>
  <c r="B25" i="42"/>
  <c r="I24" i="42"/>
  <c r="D24" i="42"/>
  <c r="C24" i="42"/>
  <c r="B24" i="42"/>
  <c r="H24" i="42" s="1"/>
  <c r="I23" i="42"/>
  <c r="D23" i="42"/>
  <c r="C23" i="42"/>
  <c r="B23" i="42"/>
  <c r="D22" i="42"/>
  <c r="C22" i="42"/>
  <c r="B22" i="42"/>
  <c r="H22" i="42" s="1"/>
  <c r="D21" i="42"/>
  <c r="C21" i="42"/>
  <c r="B21" i="42"/>
  <c r="D20" i="42"/>
  <c r="C20" i="42"/>
  <c r="B20" i="42"/>
  <c r="H20" i="42" s="1"/>
  <c r="D19" i="42"/>
  <c r="C19" i="42"/>
  <c r="B19" i="42"/>
  <c r="I19" i="42" s="1"/>
  <c r="H18" i="42"/>
  <c r="D18" i="42"/>
  <c r="B18" i="42"/>
  <c r="I18" i="42" s="1"/>
  <c r="D17" i="42"/>
  <c r="B17" i="42"/>
  <c r="H17" i="42" s="1"/>
  <c r="H16" i="42"/>
  <c r="D16" i="42"/>
  <c r="B16" i="42"/>
  <c r="I16" i="42" s="1"/>
  <c r="D15" i="42"/>
  <c r="B15" i="42"/>
  <c r="H15" i="42" s="1"/>
  <c r="H14" i="42"/>
  <c r="F14" i="42"/>
  <c r="F15" i="42" s="1"/>
  <c r="F16" i="42" s="1"/>
  <c r="F17" i="42" s="1"/>
  <c r="F18" i="42" s="1"/>
  <c r="F19" i="42" s="1"/>
  <c r="F20" i="42" s="1"/>
  <c r="F21" i="42" s="1"/>
  <c r="F22" i="42" s="1"/>
  <c r="F23" i="42" s="1"/>
  <c r="F24" i="42" s="1"/>
  <c r="F25" i="42" s="1"/>
  <c r="F26" i="42" s="1"/>
  <c r="F27" i="42" s="1"/>
  <c r="F28" i="42" s="1"/>
  <c r="F29" i="42" s="1"/>
  <c r="F30" i="42" s="1"/>
  <c r="F31" i="42" s="1"/>
  <c r="F32" i="42" s="1"/>
  <c r="F33" i="42" s="1"/>
  <c r="F34" i="42" s="1"/>
  <c r="F35" i="42" s="1"/>
  <c r="F36" i="42" s="1"/>
  <c r="F37" i="42" s="1"/>
  <c r="F38" i="42" s="1"/>
  <c r="F39" i="42" s="1"/>
  <c r="F40" i="42" s="1"/>
  <c r="F41" i="42" s="1"/>
  <c r="F42" i="42" s="1"/>
  <c r="F43" i="42" s="1"/>
  <c r="F44" i="42" s="1"/>
  <c r="F45" i="42" s="1"/>
  <c r="F46" i="42" s="1"/>
  <c r="F47" i="42" s="1"/>
  <c r="F48" i="42" s="1"/>
  <c r="F49" i="42" s="1"/>
  <c r="F50" i="42" s="1"/>
  <c r="F51" i="42" s="1"/>
  <c r="F52" i="42" s="1"/>
  <c r="F53" i="42" s="1"/>
  <c r="F54" i="42" s="1"/>
  <c r="F55" i="42" s="1"/>
  <c r="F56" i="42" s="1"/>
  <c r="F57" i="42" s="1"/>
  <c r="F58" i="42" s="1"/>
  <c r="F59" i="42" s="1"/>
  <c r="F60" i="42" s="1"/>
  <c r="F61" i="42" s="1"/>
  <c r="F62" i="42" s="1"/>
  <c r="F63" i="42" s="1"/>
  <c r="F64" i="42" s="1"/>
  <c r="F65" i="42" s="1"/>
  <c r="F66" i="42" s="1"/>
  <c r="F67" i="42" s="1"/>
  <c r="F68" i="42" s="1"/>
  <c r="F69" i="42" s="1"/>
  <c r="F70" i="42" s="1"/>
  <c r="F71" i="42" s="1"/>
  <c r="F72" i="42" s="1"/>
  <c r="F73" i="42" s="1"/>
  <c r="F74" i="42" s="1"/>
  <c r="F75" i="42" s="1"/>
  <c r="F76" i="42" s="1"/>
  <c r="F77" i="42" s="1"/>
  <c r="F78" i="42" s="1"/>
  <c r="F79" i="42" s="1"/>
  <c r="F80" i="42" s="1"/>
  <c r="F81" i="42" s="1"/>
  <c r="F82" i="42" s="1"/>
  <c r="F83" i="42" s="1"/>
  <c r="F84" i="42" s="1"/>
  <c r="F85" i="42" s="1"/>
  <c r="F86" i="42" s="1"/>
  <c r="F87" i="42" s="1"/>
  <c r="F88" i="42" s="1"/>
  <c r="F89" i="42" s="1"/>
  <c r="F90" i="42" s="1"/>
  <c r="F91" i="42" s="1"/>
  <c r="F92" i="42" s="1"/>
  <c r="F93" i="42" s="1"/>
  <c r="F94" i="42" s="1"/>
  <c r="F95" i="42" s="1"/>
  <c r="F96" i="42" s="1"/>
  <c r="F97" i="42" s="1"/>
  <c r="F98" i="42" s="1"/>
  <c r="D14" i="42"/>
  <c r="B14" i="42"/>
  <c r="G13" i="42"/>
  <c r="F13" i="42"/>
  <c r="D13" i="42"/>
  <c r="B13" i="42"/>
  <c r="E8" i="42"/>
  <c r="E7" i="42"/>
  <c r="C107" i="42" l="1"/>
  <c r="C108" i="42"/>
  <c r="C106" i="42"/>
  <c r="H30" i="42"/>
  <c r="I30" i="42"/>
  <c r="B101" i="42"/>
  <c r="H13" i="42"/>
  <c r="H19" i="42"/>
  <c r="I13" i="42"/>
  <c r="I20" i="42"/>
  <c r="E13" i="42"/>
  <c r="I14" i="42"/>
  <c r="I15" i="42"/>
  <c r="H26" i="42"/>
  <c r="I26" i="42"/>
  <c r="I17" i="42"/>
  <c r="I22" i="42"/>
  <c r="G14" i="42"/>
  <c r="G15" i="42" s="1"/>
  <c r="G16" i="42" s="1"/>
  <c r="G17" i="42" s="1"/>
  <c r="G18" i="42" s="1"/>
  <c r="G19" i="42" s="1"/>
  <c r="G20" i="42" s="1"/>
  <c r="G21" i="42" s="1"/>
  <c r="G22" i="42" s="1"/>
  <c r="G23" i="42" s="1"/>
  <c r="G24" i="42" s="1"/>
  <c r="G25" i="42" s="1"/>
  <c r="G26" i="42" s="1"/>
  <c r="G27" i="42" s="1"/>
  <c r="G28" i="42" s="1"/>
  <c r="G29" i="42" s="1"/>
  <c r="G30" i="42" s="1"/>
  <c r="G31" i="42" s="1"/>
  <c r="G32" i="42" s="1"/>
  <c r="G33" i="42" s="1"/>
  <c r="G34" i="42" s="1"/>
  <c r="G35" i="42" s="1"/>
  <c r="G36" i="42" s="1"/>
  <c r="G37" i="42" s="1"/>
  <c r="G38" i="42" s="1"/>
  <c r="G39" i="42" s="1"/>
  <c r="G40" i="42" s="1"/>
  <c r="G41" i="42" s="1"/>
  <c r="G42" i="42" s="1"/>
  <c r="G43" i="42" s="1"/>
  <c r="G44" i="42" s="1"/>
  <c r="G45" i="42" s="1"/>
  <c r="G46" i="42" s="1"/>
  <c r="G47" i="42" s="1"/>
  <c r="G48" i="42" s="1"/>
  <c r="G49" i="42" s="1"/>
  <c r="G50" i="42" s="1"/>
  <c r="G51" i="42" s="1"/>
  <c r="G52" i="42" s="1"/>
  <c r="G53" i="42" s="1"/>
  <c r="G54" i="42" s="1"/>
  <c r="G55" i="42" s="1"/>
  <c r="G56" i="42" s="1"/>
  <c r="G57" i="42" s="1"/>
  <c r="G58" i="42" s="1"/>
  <c r="G59" i="42" s="1"/>
  <c r="G60" i="42" s="1"/>
  <c r="G61" i="42" s="1"/>
  <c r="G62" i="42" s="1"/>
  <c r="G63" i="42" s="1"/>
  <c r="G64" i="42" s="1"/>
  <c r="G65" i="42" s="1"/>
  <c r="G66" i="42" s="1"/>
  <c r="G67" i="42" s="1"/>
  <c r="G68" i="42" s="1"/>
  <c r="G69" i="42" s="1"/>
  <c r="G70" i="42" s="1"/>
  <c r="G71" i="42" s="1"/>
  <c r="G72" i="42" s="1"/>
  <c r="G73" i="42" s="1"/>
  <c r="G74" i="42" s="1"/>
  <c r="G75" i="42" s="1"/>
  <c r="G76" i="42" s="1"/>
  <c r="G77" i="42" s="1"/>
  <c r="G78" i="42" s="1"/>
  <c r="G79" i="42" s="1"/>
  <c r="G80" i="42" s="1"/>
  <c r="G81" i="42" s="1"/>
  <c r="G82" i="42" s="1"/>
  <c r="G83" i="42" s="1"/>
  <c r="G84" i="42" s="1"/>
  <c r="G85" i="42" s="1"/>
  <c r="G86" i="42" s="1"/>
  <c r="G87" i="42" s="1"/>
  <c r="G88" i="42" s="1"/>
  <c r="G89" i="42" s="1"/>
  <c r="G90" i="42" s="1"/>
  <c r="G91" i="42" s="1"/>
  <c r="G92" i="42" s="1"/>
  <c r="G93" i="42" s="1"/>
  <c r="G94" i="42" s="1"/>
  <c r="G95" i="42" s="1"/>
  <c r="G96" i="42" s="1"/>
  <c r="G97" i="42" s="1"/>
  <c r="G98" i="42" s="1"/>
  <c r="I102" i="42"/>
  <c r="H53" i="42"/>
  <c r="H61" i="42"/>
  <c r="H69" i="42"/>
  <c r="H77" i="42"/>
  <c r="H85" i="42"/>
  <c r="H93" i="42"/>
  <c r="D101" i="42"/>
  <c r="H21" i="42"/>
  <c r="H25" i="42"/>
  <c r="H29" i="42"/>
  <c r="H33" i="42"/>
  <c r="H37" i="42"/>
  <c r="H41" i="42"/>
  <c r="H45" i="42"/>
  <c r="H48" i="42"/>
  <c r="H55" i="42"/>
  <c r="H63" i="42"/>
  <c r="H71" i="42"/>
  <c r="H79" i="42"/>
  <c r="H87" i="42"/>
  <c r="I34" i="42"/>
  <c r="I38" i="42"/>
  <c r="I42" i="42"/>
  <c r="H57" i="42"/>
  <c r="H65" i="42"/>
  <c r="H73" i="42"/>
  <c r="H81" i="42"/>
  <c r="I103" i="42"/>
  <c r="H89" i="42"/>
  <c r="I98" i="42"/>
  <c r="B103" i="42"/>
  <c r="C101" i="42"/>
  <c r="I21" i="42"/>
  <c r="H23" i="42"/>
  <c r="I25" i="42"/>
  <c r="H27" i="42"/>
  <c r="I29" i="42"/>
  <c r="H31" i="42"/>
  <c r="I33" i="42"/>
  <c r="H35" i="42"/>
  <c r="I37" i="42"/>
  <c r="H39" i="42"/>
  <c r="I41" i="42"/>
  <c r="H43" i="42"/>
  <c r="I45" i="42"/>
  <c r="B102" i="42"/>
  <c r="H49" i="42"/>
  <c r="H51" i="42"/>
  <c r="H59" i="42"/>
  <c r="H67" i="42"/>
  <c r="H75" i="42"/>
  <c r="H83" i="42"/>
  <c r="H91" i="42"/>
  <c r="D102" i="42"/>
  <c r="H52" i="42"/>
  <c r="H54" i="42"/>
  <c r="H56" i="42"/>
  <c r="H58" i="42"/>
  <c r="H60" i="42"/>
  <c r="H62" i="42"/>
  <c r="H64" i="42"/>
  <c r="H66" i="42"/>
  <c r="H68" i="42"/>
  <c r="H70" i="42"/>
  <c r="H72" i="42"/>
  <c r="H74" i="42"/>
  <c r="H76" i="42"/>
  <c r="H78" i="42"/>
  <c r="H80" i="42"/>
  <c r="H82" i="42"/>
  <c r="H84" i="42"/>
  <c r="H86" i="42"/>
  <c r="H88" i="42"/>
  <c r="H90" i="42"/>
  <c r="H92" i="42"/>
  <c r="H94" i="42"/>
  <c r="I97" i="42"/>
  <c r="C103" i="42"/>
  <c r="I96" i="42"/>
  <c r="G11" i="2"/>
  <c r="H11" i="2"/>
  <c r="E14" i="42" l="1"/>
  <c r="E15" i="42" s="1"/>
  <c r="E16" i="42" s="1"/>
  <c r="E17" i="42" s="1"/>
  <c r="E18" i="42" s="1"/>
  <c r="E19" i="42" s="1"/>
  <c r="E20" i="42" s="1"/>
  <c r="E21" i="42" s="1"/>
  <c r="E22" i="42" s="1"/>
  <c r="E23" i="42" s="1"/>
  <c r="E24" i="42" s="1"/>
  <c r="E25" i="42" s="1"/>
  <c r="E26" i="42" s="1"/>
  <c r="E27" i="42" s="1"/>
  <c r="E28" i="42" s="1"/>
  <c r="E29" i="42" s="1"/>
  <c r="E30" i="42" s="1"/>
  <c r="E31" i="42" s="1"/>
  <c r="E32" i="42" s="1"/>
  <c r="E33" i="42" s="1"/>
  <c r="E34" i="42" s="1"/>
  <c r="E35" i="42" s="1"/>
  <c r="E36" i="42" s="1"/>
  <c r="E37" i="42" s="1"/>
  <c r="E38" i="42" s="1"/>
  <c r="E39" i="42" s="1"/>
  <c r="E40" i="42" s="1"/>
  <c r="E41" i="42" s="1"/>
  <c r="E42" i="42" s="1"/>
  <c r="E43" i="42" s="1"/>
  <c r="E44" i="42" s="1"/>
  <c r="E45" i="42" s="1"/>
  <c r="E6" i="42"/>
  <c r="H101" i="42"/>
  <c r="H102" i="42"/>
  <c r="F103" i="42"/>
  <c r="G103" i="42"/>
  <c r="F101" i="42"/>
  <c r="G101" i="42"/>
  <c r="G102" i="42"/>
  <c r="F102" i="42"/>
  <c r="H103" i="42"/>
  <c r="D106" i="42"/>
  <c r="D108" i="42"/>
  <c r="D107" i="42"/>
  <c r="I101" i="42"/>
  <c r="E45" i="21"/>
  <c r="E46" i="42" l="1"/>
  <c r="J45" i="42"/>
  <c r="E47" i="42" l="1"/>
  <c r="J46" i="42"/>
  <c r="E48" i="42" l="1"/>
  <c r="J47" i="42"/>
  <c r="W16" i="10"/>
  <c r="U16" i="10"/>
  <c r="S16" i="10"/>
  <c r="Q16" i="10"/>
  <c r="O16" i="10"/>
  <c r="M16" i="10"/>
  <c r="K16" i="10"/>
  <c r="C16" i="10"/>
  <c r="E16" i="10"/>
  <c r="G16" i="10"/>
  <c r="I16" i="10"/>
  <c r="E49" i="42" l="1"/>
  <c r="J48" i="42"/>
  <c r="F36" i="1"/>
  <c r="F48" i="1"/>
  <c r="E36" i="1"/>
  <c r="E48" i="1"/>
  <c r="E49" i="1" s="1"/>
  <c r="G9" i="1"/>
  <c r="G10" i="1"/>
  <c r="G9" i="4" s="1"/>
  <c r="G11" i="1"/>
  <c r="G10" i="4" s="1"/>
  <c r="G17" i="1"/>
  <c r="G18" i="1"/>
  <c r="G19" i="1"/>
  <c r="F8" i="6" s="1"/>
  <c r="G20" i="1"/>
  <c r="G21" i="1"/>
  <c r="K17" i="10" s="1"/>
  <c r="G22" i="1"/>
  <c r="C18" i="1"/>
  <c r="D18" i="1"/>
  <c r="E18" i="1"/>
  <c r="F18" i="1"/>
  <c r="C21" i="1"/>
  <c r="D21" i="1"/>
  <c r="E21" i="1"/>
  <c r="F21" i="1"/>
  <c r="G32" i="1"/>
  <c r="G31" i="1" s="1"/>
  <c r="B16" i="38" s="1"/>
  <c r="G33" i="1"/>
  <c r="G14" i="4" s="1"/>
  <c r="G34" i="1"/>
  <c r="G15" i="4" s="1"/>
  <c r="G35" i="1"/>
  <c r="G16" i="4" s="1"/>
  <c r="G36" i="1"/>
  <c r="G37" i="1"/>
  <c r="G38" i="1"/>
  <c r="G39" i="1"/>
  <c r="G17" i="4" s="1"/>
  <c r="G40" i="1"/>
  <c r="G18" i="4" s="1"/>
  <c r="F9" i="1"/>
  <c r="F8" i="4" s="1"/>
  <c r="F7" i="5" s="1"/>
  <c r="F10" i="1"/>
  <c r="F9" i="4" s="1"/>
  <c r="F8" i="5" s="1"/>
  <c r="F11" i="1"/>
  <c r="F10" i="4" s="1"/>
  <c r="F17" i="1"/>
  <c r="F19" i="1"/>
  <c r="E8" i="6" s="1"/>
  <c r="F20" i="1"/>
  <c r="F22" i="1"/>
  <c r="F31" i="1"/>
  <c r="F8" i="8" s="1"/>
  <c r="F33" i="1"/>
  <c r="F14" i="4" s="1"/>
  <c r="F12" i="5" s="1"/>
  <c r="F34" i="1"/>
  <c r="F15" i="4" s="1"/>
  <c r="F13" i="5" s="1"/>
  <c r="F35" i="1"/>
  <c r="F16" i="4" s="1"/>
  <c r="F14" i="5" s="1"/>
  <c r="F37" i="1"/>
  <c r="F38" i="1"/>
  <c r="F39" i="1"/>
  <c r="F17" i="4" s="1"/>
  <c r="F15" i="5" s="1"/>
  <c r="F40" i="1"/>
  <c r="E8" i="1"/>
  <c r="E7" i="4" s="1"/>
  <c r="E6" i="5" s="1"/>
  <c r="E9" i="1"/>
  <c r="E10" i="1"/>
  <c r="E9" i="4" s="1"/>
  <c r="E11" i="1"/>
  <c r="E10" i="4" s="1"/>
  <c r="E17" i="1"/>
  <c r="E19" i="1"/>
  <c r="D8" i="6" s="1"/>
  <c r="E20" i="1"/>
  <c r="E22" i="1"/>
  <c r="E31" i="1"/>
  <c r="E8" i="8" s="1"/>
  <c r="E33" i="1"/>
  <c r="E14" i="4" s="1"/>
  <c r="E34" i="1"/>
  <c r="E15" i="4" s="1"/>
  <c r="E13" i="5" s="1"/>
  <c r="E35" i="1"/>
  <c r="E16" i="4" s="1"/>
  <c r="E14" i="5" s="1"/>
  <c r="E37" i="1"/>
  <c r="E38" i="1"/>
  <c r="E39" i="1"/>
  <c r="E17" i="4" s="1"/>
  <c r="E40" i="1"/>
  <c r="E18" i="4" s="1"/>
  <c r="D9" i="1"/>
  <c r="D8" i="4" s="1"/>
  <c r="D7" i="5" s="1"/>
  <c r="D10" i="1"/>
  <c r="D9" i="4" s="1"/>
  <c r="D8" i="5" s="1"/>
  <c r="D11" i="1"/>
  <c r="D10" i="4" s="1"/>
  <c r="D16" i="1"/>
  <c r="D17" i="1"/>
  <c r="D19" i="1"/>
  <c r="C8" i="6" s="1"/>
  <c r="C9" i="6" s="1"/>
  <c r="D20" i="1"/>
  <c r="D22" i="1"/>
  <c r="D24" i="1"/>
  <c r="D31" i="1"/>
  <c r="D8" i="8" s="1"/>
  <c r="D33" i="1"/>
  <c r="D14" i="4" s="1"/>
  <c r="D12" i="5" s="1"/>
  <c r="D34" i="1"/>
  <c r="D15" i="4" s="1"/>
  <c r="D13" i="5" s="1"/>
  <c r="D35" i="1"/>
  <c r="D16" i="4" s="1"/>
  <c r="D36" i="1"/>
  <c r="D37" i="1"/>
  <c r="D38" i="1"/>
  <c r="D39" i="1"/>
  <c r="D17" i="4" s="1"/>
  <c r="D15" i="5" s="1"/>
  <c r="D40" i="1"/>
  <c r="D18" i="4" s="1"/>
  <c r="D48" i="1"/>
  <c r="C9" i="1"/>
  <c r="C8" i="4" s="1"/>
  <c r="C7" i="5" s="1"/>
  <c r="C10" i="1"/>
  <c r="C9" i="4" s="1"/>
  <c r="C8" i="5" s="1"/>
  <c r="C11" i="1"/>
  <c r="C10" i="4" s="1"/>
  <c r="C16" i="1"/>
  <c r="C17" i="1"/>
  <c r="C19" i="1"/>
  <c r="B8" i="6" s="1"/>
  <c r="C20" i="1"/>
  <c r="C22" i="1"/>
  <c r="C24" i="1"/>
  <c r="C31" i="1"/>
  <c r="C8" i="8" s="1"/>
  <c r="C33" i="1"/>
  <c r="C14" i="4" s="1"/>
  <c r="C12" i="5" s="1"/>
  <c r="C34" i="1"/>
  <c r="C15" i="4" s="1"/>
  <c r="C13" i="5" s="1"/>
  <c r="C35" i="1"/>
  <c r="C16" i="4" s="1"/>
  <c r="C14" i="5" s="1"/>
  <c r="C36" i="1"/>
  <c r="C37" i="1"/>
  <c r="C38" i="1"/>
  <c r="C39" i="1"/>
  <c r="C17" i="4" s="1"/>
  <c r="C15" i="5" s="1"/>
  <c r="C40" i="1"/>
  <c r="C18" i="4" s="1"/>
  <c r="C48" i="1"/>
  <c r="C49" i="1" s="1"/>
  <c r="F8" i="2"/>
  <c r="F12" i="2"/>
  <c r="F13" i="2"/>
  <c r="F14" i="2"/>
  <c r="F15" i="2"/>
  <c r="F19" i="4"/>
  <c r="F16" i="5" s="1"/>
  <c r="E19" i="4"/>
  <c r="E16" i="5" s="1"/>
  <c r="F26" i="2"/>
  <c r="F22" i="7" s="1"/>
  <c r="F24" i="7" s="1"/>
  <c r="F19" i="2"/>
  <c r="F22" i="2" s="1"/>
  <c r="F11" i="7" s="1"/>
  <c r="F20" i="2"/>
  <c r="F23" i="2"/>
  <c r="E8" i="2"/>
  <c r="E12" i="2"/>
  <c r="E13" i="2"/>
  <c r="E14" i="2"/>
  <c r="E15" i="2"/>
  <c r="E19" i="2"/>
  <c r="E20" i="2"/>
  <c r="E23" i="2"/>
  <c r="E26" i="2"/>
  <c r="F31" i="9"/>
  <c r="F32" i="9"/>
  <c r="F34" i="9"/>
  <c r="F13" i="8"/>
  <c r="E13" i="8"/>
  <c r="F9" i="8"/>
  <c r="F14" i="8"/>
  <c r="E9" i="8"/>
  <c r="E14" i="8"/>
  <c r="F29" i="8"/>
  <c r="D19" i="4"/>
  <c r="D16" i="5" s="1"/>
  <c r="E22" i="7"/>
  <c r="E24" i="7"/>
  <c r="D8" i="2"/>
  <c r="D12" i="2"/>
  <c r="D13" i="2"/>
  <c r="D14" i="2"/>
  <c r="D15" i="2"/>
  <c r="D19" i="2"/>
  <c r="D20" i="2"/>
  <c r="D22" i="2"/>
  <c r="D23" i="2"/>
  <c r="D26" i="2"/>
  <c r="E32" i="9"/>
  <c r="D13" i="8"/>
  <c r="D9" i="8"/>
  <c r="D14" i="8"/>
  <c r="D19" i="8" s="1"/>
  <c r="E29" i="8"/>
  <c r="C9" i="35"/>
  <c r="K9" i="35"/>
  <c r="Q9" i="35"/>
  <c r="H60" i="21"/>
  <c r="M29" i="8"/>
  <c r="L29" i="8"/>
  <c r="K29" i="8"/>
  <c r="J29" i="8"/>
  <c r="I29" i="8"/>
  <c r="G13" i="8"/>
  <c r="G9" i="8"/>
  <c r="G14" i="8"/>
  <c r="H29" i="8"/>
  <c r="G29" i="8"/>
  <c r="G8" i="4"/>
  <c r="G7" i="5" s="1"/>
  <c r="O7" i="5" s="1"/>
  <c r="G19" i="4"/>
  <c r="E47" i="21"/>
  <c r="E49" i="21"/>
  <c r="E55" i="21" s="1"/>
  <c r="F55" i="21" s="1"/>
  <c r="H19" i="4"/>
  <c r="G8" i="2"/>
  <c r="G12" i="2"/>
  <c r="H12" i="2"/>
  <c r="I12" i="2" s="1"/>
  <c r="J12" i="2" s="1"/>
  <c r="G13" i="2"/>
  <c r="H13" i="2" s="1"/>
  <c r="I13" i="2" s="1"/>
  <c r="J13" i="2" s="1"/>
  <c r="G14" i="2"/>
  <c r="H14" i="2"/>
  <c r="I14" i="2" s="1"/>
  <c r="G15" i="2"/>
  <c r="H15" i="2" s="1"/>
  <c r="I15" i="2" s="1"/>
  <c r="J15" i="2" s="1"/>
  <c r="C19" i="2"/>
  <c r="D68" i="35" s="1"/>
  <c r="I19" i="4"/>
  <c r="J19" i="4"/>
  <c r="J14" i="2"/>
  <c r="K14" i="2" s="1"/>
  <c r="G19" i="2"/>
  <c r="G26" i="2"/>
  <c r="G22" i="7" s="1"/>
  <c r="G24" i="7" s="1"/>
  <c r="C8" i="2"/>
  <c r="C12" i="2"/>
  <c r="C13" i="2"/>
  <c r="C14" i="2"/>
  <c r="C15" i="2"/>
  <c r="C20" i="2"/>
  <c r="C22" i="2"/>
  <c r="C11" i="7" s="1"/>
  <c r="C23" i="2"/>
  <c r="C26" i="2"/>
  <c r="G31" i="9"/>
  <c r="D31" i="9"/>
  <c r="D22" i="7"/>
  <c r="D24" i="7"/>
  <c r="D11" i="7"/>
  <c r="D32" i="9"/>
  <c r="C22" i="7"/>
  <c r="C24" i="7" s="1"/>
  <c r="C32" i="9"/>
  <c r="C13" i="8"/>
  <c r="C9" i="8"/>
  <c r="C14" i="8"/>
  <c r="C15" i="8" s="1"/>
  <c r="D29" i="8"/>
  <c r="F47" i="6"/>
  <c r="G47" i="6" s="1"/>
  <c r="H64" i="1" s="1"/>
  <c r="H48" i="6"/>
  <c r="I48" i="6" s="1"/>
  <c r="J48" i="6" s="1"/>
  <c r="K48" i="6" s="1"/>
  <c r="L48" i="6" s="1"/>
  <c r="K42" i="21"/>
  <c r="J42" i="21"/>
  <c r="B4" i="40"/>
  <c r="B5" i="40" s="1"/>
  <c r="J4" i="40"/>
  <c r="J5" i="40" s="1"/>
  <c r="P4" i="40"/>
  <c r="P5" i="40" s="1"/>
  <c r="B4" i="35"/>
  <c r="B5" i="35" s="1"/>
  <c r="F10" i="35" s="1"/>
  <c r="J4" i="35"/>
  <c r="J5" i="35" s="1"/>
  <c r="N10" i="35" s="1"/>
  <c r="P4" i="35"/>
  <c r="P5" i="35" s="1"/>
  <c r="D50" i="9"/>
  <c r="E50" i="9" s="1"/>
  <c r="F7" i="29"/>
  <c r="D8" i="1" s="1"/>
  <c r="C47" i="6"/>
  <c r="B47" i="6"/>
  <c r="E7" i="29"/>
  <c r="C8" i="1" s="1"/>
  <c r="C7" i="4" s="1"/>
  <c r="F10" i="30"/>
  <c r="D7" i="2" s="1"/>
  <c r="D47" i="6"/>
  <c r="D48" i="6" s="1"/>
  <c r="G10" i="30"/>
  <c r="E7" i="2" s="1"/>
  <c r="H7" i="29"/>
  <c r="F8" i="1" s="1"/>
  <c r="E47" i="6"/>
  <c r="H10" i="30"/>
  <c r="F7" i="2" s="1"/>
  <c r="F9" i="2" s="1"/>
  <c r="F16" i="2" s="1"/>
  <c r="I7" i="29"/>
  <c r="G8" i="1" s="1"/>
  <c r="I20" i="30"/>
  <c r="G20" i="2" s="1"/>
  <c r="G32" i="9" s="1"/>
  <c r="I10" i="30"/>
  <c r="G7" i="2" s="1"/>
  <c r="I19" i="30"/>
  <c r="F83" i="21"/>
  <c r="F26" i="21" s="1"/>
  <c r="F29" i="21" s="1"/>
  <c r="B24" i="6"/>
  <c r="F30" i="21"/>
  <c r="B8" i="13" s="1"/>
  <c r="I27" i="6"/>
  <c r="I28" i="6"/>
  <c r="J28" i="6"/>
  <c r="L28" i="6" s="1"/>
  <c r="I29" i="6"/>
  <c r="I30" i="6"/>
  <c r="J30" i="6"/>
  <c r="I31" i="6"/>
  <c r="J31" i="6" s="1"/>
  <c r="L31" i="6" s="1"/>
  <c r="I32" i="6"/>
  <c r="J32" i="6" s="1"/>
  <c r="I33" i="6"/>
  <c r="J33" i="6" s="1"/>
  <c r="L33" i="6" s="1"/>
  <c r="O7" i="30"/>
  <c r="G4" i="37"/>
  <c r="E42" i="21" s="1"/>
  <c r="F38" i="21"/>
  <c r="F42" i="21"/>
  <c r="O8" i="30"/>
  <c r="E50" i="21" s="1"/>
  <c r="E56" i="21" s="1"/>
  <c r="F56" i="21" s="1"/>
  <c r="F39" i="21"/>
  <c r="C86" i="21"/>
  <c r="H62" i="35"/>
  <c r="C65" i="35" s="1"/>
  <c r="D65" i="35" s="1"/>
  <c r="E65" i="35" s="1"/>
  <c r="F65" i="35" s="1"/>
  <c r="F76" i="21"/>
  <c r="G83" i="21"/>
  <c r="G26" i="21"/>
  <c r="G29" i="21" s="1"/>
  <c r="G34" i="21"/>
  <c r="H34" i="21" s="1"/>
  <c r="I34" i="21" s="1"/>
  <c r="J34" i="21" s="1"/>
  <c r="K34" i="21" s="1"/>
  <c r="G30" i="21"/>
  <c r="C8" i="13" s="1"/>
  <c r="G35" i="21"/>
  <c r="G32" i="21" s="1"/>
  <c r="H32" i="21" s="1"/>
  <c r="I32" i="21" s="1"/>
  <c r="J32" i="21" s="1"/>
  <c r="K32" i="21" s="1"/>
  <c r="G42" i="21"/>
  <c r="H83" i="21"/>
  <c r="H26" i="21" s="1"/>
  <c r="H30" i="21"/>
  <c r="D8" i="13" s="1"/>
  <c r="H42" i="21"/>
  <c r="I30" i="21"/>
  <c r="J30" i="21" s="1"/>
  <c r="V29" i="6"/>
  <c r="X29" i="6"/>
  <c r="X30" i="6"/>
  <c r="I42" i="21"/>
  <c r="J27" i="21"/>
  <c r="J28" i="21"/>
  <c r="Y29" i="6"/>
  <c r="Y30" i="6"/>
  <c r="Z30" i="6" s="1"/>
  <c r="AB31" i="6"/>
  <c r="K27" i="21"/>
  <c r="AC31" i="6"/>
  <c r="C46" i="9"/>
  <c r="E10" i="30"/>
  <c r="C7" i="2" s="1"/>
  <c r="C9" i="2" s="1"/>
  <c r="C16" i="2" s="1"/>
  <c r="C29" i="8"/>
  <c r="C30" i="8"/>
  <c r="C34" i="8"/>
  <c r="C35" i="8" s="1"/>
  <c r="C36" i="9" s="1"/>
  <c r="C19" i="4"/>
  <c r="C16" i="5" s="1"/>
  <c r="C35" i="14"/>
  <c r="B9" i="38" s="1"/>
  <c r="C9" i="38" s="1"/>
  <c r="D9" i="38" s="1"/>
  <c r="E9" i="38" s="1"/>
  <c r="F9" i="38" s="1"/>
  <c r="G9" i="38" s="1"/>
  <c r="H9" i="38" s="1"/>
  <c r="C39" i="14"/>
  <c r="C40" i="14"/>
  <c r="H34" i="6"/>
  <c r="F7" i="6" s="1"/>
  <c r="B25" i="38"/>
  <c r="A25" i="38"/>
  <c r="A32" i="38"/>
  <c r="B11" i="38"/>
  <c r="C31" i="38"/>
  <c r="D31" i="38"/>
  <c r="E31" i="38"/>
  <c r="F31" i="38"/>
  <c r="G31" i="38"/>
  <c r="H31" i="38"/>
  <c r="B31" i="38"/>
  <c r="A31" i="38"/>
  <c r="A33" i="38"/>
  <c r="A30" i="38"/>
  <c r="B24" i="38"/>
  <c r="B26" i="38"/>
  <c r="B23" i="38"/>
  <c r="A24" i="38"/>
  <c r="A26" i="38"/>
  <c r="A23" i="38"/>
  <c r="B10" i="38"/>
  <c r="C10" i="38" s="1"/>
  <c r="D10" i="38" s="1"/>
  <c r="C11" i="38"/>
  <c r="D11" i="38" s="1"/>
  <c r="H11" i="38"/>
  <c r="A14" i="38"/>
  <c r="A13" i="38"/>
  <c r="A7" i="38"/>
  <c r="A9" i="38"/>
  <c r="A10" i="38"/>
  <c r="C7" i="38"/>
  <c r="D7" i="38"/>
  <c r="E7" i="38" s="1"/>
  <c r="H47" i="38"/>
  <c r="A5" i="21"/>
  <c r="A6" i="21"/>
  <c r="A7" i="21" s="1"/>
  <c r="A8" i="21" s="1"/>
  <c r="A9" i="21" s="1"/>
  <c r="A10" i="21"/>
  <c r="A11" i="21" s="1"/>
  <c r="A12" i="21" s="1"/>
  <c r="A13" i="21" s="1"/>
  <c r="A14" i="21" s="1"/>
  <c r="A15" i="21" s="1"/>
  <c r="A16" i="21" s="1"/>
  <c r="A17" i="21" s="1"/>
  <c r="C6" i="18"/>
  <c r="A12" i="18" s="1"/>
  <c r="D6" i="18"/>
  <c r="E6" i="18"/>
  <c r="F6" i="18"/>
  <c r="A15" i="18" s="1"/>
  <c r="G6" i="18"/>
  <c r="B6" i="18"/>
  <c r="C6" i="17"/>
  <c r="D6" i="17" s="1"/>
  <c r="E6" i="17" s="1"/>
  <c r="F6" i="17" s="1"/>
  <c r="G6" i="17"/>
  <c r="C35" i="16"/>
  <c r="C36" i="16" s="1"/>
  <c r="C4" i="16"/>
  <c r="C4" i="15"/>
  <c r="C10" i="13"/>
  <c r="D10" i="13"/>
  <c r="E10" i="13"/>
  <c r="F10" i="13"/>
  <c r="G10" i="13"/>
  <c r="B10" i="13"/>
  <c r="B6" i="12"/>
  <c r="C9" i="9"/>
  <c r="A8" i="6"/>
  <c r="D3" i="36"/>
  <c r="E3" i="36"/>
  <c r="F3" i="36" s="1"/>
  <c r="G3" i="36" s="1"/>
  <c r="H3" i="36" s="1"/>
  <c r="D24" i="14"/>
  <c r="E4" i="14" s="1"/>
  <c r="F18" i="14"/>
  <c r="F19" i="14" s="1"/>
  <c r="G18" i="14"/>
  <c r="G19" i="14" s="1"/>
  <c r="H18" i="14"/>
  <c r="H19" i="14" s="1"/>
  <c r="I18" i="14"/>
  <c r="I19" i="14" s="1"/>
  <c r="J18" i="14"/>
  <c r="K18" i="14"/>
  <c r="K19" i="14" s="1"/>
  <c r="E18" i="14"/>
  <c r="D19" i="14"/>
  <c r="J19" i="14"/>
  <c r="F13" i="14"/>
  <c r="G13" i="14"/>
  <c r="H13" i="14"/>
  <c r="H12" i="14"/>
  <c r="H14" i="14" s="1"/>
  <c r="H15" i="14" s="1"/>
  <c r="I13" i="14"/>
  <c r="J13" i="14"/>
  <c r="K13" i="14"/>
  <c r="F12" i="14"/>
  <c r="F14" i="14" s="1"/>
  <c r="F15" i="14" s="1"/>
  <c r="G12" i="14"/>
  <c r="I12" i="14"/>
  <c r="J12" i="14"/>
  <c r="J14" i="14" s="1"/>
  <c r="J15" i="14" s="1"/>
  <c r="K12" i="14"/>
  <c r="F2" i="14"/>
  <c r="G2" i="14" s="1"/>
  <c r="H2" i="14" s="1"/>
  <c r="I2" i="14" s="1"/>
  <c r="J2" i="14" s="1"/>
  <c r="K2" i="14" s="1"/>
  <c r="C4" i="38"/>
  <c r="D4" i="38"/>
  <c r="E4" i="38"/>
  <c r="F4" i="38"/>
  <c r="G4" i="38"/>
  <c r="H4" i="38"/>
  <c r="B48" i="38"/>
  <c r="A1" i="38"/>
  <c r="D83" i="21"/>
  <c r="E68" i="21"/>
  <c r="E70" i="21"/>
  <c r="D70" i="21"/>
  <c r="D69" i="21"/>
  <c r="D68" i="21"/>
  <c r="I83" i="21"/>
  <c r="J83" i="21"/>
  <c r="K83" i="21"/>
  <c r="E83" i="21"/>
  <c r="D26" i="14"/>
  <c r="E11" i="14" s="1"/>
  <c r="E12" i="14" s="1"/>
  <c r="G41" i="6"/>
  <c r="F41" i="6"/>
  <c r="E41" i="6"/>
  <c r="AE34" i="6"/>
  <c r="AA34" i="6"/>
  <c r="W34" i="6"/>
  <c r="S34" i="6"/>
  <c r="O34" i="6"/>
  <c r="K34" i="6"/>
  <c r="G34" i="6"/>
  <c r="F34" i="6"/>
  <c r="E7" i="6" s="1"/>
  <c r="F24" i="1" s="1"/>
  <c r="E34" i="6"/>
  <c r="D34" i="6"/>
  <c r="D7" i="6"/>
  <c r="C34" i="6"/>
  <c r="D6" i="6"/>
  <c r="D49" i="21"/>
  <c r="D47" i="21"/>
  <c r="O26" i="30"/>
  <c r="N26" i="30"/>
  <c r="L24" i="30"/>
  <c r="K24" i="30"/>
  <c r="H24" i="30"/>
  <c r="G24" i="30"/>
  <c r="F24" i="30"/>
  <c r="E24" i="30"/>
  <c r="O23" i="30"/>
  <c r="N23" i="30"/>
  <c r="O22" i="30"/>
  <c r="N22" i="30"/>
  <c r="O21" i="30"/>
  <c r="N21" i="30"/>
  <c r="N20" i="30"/>
  <c r="N19" i="30"/>
  <c r="N24" i="30" s="1"/>
  <c r="O19" i="30"/>
  <c r="L16" i="30"/>
  <c r="K16" i="30"/>
  <c r="I16" i="30"/>
  <c r="I17" i="30" s="1"/>
  <c r="I25" i="30" s="1"/>
  <c r="I27" i="30" s="1"/>
  <c r="H16" i="30"/>
  <c r="G16" i="30"/>
  <c r="G17" i="30" s="1"/>
  <c r="G25" i="30" s="1"/>
  <c r="G27" i="30" s="1"/>
  <c r="F16" i="30"/>
  <c r="E16" i="30"/>
  <c r="O15" i="30"/>
  <c r="O16" i="30"/>
  <c r="N15" i="30"/>
  <c r="O14" i="30"/>
  <c r="N14" i="30"/>
  <c r="E12" i="30"/>
  <c r="E17" i="30" s="1"/>
  <c r="E25" i="30" s="1"/>
  <c r="E27" i="30" s="1"/>
  <c r="O11" i="30"/>
  <c r="N11" i="30"/>
  <c r="L10" i="30"/>
  <c r="L12" i="30" s="1"/>
  <c r="K10" i="30"/>
  <c r="K12" i="30"/>
  <c r="K17" i="30" s="1"/>
  <c r="K25" i="30" s="1"/>
  <c r="K27" i="30" s="1"/>
  <c r="N8" i="30"/>
  <c r="D50" i="21" s="1"/>
  <c r="N7" i="30"/>
  <c r="D48" i="21"/>
  <c r="D51" i="21" s="1"/>
  <c r="L42" i="29"/>
  <c r="K42" i="29"/>
  <c r="K38" i="29"/>
  <c r="K43" i="29"/>
  <c r="I42" i="29"/>
  <c r="H42" i="29"/>
  <c r="H38" i="29"/>
  <c r="H43" i="29"/>
  <c r="G42" i="29"/>
  <c r="F42" i="29"/>
  <c r="F38" i="29"/>
  <c r="F43" i="29" s="1"/>
  <c r="E42" i="29"/>
  <c r="E43" i="29" s="1"/>
  <c r="L38" i="29"/>
  <c r="I38" i="29"/>
  <c r="I43" i="29" s="1"/>
  <c r="G38" i="29"/>
  <c r="E38" i="29"/>
  <c r="O24" i="29"/>
  <c r="O25" i="29"/>
  <c r="N24" i="29"/>
  <c r="N25" i="29"/>
  <c r="L24" i="29"/>
  <c r="K24" i="29"/>
  <c r="K25" i="29"/>
  <c r="K13" i="29"/>
  <c r="I24" i="29"/>
  <c r="I25" i="29" s="1"/>
  <c r="I44" i="29" s="1"/>
  <c r="H24" i="29"/>
  <c r="G24" i="29"/>
  <c r="F24" i="29"/>
  <c r="F25" i="29"/>
  <c r="F44" i="29" s="1"/>
  <c r="F45" i="29"/>
  <c r="E24" i="29"/>
  <c r="L13" i="29"/>
  <c r="L25" i="29" s="1"/>
  <c r="L44" i="29" s="1"/>
  <c r="L45" i="29" s="1"/>
  <c r="G13" i="29"/>
  <c r="G25" i="29"/>
  <c r="I13" i="29"/>
  <c r="E13" i="29"/>
  <c r="H13" i="29"/>
  <c r="H12" i="30"/>
  <c r="H17" i="30" s="1"/>
  <c r="H25" i="30" s="1"/>
  <c r="H27" i="30" s="1"/>
  <c r="O20" i="30"/>
  <c r="F13" i="29"/>
  <c r="E25" i="29"/>
  <c r="G43" i="29"/>
  <c r="L43" i="29"/>
  <c r="N10" i="30"/>
  <c r="N12" i="30" s="1"/>
  <c r="N17" i="30" s="1"/>
  <c r="G12" i="30"/>
  <c r="F12" i="30"/>
  <c r="F17" i="30"/>
  <c r="I12" i="30"/>
  <c r="I24" i="30"/>
  <c r="N16" i="30"/>
  <c r="H25" i="29"/>
  <c r="E4" i="20"/>
  <c r="F4" i="20"/>
  <c r="G4" i="20"/>
  <c r="H4" i="20"/>
  <c r="C4" i="20"/>
  <c r="E4" i="16"/>
  <c r="F4" i="16"/>
  <c r="G4" i="16"/>
  <c r="H4" i="16"/>
  <c r="E4" i="15"/>
  <c r="F4" i="15"/>
  <c r="G4" i="15"/>
  <c r="H4" i="15"/>
  <c r="C4" i="5"/>
  <c r="C5" i="8" s="1"/>
  <c r="D5" i="8" s="1"/>
  <c r="E5" i="8" s="1"/>
  <c r="F5" i="8" s="1"/>
  <c r="G5" i="8" s="1"/>
  <c r="C8" i="3"/>
  <c r="B28" i="11"/>
  <c r="D8" i="3"/>
  <c r="C28" i="11"/>
  <c r="E8" i="3"/>
  <c r="F8" i="3"/>
  <c r="C12" i="3"/>
  <c r="D12" i="3"/>
  <c r="E12" i="3"/>
  <c r="F12" i="3"/>
  <c r="C13" i="3"/>
  <c r="D13" i="3"/>
  <c r="E13" i="3"/>
  <c r="F13" i="3"/>
  <c r="C5" i="4"/>
  <c r="D5" i="4" s="1"/>
  <c r="E5" i="4" s="1"/>
  <c r="F5" i="4" s="1"/>
  <c r="G5" i="4" s="1"/>
  <c r="C5" i="3"/>
  <c r="D5" i="3" s="1"/>
  <c r="E5" i="3" s="1"/>
  <c r="F5" i="3" s="1"/>
  <c r="G5" i="3" s="1"/>
  <c r="D39" i="8"/>
  <c r="C51" i="21"/>
  <c r="F28" i="14"/>
  <c r="E19" i="14"/>
  <c r="E13" i="14"/>
  <c r="D6" i="14"/>
  <c r="J6" i="14" s="1"/>
  <c r="B10" i="4"/>
  <c r="D22" i="3"/>
  <c r="F21" i="3"/>
  <c r="A35" i="19"/>
  <c r="A36" i="19"/>
  <c r="A33" i="19"/>
  <c r="A32" i="19"/>
  <c r="C30" i="19"/>
  <c r="D30" i="19"/>
  <c r="E30" i="19" s="1"/>
  <c r="A26" i="19"/>
  <c r="A27" i="19" s="1"/>
  <c r="A24" i="19"/>
  <c r="A23" i="19" s="1"/>
  <c r="C21" i="19"/>
  <c r="D21" i="19" s="1"/>
  <c r="E21" i="19"/>
  <c r="B10" i="18"/>
  <c r="B8" i="20"/>
  <c r="M19" i="4"/>
  <c r="K19" i="4"/>
  <c r="L19" i="4"/>
  <c r="B8" i="12"/>
  <c r="C5" i="2"/>
  <c r="D5" i="2"/>
  <c r="E5" i="2" s="1"/>
  <c r="F5" i="2" s="1"/>
  <c r="G5" i="2" s="1"/>
  <c r="B4" i="38" s="1"/>
  <c r="D5" i="1"/>
  <c r="E5" i="1" s="1"/>
  <c r="F5" i="1" s="1"/>
  <c r="G5" i="1" s="1"/>
  <c r="A1" i="20"/>
  <c r="J12" i="20"/>
  <c r="J15" i="20" s="1"/>
  <c r="L23" i="12"/>
  <c r="L26" i="12"/>
  <c r="M44" i="8"/>
  <c r="M43" i="8"/>
  <c r="M42" i="8"/>
  <c r="M39" i="8"/>
  <c r="K23" i="12"/>
  <c r="K26" i="12"/>
  <c r="L42" i="8"/>
  <c r="L39" i="8"/>
  <c r="L43" i="8"/>
  <c r="L44" i="8"/>
  <c r="E10" i="19"/>
  <c r="E14" i="19" s="1"/>
  <c r="C24" i="18"/>
  <c r="A1" i="19"/>
  <c r="J23" i="12"/>
  <c r="J26" i="12"/>
  <c r="I23" i="12"/>
  <c r="I26" i="12"/>
  <c r="K42" i="8"/>
  <c r="J42" i="8"/>
  <c r="J39" i="8"/>
  <c r="K44" i="8"/>
  <c r="K43" i="8"/>
  <c r="J44" i="8"/>
  <c r="J43" i="8"/>
  <c r="K39" i="8"/>
  <c r="A1" i="10"/>
  <c r="A1" i="15"/>
  <c r="A1" i="6"/>
  <c r="B14" i="6"/>
  <c r="C25" i="9"/>
  <c r="A1" i="11"/>
  <c r="B23" i="12"/>
  <c r="B26" i="12"/>
  <c r="C23" i="12"/>
  <c r="C26" i="12"/>
  <c r="D23" i="12"/>
  <c r="D26" i="12"/>
  <c r="E23" i="12"/>
  <c r="E26" i="12"/>
  <c r="F23" i="12"/>
  <c r="F26" i="12"/>
  <c r="G23" i="12"/>
  <c r="G26" i="12"/>
  <c r="H23" i="12"/>
  <c r="H26" i="12"/>
  <c r="A1" i="9"/>
  <c r="G39" i="8"/>
  <c r="F39" i="8"/>
  <c r="E39" i="8"/>
  <c r="H39" i="8"/>
  <c r="I39" i="8"/>
  <c r="B28" i="12"/>
  <c r="C28" i="12"/>
  <c r="D28" i="12"/>
  <c r="E28" i="12"/>
  <c r="F28" i="12"/>
  <c r="A1" i="12"/>
  <c r="A1" i="7"/>
  <c r="A1" i="4"/>
  <c r="C36" i="4"/>
  <c r="A1" i="5"/>
  <c r="I44" i="8"/>
  <c r="I42" i="8"/>
  <c r="I43" i="8"/>
  <c r="H44" i="8"/>
  <c r="H42" i="8"/>
  <c r="H43" i="8"/>
  <c r="G44" i="8"/>
  <c r="G42" i="8"/>
  <c r="G43" i="8"/>
  <c r="F44" i="8"/>
  <c r="F42" i="8"/>
  <c r="F43" i="8"/>
  <c r="E44" i="8"/>
  <c r="E42" i="8"/>
  <c r="E43" i="8"/>
  <c r="D44" i="8"/>
  <c r="D42" i="8"/>
  <c r="D43" i="8"/>
  <c r="C42" i="8"/>
  <c r="C43" i="8"/>
  <c r="C44" i="8"/>
  <c r="A1" i="8"/>
  <c r="A1" i="13"/>
  <c r="A1" i="16"/>
  <c r="A1" i="2"/>
  <c r="A1" i="3"/>
  <c r="A1" i="17"/>
  <c r="A38" i="17"/>
  <c r="A1" i="18"/>
  <c r="B35" i="19"/>
  <c r="B36" i="19"/>
  <c r="C35" i="19"/>
  <c r="D35" i="19"/>
  <c r="E35" i="19"/>
  <c r="C36" i="19"/>
  <c r="D36" i="19"/>
  <c r="E36" i="19"/>
  <c r="C34" i="19"/>
  <c r="D34" i="19"/>
  <c r="E34" i="19"/>
  <c r="B33" i="19"/>
  <c r="C33" i="19"/>
  <c r="D33" i="19"/>
  <c r="E33" i="19"/>
  <c r="C32" i="19"/>
  <c r="D32" i="19"/>
  <c r="E32" i="19"/>
  <c r="B32" i="19"/>
  <c r="E14" i="3"/>
  <c r="E21" i="3"/>
  <c r="C22" i="3"/>
  <c r="D20" i="3"/>
  <c r="D7" i="12"/>
  <c r="D8" i="12"/>
  <c r="D7" i="3"/>
  <c r="D9" i="3" s="1"/>
  <c r="D17" i="3" s="1"/>
  <c r="D27" i="3"/>
  <c r="E7" i="3"/>
  <c r="E33" i="4"/>
  <c r="E22" i="3"/>
  <c r="D21" i="3"/>
  <c r="D33" i="4"/>
  <c r="E15" i="3"/>
  <c r="C20" i="3"/>
  <c r="C27" i="3"/>
  <c r="F7" i="3"/>
  <c r="F14" i="3"/>
  <c r="F15" i="3"/>
  <c r="F20" i="3"/>
  <c r="F22" i="3"/>
  <c r="F23" i="3"/>
  <c r="F27" i="3"/>
  <c r="E7" i="12"/>
  <c r="E8" i="12" s="1"/>
  <c r="D15" i="3"/>
  <c r="B24" i="11"/>
  <c r="D14" i="3"/>
  <c r="E27" i="3"/>
  <c r="D4" i="20"/>
  <c r="E20" i="3"/>
  <c r="E23" i="3" s="1"/>
  <c r="C15" i="3"/>
  <c r="D29" i="11"/>
  <c r="F33" i="4"/>
  <c r="C7" i="12"/>
  <c r="C8" i="12" s="1"/>
  <c r="C14" i="3"/>
  <c r="C7" i="3"/>
  <c r="C21" i="3"/>
  <c r="D4" i="16"/>
  <c r="D4" i="15"/>
  <c r="B35" i="17"/>
  <c r="C35" i="17"/>
  <c r="D35" i="17" s="1"/>
  <c r="E35" i="17"/>
  <c r="F35" i="17" s="1"/>
  <c r="G35" i="17" s="1"/>
  <c r="G20" i="3"/>
  <c r="G33" i="4"/>
  <c r="E13" i="19"/>
  <c r="E29" i="11"/>
  <c r="H6" i="14"/>
  <c r="E9" i="3"/>
  <c r="E17" i="3"/>
  <c r="C29" i="11"/>
  <c r="C39" i="8"/>
  <c r="C23" i="3"/>
  <c r="C13" i="6"/>
  <c r="D9" i="9"/>
  <c r="C9" i="3"/>
  <c r="D28" i="11"/>
  <c r="G25" i="14"/>
  <c r="G27" i="14"/>
  <c r="J10" i="19"/>
  <c r="J14" i="19" s="1"/>
  <c r="K10" i="19"/>
  <c r="K14" i="19" s="1"/>
  <c r="I10" i="19"/>
  <c r="I13" i="19" s="1"/>
  <c r="F10" i="19"/>
  <c r="F13" i="19" s="1"/>
  <c r="L10" i="19"/>
  <c r="G10" i="19"/>
  <c r="G14" i="19" s="1"/>
  <c r="H10" i="19"/>
  <c r="H11" i="19" s="1"/>
  <c r="I17" i="10"/>
  <c r="C5" i="7"/>
  <c r="D5" i="7" s="1"/>
  <c r="E5" i="7" s="1"/>
  <c r="F5" i="7" s="1"/>
  <c r="G5" i="7" s="1"/>
  <c r="M29" i="6"/>
  <c r="P29" i="6" s="1"/>
  <c r="N29" i="6"/>
  <c r="M32" i="6"/>
  <c r="M30" i="6"/>
  <c r="Q30" i="6"/>
  <c r="R30" i="6" s="1"/>
  <c r="D16" i="6"/>
  <c r="M33" i="6"/>
  <c r="Q33" i="6"/>
  <c r="AB30" i="6"/>
  <c r="M28" i="6"/>
  <c r="M31" i="6"/>
  <c r="M27" i="6"/>
  <c r="B17" i="6"/>
  <c r="B13" i="12"/>
  <c r="AD31" i="6"/>
  <c r="AF31" i="6"/>
  <c r="J27" i="6"/>
  <c r="L27" i="6"/>
  <c r="F14" i="19"/>
  <c r="E13" i="6"/>
  <c r="I20" i="14"/>
  <c r="I21" i="14" s="1"/>
  <c r="L32" i="6"/>
  <c r="I26" i="21"/>
  <c r="J26" i="21" s="1"/>
  <c r="D36" i="6"/>
  <c r="L30" i="6"/>
  <c r="N30" i="6"/>
  <c r="P30" i="6"/>
  <c r="N33" i="6"/>
  <c r="P33" i="6" s="1"/>
  <c r="I29" i="21"/>
  <c r="B16" i="6"/>
  <c r="B18" i="6"/>
  <c r="B15" i="12"/>
  <c r="B14" i="12"/>
  <c r="C18" i="6"/>
  <c r="C15" i="12"/>
  <c r="C16" i="6"/>
  <c r="C14" i="12"/>
  <c r="K11" i="19" l="1"/>
  <c r="K13" i="19"/>
  <c r="I11" i="19"/>
  <c r="I14" i="19"/>
  <c r="H14" i="19"/>
  <c r="G31" i="21"/>
  <c r="H31" i="21" s="1"/>
  <c r="I31" i="21" s="1"/>
  <c r="J31" i="21" s="1"/>
  <c r="K31" i="21" s="1"/>
  <c r="H20" i="14"/>
  <c r="H21" i="14" s="1"/>
  <c r="B27" i="38"/>
  <c r="K20" i="14"/>
  <c r="K21" i="14" s="1"/>
  <c r="B1" i="35"/>
  <c r="K7" i="35" s="1"/>
  <c r="K8" i="40" s="1"/>
  <c r="N9" i="40" s="1"/>
  <c r="N10" i="40" s="1"/>
  <c r="G20" i="14"/>
  <c r="G21" i="14" s="1"/>
  <c r="I14" i="14"/>
  <c r="I15" i="14" s="1"/>
  <c r="J20" i="14"/>
  <c r="J21" i="14" s="1"/>
  <c r="B12" i="38"/>
  <c r="K14" i="14"/>
  <c r="K15" i="14" s="1"/>
  <c r="G14" i="14"/>
  <c r="G15" i="14" s="1"/>
  <c r="E50" i="42"/>
  <c r="J49" i="42"/>
  <c r="C12" i="38"/>
  <c r="G6" i="12"/>
  <c r="G28" i="12" s="1"/>
  <c r="I6" i="12"/>
  <c r="I28" i="12" s="1"/>
  <c r="K6" i="12"/>
  <c r="K28" i="12" s="1"/>
  <c r="F8" i="13"/>
  <c r="H6" i="12"/>
  <c r="H28" i="12" s="1"/>
  <c r="J6" i="12"/>
  <c r="J28" i="12" s="1"/>
  <c r="E8" i="13"/>
  <c r="H13" i="19"/>
  <c r="G13" i="19"/>
  <c r="G11" i="19"/>
  <c r="H35" i="21"/>
  <c r="I35" i="21" s="1"/>
  <c r="J35" i="21" s="1"/>
  <c r="K35" i="21" s="1"/>
  <c r="F11" i="19"/>
  <c r="H29" i="21"/>
  <c r="C48" i="6"/>
  <c r="F15" i="8"/>
  <c r="C10" i="8"/>
  <c r="B10" i="6"/>
  <c r="B9" i="6"/>
  <c r="F20" i="18"/>
  <c r="A29" i="18" s="1"/>
  <c r="H21" i="1"/>
  <c r="D54" i="9"/>
  <c r="E27" i="4"/>
  <c r="E18" i="7" s="1"/>
  <c r="F17" i="7" s="1"/>
  <c r="E9" i="10"/>
  <c r="C26" i="11" s="1"/>
  <c r="E10" i="8"/>
  <c r="D4" i="5"/>
  <c r="E4" i="5" s="1"/>
  <c r="F4" i="5" s="1"/>
  <c r="G4" i="5" s="1"/>
  <c r="D67" i="21"/>
  <c r="D71" i="21" s="1"/>
  <c r="E19" i="8"/>
  <c r="F28" i="8" s="1"/>
  <c r="F30" i="8" s="1"/>
  <c r="F34" i="8" s="1"/>
  <c r="E15" i="8"/>
  <c r="C9" i="10"/>
  <c r="B26" i="11" s="1"/>
  <c r="G17" i="10"/>
  <c r="E69" i="21"/>
  <c r="C17" i="10"/>
  <c r="C47" i="14"/>
  <c r="C20" i="18"/>
  <c r="A26" i="18" s="1"/>
  <c r="B17" i="38"/>
  <c r="B18" i="38" s="1"/>
  <c r="C19" i="8"/>
  <c r="D28" i="8" s="1"/>
  <c r="D30" i="8" s="1"/>
  <c r="D34" i="8" s="1"/>
  <c r="G8" i="8"/>
  <c r="G10" i="8" s="1"/>
  <c r="C27" i="4"/>
  <c r="C13" i="9" s="1"/>
  <c r="C11" i="4"/>
  <c r="E54" i="9"/>
  <c r="E67" i="21"/>
  <c r="B28" i="17"/>
  <c r="B59" i="17" s="1"/>
  <c r="B4" i="12"/>
  <c r="C4" i="12" s="1"/>
  <c r="D4" i="12" s="1"/>
  <c r="E4" i="12" s="1"/>
  <c r="F4" i="12" s="1"/>
  <c r="C18" i="8"/>
  <c r="G20" i="4"/>
  <c r="G15" i="8"/>
  <c r="F18" i="4"/>
  <c r="F20" i="4" s="1"/>
  <c r="E20" i="18"/>
  <c r="A28" i="18" s="1"/>
  <c r="A14" i="18"/>
  <c r="C20" i="4"/>
  <c r="D15" i="8"/>
  <c r="G19" i="8"/>
  <c r="F19" i="8"/>
  <c r="F10" i="8"/>
  <c r="E41" i="1"/>
  <c r="E51" i="1" s="1"/>
  <c r="F41" i="1"/>
  <c r="F17" i="5"/>
  <c r="C4" i="10"/>
  <c r="E4" i="10" s="1"/>
  <c r="G4" i="10" s="1"/>
  <c r="I4" i="10" s="1"/>
  <c r="K4" i="10" s="1"/>
  <c r="C5" i="9"/>
  <c r="D5" i="9" s="1"/>
  <c r="E5" i="9" s="1"/>
  <c r="F5" i="9" s="1"/>
  <c r="G5" i="9" s="1"/>
  <c r="B4" i="6"/>
  <c r="C4" i="6" s="1"/>
  <c r="D4" i="6" s="1"/>
  <c r="E4" i="6" s="1"/>
  <c r="F4" i="6" s="1"/>
  <c r="B4" i="11"/>
  <c r="C4" i="11" s="1"/>
  <c r="D4" i="11" s="1"/>
  <c r="E4" i="11" s="1"/>
  <c r="F4" i="11" s="1"/>
  <c r="G20" i="18"/>
  <c r="A30" i="18" s="1"/>
  <c r="A16" i="18"/>
  <c r="D18" i="8"/>
  <c r="D20" i="8" s="1"/>
  <c r="E15" i="10" s="1"/>
  <c r="D10" i="8"/>
  <c r="C12" i="6"/>
  <c r="C14" i="6" s="1"/>
  <c r="C17" i="6" s="1"/>
  <c r="C13" i="12" s="1"/>
  <c r="E17" i="10"/>
  <c r="G54" i="9"/>
  <c r="E20" i="4"/>
  <c r="E12" i="5"/>
  <c r="F48" i="6"/>
  <c r="C12" i="1"/>
  <c r="D41" i="1"/>
  <c r="H18" i="1"/>
  <c r="I18" i="1" s="1"/>
  <c r="J18" i="1" s="1"/>
  <c r="F27" i="4"/>
  <c r="E48" i="6"/>
  <c r="F54" i="9"/>
  <c r="F18" i="8"/>
  <c r="G45" i="29"/>
  <c r="E12" i="20"/>
  <c r="E15" i="20" s="1"/>
  <c r="C12" i="20"/>
  <c r="C15" i="20" s="1"/>
  <c r="K12" i="20"/>
  <c r="K15" i="20" s="1"/>
  <c r="G12" i="20"/>
  <c r="G15" i="20" s="1"/>
  <c r="I12" i="20"/>
  <c r="I15" i="20" s="1"/>
  <c r="F12" i="20"/>
  <c r="F15" i="20" s="1"/>
  <c r="H12" i="20"/>
  <c r="H15" i="20" s="1"/>
  <c r="D12" i="20"/>
  <c r="D15" i="20" s="1"/>
  <c r="E6" i="38"/>
  <c r="D25" i="3"/>
  <c r="D29" i="3" s="1"/>
  <c r="F6" i="6"/>
  <c r="H36" i="6"/>
  <c r="E44" i="29"/>
  <c r="E45" i="29" s="1"/>
  <c r="K45" i="29"/>
  <c r="E5" i="14"/>
  <c r="F4" i="14"/>
  <c r="K44" i="29"/>
  <c r="F50" i="9"/>
  <c r="F11" i="35"/>
  <c r="Q27" i="6"/>
  <c r="N27" i="6"/>
  <c r="P27" i="6" s="1"/>
  <c r="G44" i="29"/>
  <c r="K26" i="21"/>
  <c r="J29" i="21"/>
  <c r="N31" i="6"/>
  <c r="Q31" i="6"/>
  <c r="P31" i="6"/>
  <c r="K6" i="14"/>
  <c r="F6" i="14"/>
  <c r="E6" i="14"/>
  <c r="G6" i="14"/>
  <c r="I6" i="14"/>
  <c r="N25" i="30"/>
  <c r="N27" i="30" s="1"/>
  <c r="I45" i="29"/>
  <c r="L17" i="30"/>
  <c r="L25" i="30" s="1"/>
  <c r="L27" i="30" s="1"/>
  <c r="F36" i="6"/>
  <c r="E6" i="6"/>
  <c r="F7" i="38"/>
  <c r="N11" i="35"/>
  <c r="F9" i="9"/>
  <c r="E18" i="6"/>
  <c r="E15" i="12" s="1"/>
  <c r="Q32" i="6"/>
  <c r="P32" i="6"/>
  <c r="N32" i="6"/>
  <c r="E25" i="3"/>
  <c r="E29" i="3" s="1"/>
  <c r="E28" i="11"/>
  <c r="F9" i="3"/>
  <c r="F17" i="3" s="1"/>
  <c r="F25" i="3" s="1"/>
  <c r="F29" i="3" s="1"/>
  <c r="H44" i="29"/>
  <c r="H45" i="29" s="1"/>
  <c r="E20" i="14"/>
  <c r="E21" i="14" s="1"/>
  <c r="E27" i="14" s="1"/>
  <c r="E14" i="14"/>
  <c r="E15" i="14" s="1"/>
  <c r="E26" i="14" s="1"/>
  <c r="D12" i="38"/>
  <c r="E10" i="38"/>
  <c r="I25" i="6"/>
  <c r="I24" i="6"/>
  <c r="I26" i="6"/>
  <c r="G9" i="2"/>
  <c r="G16" i="2" s="1"/>
  <c r="G15" i="5"/>
  <c r="G16" i="5"/>
  <c r="G21" i="3"/>
  <c r="G12" i="3"/>
  <c r="F29" i="11" s="1"/>
  <c r="F7" i="12"/>
  <c r="F8" i="12" s="1"/>
  <c r="G8" i="3"/>
  <c r="F28" i="11" s="1"/>
  <c r="G7" i="3"/>
  <c r="G27" i="3"/>
  <c r="G15" i="3"/>
  <c r="G12" i="5"/>
  <c r="G8" i="5"/>
  <c r="O8" i="5" s="1"/>
  <c r="G13" i="3"/>
  <c r="G14" i="3"/>
  <c r="G22" i="3"/>
  <c r="G23" i="3" s="1"/>
  <c r="G14" i="5"/>
  <c r="K30" i="21"/>
  <c r="C17" i="3"/>
  <c r="C25" i="3" s="1"/>
  <c r="C29" i="3" s="1"/>
  <c r="G26" i="14"/>
  <c r="G24" i="14"/>
  <c r="F25" i="30"/>
  <c r="F27" i="30" s="1"/>
  <c r="O24" i="30"/>
  <c r="E16" i="1"/>
  <c r="D9" i="6"/>
  <c r="D12" i="6" s="1"/>
  <c r="D14" i="12"/>
  <c r="F20" i="14"/>
  <c r="F21" i="14" s="1"/>
  <c r="Z29" i="6"/>
  <c r="AB29" i="6"/>
  <c r="AC29" i="6"/>
  <c r="F50" i="21"/>
  <c r="E48" i="21"/>
  <c r="O10" i="30"/>
  <c r="O12" i="30" s="1"/>
  <c r="O17" i="30" s="1"/>
  <c r="C17" i="5"/>
  <c r="Q28" i="6"/>
  <c r="N28" i="6"/>
  <c r="P28" i="6" s="1"/>
  <c r="R33" i="6"/>
  <c r="T33" i="6" s="1"/>
  <c r="U33" i="6"/>
  <c r="L13" i="19"/>
  <c r="L14" i="19"/>
  <c r="L11" i="19"/>
  <c r="J13" i="19"/>
  <c r="J11" i="19"/>
  <c r="D23" i="3"/>
  <c r="B29" i="11"/>
  <c r="E24" i="1"/>
  <c r="D13" i="6"/>
  <c r="D20" i="18"/>
  <c r="A27" i="18" s="1"/>
  <c r="A13" i="18"/>
  <c r="G24" i="1"/>
  <c r="F13" i="6"/>
  <c r="D24" i="8"/>
  <c r="G65" i="35"/>
  <c r="H65" i="35" s="1"/>
  <c r="C24" i="2"/>
  <c r="C28" i="2" s="1"/>
  <c r="C56" i="1" s="1"/>
  <c r="C7" i="7"/>
  <c r="C10" i="7" s="1"/>
  <c r="K28" i="21"/>
  <c r="M15" i="2" s="1"/>
  <c r="L14" i="2"/>
  <c r="J29" i="6"/>
  <c r="L29" i="6"/>
  <c r="E9" i="2"/>
  <c r="E16" i="2" s="1"/>
  <c r="E15" i="5"/>
  <c r="E8" i="5"/>
  <c r="D14" i="5"/>
  <c r="D17" i="5" s="1"/>
  <c r="D9" i="2"/>
  <c r="D16" i="2" s="1"/>
  <c r="C6" i="5"/>
  <c r="C9" i="5" s="1"/>
  <c r="D12" i="1"/>
  <c r="D7" i="4"/>
  <c r="L15" i="2"/>
  <c r="K15" i="2"/>
  <c r="K12" i="2"/>
  <c r="L12" i="2"/>
  <c r="G55" i="21"/>
  <c r="F47" i="21"/>
  <c r="G22" i="2"/>
  <c r="G11" i="7" s="1"/>
  <c r="H19" i="2"/>
  <c r="H8" i="2"/>
  <c r="G13" i="5"/>
  <c r="T10" i="35"/>
  <c r="R10" i="35"/>
  <c r="H47" i="6"/>
  <c r="M14" i="2"/>
  <c r="M13" i="2"/>
  <c r="K13" i="2"/>
  <c r="L13" i="2"/>
  <c r="F49" i="21"/>
  <c r="AC30" i="6"/>
  <c r="G12" i="1"/>
  <c r="G7" i="4"/>
  <c r="D20" i="4"/>
  <c r="E18" i="8"/>
  <c r="F7" i="7"/>
  <c r="F10" i="7" s="1"/>
  <c r="F24" i="2"/>
  <c r="F28" i="2" s="1"/>
  <c r="F7" i="4"/>
  <c r="F12" i="1"/>
  <c r="L9" i="40"/>
  <c r="C41" i="1"/>
  <c r="C51" i="1" s="1"/>
  <c r="E12" i="1"/>
  <c r="E8" i="4"/>
  <c r="L10" i="35"/>
  <c r="M10" i="35" s="1"/>
  <c r="K10" i="35" s="1"/>
  <c r="D10" i="35"/>
  <c r="E10" i="35" s="1"/>
  <c r="E31" i="9"/>
  <c r="E22" i="2"/>
  <c r="E11" i="7" s="1"/>
  <c r="D25" i="1"/>
  <c r="G41" i="1"/>
  <c r="E60" i="21"/>
  <c r="D49" i="1"/>
  <c r="D27" i="4"/>
  <c r="C25" i="1"/>
  <c r="H34" i="1"/>
  <c r="H33" i="1"/>
  <c r="G48" i="1"/>
  <c r="F49" i="1"/>
  <c r="F45" i="21" l="1"/>
  <c r="G56" i="21"/>
  <c r="Q7" i="35"/>
  <c r="Q8" i="40" s="1"/>
  <c r="M9" i="40"/>
  <c r="K9" i="40" s="1"/>
  <c r="L10" i="40" s="1"/>
  <c r="M10" i="40" s="1"/>
  <c r="K10" i="40" s="1"/>
  <c r="E7" i="14"/>
  <c r="E8" i="14" s="1"/>
  <c r="E24" i="14" s="1"/>
  <c r="C30" i="38" s="1"/>
  <c r="C7" i="35"/>
  <c r="C8" i="40" s="1"/>
  <c r="E51" i="42"/>
  <c r="J50" i="42"/>
  <c r="L6" i="12"/>
  <c r="L28" i="12" s="1"/>
  <c r="G8" i="13"/>
  <c r="C20" i="5"/>
  <c r="C25" i="5" s="1"/>
  <c r="D33" i="8"/>
  <c r="D35" i="8" s="1"/>
  <c r="D36" i="9" s="1"/>
  <c r="G8" i="10"/>
  <c r="G28" i="8"/>
  <c r="G30" i="8" s="1"/>
  <c r="G34" i="8" s="1"/>
  <c r="E28" i="8"/>
  <c r="E30" i="8" s="1"/>
  <c r="E34" i="8" s="1"/>
  <c r="I21" i="1"/>
  <c r="J21" i="1" s="1"/>
  <c r="C20" i="8"/>
  <c r="C15" i="10" s="1"/>
  <c r="G18" i="8"/>
  <c r="C23" i="4"/>
  <c r="D35" i="4" s="1"/>
  <c r="D25" i="9"/>
  <c r="E23" i="5"/>
  <c r="D51" i="1"/>
  <c r="C8" i="10"/>
  <c r="C18" i="7"/>
  <c r="D17" i="7" s="1"/>
  <c r="F51" i="1"/>
  <c r="C27" i="1"/>
  <c r="C54" i="1" s="1"/>
  <c r="C57" i="1" s="1"/>
  <c r="C23" i="5"/>
  <c r="E71" i="21"/>
  <c r="E17" i="5"/>
  <c r="F23" i="5"/>
  <c r="F18" i="7"/>
  <c r="I8" i="10"/>
  <c r="F20" i="8"/>
  <c r="I15" i="10" s="1"/>
  <c r="I18" i="10" s="1"/>
  <c r="F33" i="8"/>
  <c r="F35" i="8" s="1"/>
  <c r="F36" i="9" s="1"/>
  <c r="F38" i="9" s="1"/>
  <c r="D23" i="8"/>
  <c r="D25" i="8" s="1"/>
  <c r="G49" i="1"/>
  <c r="G27" i="4"/>
  <c r="I33" i="1"/>
  <c r="H14" i="4"/>
  <c r="G51" i="1"/>
  <c r="E11" i="4"/>
  <c r="E23" i="4" s="1"/>
  <c r="E7" i="5"/>
  <c r="E9" i="5" s="1"/>
  <c r="F56" i="1"/>
  <c r="E31" i="12"/>
  <c r="I47" i="6"/>
  <c r="I64" i="1"/>
  <c r="S10" i="35"/>
  <c r="Q10" i="35" s="1"/>
  <c r="T11" i="35"/>
  <c r="N11" i="40"/>
  <c r="F18" i="6"/>
  <c r="F15" i="12" s="1"/>
  <c r="G9" i="9"/>
  <c r="E9" i="9"/>
  <c r="D18" i="6"/>
  <c r="D15" i="12" s="1"/>
  <c r="H56" i="21"/>
  <c r="G50" i="21"/>
  <c r="I34" i="6"/>
  <c r="M24" i="6"/>
  <c r="L24" i="6"/>
  <c r="D33" i="38"/>
  <c r="C33" i="38"/>
  <c r="B33" i="38"/>
  <c r="L11" i="35"/>
  <c r="M11" i="35" s="1"/>
  <c r="K11" i="35" s="1"/>
  <c r="C10" i="35"/>
  <c r="G4" i="14"/>
  <c r="F5" i="14"/>
  <c r="F7" i="14" s="1"/>
  <c r="F8" i="14" s="1"/>
  <c r="I34" i="1"/>
  <c r="H15" i="4"/>
  <c r="D18" i="7"/>
  <c r="E8" i="10"/>
  <c r="D23" i="5"/>
  <c r="H35" i="1"/>
  <c r="F8" i="9"/>
  <c r="F13" i="7"/>
  <c r="F31" i="7" s="1"/>
  <c r="E9" i="12"/>
  <c r="E31" i="11" s="1"/>
  <c r="E7" i="11"/>
  <c r="H11" i="1"/>
  <c r="G49" i="21"/>
  <c r="H55" i="21"/>
  <c r="D24" i="2"/>
  <c r="D28" i="2" s="1"/>
  <c r="D7" i="7"/>
  <c r="D10" i="7" s="1"/>
  <c r="E24" i="2"/>
  <c r="E28" i="2" s="1"/>
  <c r="E7" i="7"/>
  <c r="E10" i="7" s="1"/>
  <c r="E19" i="10"/>
  <c r="E18" i="10"/>
  <c r="O25" i="30"/>
  <c r="O27" i="30" s="1"/>
  <c r="AD29" i="6"/>
  <c r="AF29" i="6"/>
  <c r="G9" i="3"/>
  <c r="G17" i="3" s="1"/>
  <c r="G25" i="3" s="1"/>
  <c r="G29" i="3" s="1"/>
  <c r="J25" i="6"/>
  <c r="M25" i="6"/>
  <c r="T32" i="6"/>
  <c r="U32" i="6"/>
  <c r="R32" i="6"/>
  <c r="K29" i="21"/>
  <c r="R27" i="6"/>
  <c r="T27" i="6" s="1"/>
  <c r="U27" i="6"/>
  <c r="G50" i="9"/>
  <c r="H30" i="38"/>
  <c r="G16" i="1"/>
  <c r="F9" i="6"/>
  <c r="B22" i="13"/>
  <c r="F16" i="6"/>
  <c r="F14" i="12"/>
  <c r="C6" i="38"/>
  <c r="H39" i="1"/>
  <c r="K18" i="1"/>
  <c r="H8" i="1"/>
  <c r="I8" i="2"/>
  <c r="G47" i="21"/>
  <c r="M12" i="2"/>
  <c r="D11" i="4"/>
  <c r="D23" i="4" s="1"/>
  <c r="D6" i="5"/>
  <c r="D9" i="5" s="1"/>
  <c r="D20" i="5" s="1"/>
  <c r="C13" i="7"/>
  <c r="C31" i="7" s="1"/>
  <c r="C8" i="9"/>
  <c r="B9" i="12"/>
  <c r="B7" i="11"/>
  <c r="B22" i="11" s="1"/>
  <c r="F48" i="21"/>
  <c r="G48" i="21" s="1"/>
  <c r="H48" i="21" s="1"/>
  <c r="E51" i="21"/>
  <c r="D14" i="6"/>
  <c r="G29" i="14"/>
  <c r="G28" i="14"/>
  <c r="C7" i="10"/>
  <c r="C12" i="10" s="1"/>
  <c r="C25" i="4"/>
  <c r="B11" i="12" s="1"/>
  <c r="G17" i="5"/>
  <c r="G7" i="7"/>
  <c r="G10" i="7" s="1"/>
  <c r="G24" i="2"/>
  <c r="G28" i="2" s="1"/>
  <c r="G7" i="38"/>
  <c r="U31" i="6"/>
  <c r="V31" i="6" s="1"/>
  <c r="R31" i="6"/>
  <c r="T31" i="6" s="1"/>
  <c r="B6" i="38"/>
  <c r="D6" i="38"/>
  <c r="H40" i="1"/>
  <c r="F11" i="4"/>
  <c r="F23" i="4" s="1"/>
  <c r="F6" i="5"/>
  <c r="F9" i="5" s="1"/>
  <c r="F20" i="5" s="1"/>
  <c r="F25" i="5" s="1"/>
  <c r="E33" i="8"/>
  <c r="E20" i="8"/>
  <c r="E23" i="8" s="1"/>
  <c r="G11" i="4"/>
  <c r="G23" i="4" s="1"/>
  <c r="G6" i="5"/>
  <c r="G9" i="5" s="1"/>
  <c r="AD30" i="6"/>
  <c r="AF30" i="6"/>
  <c r="I19" i="2"/>
  <c r="H31" i="9"/>
  <c r="D27" i="1"/>
  <c r="V33" i="6"/>
  <c r="X33" i="6" s="1"/>
  <c r="Y33" i="6"/>
  <c r="U28" i="6"/>
  <c r="R28" i="6"/>
  <c r="T28" i="6" s="1"/>
  <c r="E25" i="1"/>
  <c r="E27" i="1" s="1"/>
  <c r="G9" i="10"/>
  <c r="D26" i="11" s="1"/>
  <c r="J26" i="6"/>
  <c r="L26" i="6" s="1"/>
  <c r="M26" i="6"/>
  <c r="F10" i="38"/>
  <c r="E12" i="38"/>
  <c r="E33" i="38" s="1"/>
  <c r="E32" i="38"/>
  <c r="H32" i="38"/>
  <c r="B32" i="38"/>
  <c r="C32" i="38"/>
  <c r="F32" i="38"/>
  <c r="D32" i="38"/>
  <c r="G32" i="38"/>
  <c r="N12" i="35"/>
  <c r="E9" i="6"/>
  <c r="E12" i="6" s="1"/>
  <c r="E14" i="6" s="1"/>
  <c r="F16" i="1"/>
  <c r="E16" i="6"/>
  <c r="E14" i="12"/>
  <c r="F12" i="35"/>
  <c r="F6" i="38"/>
  <c r="G30" i="38" l="1"/>
  <c r="R9" i="40"/>
  <c r="T9" i="40"/>
  <c r="B30" i="38"/>
  <c r="D30" i="38"/>
  <c r="D39" i="38" s="1"/>
  <c r="E30" i="38"/>
  <c r="E39" i="38" s="1"/>
  <c r="F30" i="38"/>
  <c r="D9" i="40"/>
  <c r="F9" i="40"/>
  <c r="E52" i="42"/>
  <c r="J51" i="42"/>
  <c r="C39" i="38"/>
  <c r="B39" i="38"/>
  <c r="F51" i="21"/>
  <c r="H7" i="2" s="1"/>
  <c r="J34" i="6"/>
  <c r="G7" i="6" s="1"/>
  <c r="H24" i="1" s="1"/>
  <c r="C29" i="4"/>
  <c r="C30" i="4" s="1"/>
  <c r="B12" i="12" s="1"/>
  <c r="C19" i="7"/>
  <c r="C26" i="7" s="1"/>
  <c r="C32" i="7" s="1"/>
  <c r="E35" i="8"/>
  <c r="E36" i="9" s="1"/>
  <c r="E20" i="5"/>
  <c r="E25" i="5" s="1"/>
  <c r="C24" i="8"/>
  <c r="C23" i="8"/>
  <c r="K21" i="1"/>
  <c r="L21" i="1" s="1"/>
  <c r="M21" i="1" s="1"/>
  <c r="G33" i="8"/>
  <c r="G35" i="8" s="1"/>
  <c r="G36" i="9" s="1"/>
  <c r="G20" i="8"/>
  <c r="E76" i="21"/>
  <c r="E73" i="21"/>
  <c r="E74" i="21"/>
  <c r="D25" i="5"/>
  <c r="E75" i="21"/>
  <c r="L18" i="1"/>
  <c r="M18" i="1" s="1"/>
  <c r="F23" i="8"/>
  <c r="F19" i="7"/>
  <c r="F26" i="7" s="1"/>
  <c r="F32" i="7" s="1"/>
  <c r="F35" i="7" s="1"/>
  <c r="G17" i="7"/>
  <c r="F24" i="8"/>
  <c r="L11" i="40"/>
  <c r="M11" i="40" s="1"/>
  <c r="K11" i="40" s="1"/>
  <c r="L12" i="35"/>
  <c r="M12" i="35" s="1"/>
  <c r="K12" i="35" s="1"/>
  <c r="F25" i="9"/>
  <c r="E17" i="6"/>
  <c r="E13" i="12" s="1"/>
  <c r="AC33" i="6"/>
  <c r="Z33" i="6"/>
  <c r="AB33" i="6" s="1"/>
  <c r="F13" i="9"/>
  <c r="I7" i="10"/>
  <c r="F25" i="4"/>
  <c r="E11" i="12" s="1"/>
  <c r="F34" i="4"/>
  <c r="G35" i="4"/>
  <c r="F29" i="4"/>
  <c r="C6" i="11"/>
  <c r="E29" i="10"/>
  <c r="E25" i="9"/>
  <c r="D17" i="6"/>
  <c r="D13" i="12" s="1"/>
  <c r="J8" i="2"/>
  <c r="H50" i="9"/>
  <c r="V32" i="6"/>
  <c r="X32" i="6" s="1"/>
  <c r="Y32" i="6"/>
  <c r="D13" i="7"/>
  <c r="D31" i="7" s="1"/>
  <c r="D8" i="9"/>
  <c r="C9" i="12"/>
  <c r="C31" i="11" s="1"/>
  <c r="C7" i="11"/>
  <c r="N13" i="35"/>
  <c r="Q26" i="6"/>
  <c r="N26" i="6"/>
  <c r="P26" i="6" s="1"/>
  <c r="G15" i="10"/>
  <c r="E24" i="8"/>
  <c r="E25" i="8" s="1"/>
  <c r="H7" i="38"/>
  <c r="B25" i="11"/>
  <c r="D34" i="4"/>
  <c r="D36" i="4" s="1"/>
  <c r="D37" i="4" s="1"/>
  <c r="E7" i="10"/>
  <c r="E12" i="10" s="1"/>
  <c r="D25" i="4"/>
  <c r="C11" i="12" s="1"/>
  <c r="E35" i="4"/>
  <c r="D13" i="9"/>
  <c r="D29" i="4"/>
  <c r="D56" i="1"/>
  <c r="D54" i="1" s="1"/>
  <c r="C31" i="12"/>
  <c r="J34" i="1"/>
  <c r="I15" i="4"/>
  <c r="D11" i="35"/>
  <c r="Q24" i="6"/>
  <c r="M34" i="6"/>
  <c r="P24" i="6"/>
  <c r="T12" i="35"/>
  <c r="E13" i="9"/>
  <c r="G7" i="10"/>
  <c r="G12" i="10" s="1"/>
  <c r="F35" i="4"/>
  <c r="E25" i="4"/>
  <c r="D11" i="12" s="1"/>
  <c r="E29" i="4"/>
  <c r="E34" i="4"/>
  <c r="E36" i="4" s="1"/>
  <c r="E37" i="4" s="1"/>
  <c r="G18" i="7"/>
  <c r="G23" i="5"/>
  <c r="K8" i="10"/>
  <c r="I31" i="9"/>
  <c r="J19" i="2"/>
  <c r="G20" i="5"/>
  <c r="G56" i="1"/>
  <c r="F31" i="12"/>
  <c r="I48" i="21"/>
  <c r="K48" i="21"/>
  <c r="J48" i="21"/>
  <c r="C10" i="9"/>
  <c r="C15" i="9" s="1"/>
  <c r="H7" i="4"/>
  <c r="L25" i="6"/>
  <c r="L34" i="6" s="1"/>
  <c r="H40" i="6" s="1"/>
  <c r="E8" i="9"/>
  <c r="E13" i="7"/>
  <c r="E31" i="7" s="1"/>
  <c r="D7" i="11"/>
  <c r="D9" i="12"/>
  <c r="D31" i="11" s="1"/>
  <c r="H10" i="4"/>
  <c r="E17" i="7"/>
  <c r="E19" i="7" s="1"/>
  <c r="E26" i="7" s="1"/>
  <c r="E32" i="7" s="1"/>
  <c r="D19" i="7"/>
  <c r="D26" i="7" s="1"/>
  <c r="D32" i="7" s="1"/>
  <c r="D35" i="7" s="1"/>
  <c r="G6" i="38"/>
  <c r="J35" i="6"/>
  <c r="G6" i="6"/>
  <c r="C22" i="13" s="1"/>
  <c r="R11" i="35"/>
  <c r="S11" i="35" s="1"/>
  <c r="Q11" i="35" s="1"/>
  <c r="F13" i="35"/>
  <c r="F25" i="1"/>
  <c r="F27" i="1" s="1"/>
  <c r="I9" i="10"/>
  <c r="E26" i="11" s="1"/>
  <c r="F12" i="38"/>
  <c r="F33" i="38" s="1"/>
  <c r="G10" i="38"/>
  <c r="V28" i="6"/>
  <c r="X28" i="6" s="1"/>
  <c r="Y28" i="6"/>
  <c r="G13" i="9"/>
  <c r="G29" i="4"/>
  <c r="G34" i="4"/>
  <c r="G25" i="4"/>
  <c r="F11" i="12" s="1"/>
  <c r="K7" i="10"/>
  <c r="H18" i="4"/>
  <c r="G13" i="7"/>
  <c r="G31" i="7" s="1"/>
  <c r="F9" i="12"/>
  <c r="F31" i="11" s="1"/>
  <c r="G8" i="9"/>
  <c r="F7" i="11"/>
  <c r="G51" i="21"/>
  <c r="I7" i="2" s="1"/>
  <c r="I20" i="3" s="1"/>
  <c r="H47" i="21"/>
  <c r="H17" i="4"/>
  <c r="F12" i="6"/>
  <c r="F14" i="6" s="1"/>
  <c r="Y27" i="6"/>
  <c r="V27" i="6"/>
  <c r="X27" i="6"/>
  <c r="Q25" i="6"/>
  <c r="N25" i="6"/>
  <c r="E56" i="1"/>
  <c r="E54" i="1" s="1"/>
  <c r="D31" i="12"/>
  <c r="I55" i="21"/>
  <c r="I49" i="21" s="1"/>
  <c r="J55" i="21"/>
  <c r="J49" i="21" s="1"/>
  <c r="K55" i="21"/>
  <c r="K49" i="21" s="1"/>
  <c r="H49" i="21"/>
  <c r="F10" i="9"/>
  <c r="H16" i="4"/>
  <c r="N12" i="40"/>
  <c r="C59" i="1"/>
  <c r="C61" i="1" s="1"/>
  <c r="C21" i="10"/>
  <c r="B31" i="11"/>
  <c r="H7" i="3"/>
  <c r="G25" i="1"/>
  <c r="K9" i="10"/>
  <c r="F26" i="11" s="1"/>
  <c r="G5" i="14"/>
  <c r="G7" i="14" s="1"/>
  <c r="G8" i="14" s="1"/>
  <c r="H4" i="14"/>
  <c r="H50" i="21"/>
  <c r="I56" i="21"/>
  <c r="I50" i="21" s="1"/>
  <c r="J56" i="21"/>
  <c r="J50" i="21" s="1"/>
  <c r="K56" i="21"/>
  <c r="K50" i="21" s="1"/>
  <c r="C19" i="10"/>
  <c r="E20" i="10" s="1"/>
  <c r="C18" i="10"/>
  <c r="J64" i="1"/>
  <c r="J47" i="6"/>
  <c r="J33" i="1"/>
  <c r="I14" i="4"/>
  <c r="H8" i="3" l="1"/>
  <c r="G28" i="11" s="1"/>
  <c r="K4" i="13"/>
  <c r="S9" i="40"/>
  <c r="Q9" i="40" s="1"/>
  <c r="R10" i="40" s="1"/>
  <c r="T10" i="40"/>
  <c r="T11" i="40" s="1"/>
  <c r="T12" i="40" s="1"/>
  <c r="F39" i="38"/>
  <c r="F10" i="40"/>
  <c r="F11" i="40" s="1"/>
  <c r="F12" i="40" s="1"/>
  <c r="E9" i="40"/>
  <c r="C9" i="40" s="1"/>
  <c r="E53" i="42"/>
  <c r="J52" i="42"/>
  <c r="G13" i="6"/>
  <c r="H9" i="9" s="1"/>
  <c r="H14" i="3"/>
  <c r="C4" i="36"/>
  <c r="C10" i="36" s="1"/>
  <c r="H9" i="2"/>
  <c r="B9" i="13" s="1"/>
  <c r="K11" i="13" s="1"/>
  <c r="H20" i="3"/>
  <c r="H22" i="3"/>
  <c r="H14" i="5"/>
  <c r="B15" i="13"/>
  <c r="H16" i="5"/>
  <c r="H13" i="5"/>
  <c r="G7" i="12"/>
  <c r="G8" i="12" s="1"/>
  <c r="H15" i="3"/>
  <c r="H10" i="1"/>
  <c r="H9" i="4" s="1"/>
  <c r="H8" i="5" s="1"/>
  <c r="P8" i="5" s="1"/>
  <c r="K14" i="13" s="1"/>
  <c r="B7" i="13"/>
  <c r="B6" i="13" s="1"/>
  <c r="H12" i="3"/>
  <c r="H13" i="3"/>
  <c r="H33" i="4"/>
  <c r="H35" i="4" s="1"/>
  <c r="H9" i="1"/>
  <c r="H8" i="4" s="1"/>
  <c r="H7" i="5" s="1"/>
  <c r="P7" i="5" s="1"/>
  <c r="K13" i="13" s="1"/>
  <c r="H12" i="5"/>
  <c r="H15" i="5"/>
  <c r="N34" i="6"/>
  <c r="H7" i="6" s="1"/>
  <c r="H13" i="6" s="1"/>
  <c r="H9" i="3"/>
  <c r="C15" i="13"/>
  <c r="C7" i="13"/>
  <c r="C6" i="13" s="1"/>
  <c r="I13" i="5"/>
  <c r="C25" i="8"/>
  <c r="G24" i="8"/>
  <c r="K15" i="10"/>
  <c r="K18" i="10" s="1"/>
  <c r="G23" i="8"/>
  <c r="F25" i="8"/>
  <c r="G36" i="4"/>
  <c r="G37" i="4" s="1"/>
  <c r="E10" i="12"/>
  <c r="E20" i="11"/>
  <c r="G25" i="5"/>
  <c r="F36" i="7"/>
  <c r="F37" i="7" s="1"/>
  <c r="F18" i="9" s="1"/>
  <c r="I28" i="10" s="1"/>
  <c r="E44" i="9"/>
  <c r="E45" i="9"/>
  <c r="E57" i="1"/>
  <c r="L12" i="40"/>
  <c r="M12" i="40" s="1"/>
  <c r="K12" i="40" s="1"/>
  <c r="R12" i="35"/>
  <c r="S12" i="35" s="1"/>
  <c r="Q12" i="35" s="1"/>
  <c r="E8" i="11"/>
  <c r="K12" i="10"/>
  <c r="G30" i="4"/>
  <c r="F12" i="12" s="1"/>
  <c r="F25" i="11"/>
  <c r="H10" i="38"/>
  <c r="H12" i="38" s="1"/>
  <c r="H33" i="38" s="1"/>
  <c r="H39" i="38" s="1"/>
  <c r="G12" i="38"/>
  <c r="G33" i="38" s="1"/>
  <c r="G39" i="38" s="1"/>
  <c r="F14" i="35"/>
  <c r="E36" i="7"/>
  <c r="E33" i="9" s="1"/>
  <c r="E34" i="9" s="1"/>
  <c r="E38" i="9" s="1"/>
  <c r="D20" i="11"/>
  <c r="D10" i="12"/>
  <c r="D11" i="11"/>
  <c r="J31" i="9"/>
  <c r="M19" i="2"/>
  <c r="K19" i="2"/>
  <c r="L19" i="2"/>
  <c r="I29" i="10"/>
  <c r="E6" i="11"/>
  <c r="U26" i="6"/>
  <c r="R26" i="6"/>
  <c r="T26" i="6" s="1"/>
  <c r="E11" i="11"/>
  <c r="D10" i="9"/>
  <c r="D15" i="9" s="1"/>
  <c r="M8" i="2"/>
  <c r="K8" i="2"/>
  <c r="L8" i="2"/>
  <c r="C24" i="11"/>
  <c r="L13" i="35"/>
  <c r="M13" i="35" s="1"/>
  <c r="K13" i="35" s="1"/>
  <c r="K33" i="1"/>
  <c r="J14" i="4"/>
  <c r="H22" i="1"/>
  <c r="H17" i="1"/>
  <c r="H19" i="1"/>
  <c r="H20" i="1"/>
  <c r="G27" i="1"/>
  <c r="R25" i="6"/>
  <c r="U25" i="6"/>
  <c r="I9" i="1"/>
  <c r="I8" i="4" s="1"/>
  <c r="I7" i="5" s="1"/>
  <c r="Q7" i="5" s="1"/>
  <c r="I10" i="1"/>
  <c r="I9" i="4" s="1"/>
  <c r="I8" i="5" s="1"/>
  <c r="Q8" i="5" s="1"/>
  <c r="D4" i="36"/>
  <c r="I9" i="2"/>
  <c r="I12" i="3"/>
  <c r="I33" i="4"/>
  <c r="H7" i="12"/>
  <c r="H8" i="12" s="1"/>
  <c r="I14" i="3"/>
  <c r="I16" i="5"/>
  <c r="I7" i="3"/>
  <c r="I22" i="3"/>
  <c r="I13" i="3"/>
  <c r="I15" i="3"/>
  <c r="F11" i="11"/>
  <c r="J36" i="6"/>
  <c r="H41" i="6"/>
  <c r="E35" i="7"/>
  <c r="H6" i="5"/>
  <c r="E30" i="4"/>
  <c r="D12" i="12" s="1"/>
  <c r="D25" i="11"/>
  <c r="T13" i="35"/>
  <c r="E11" i="35"/>
  <c r="C25" i="11"/>
  <c r="D30" i="4"/>
  <c r="C12" i="12" s="1"/>
  <c r="G29" i="10"/>
  <c r="D6" i="11"/>
  <c r="D22" i="11" s="1"/>
  <c r="G18" i="10"/>
  <c r="N14" i="35"/>
  <c r="C11" i="11"/>
  <c r="C22" i="11"/>
  <c r="F30" i="4"/>
  <c r="E12" i="12" s="1"/>
  <c r="E25" i="11"/>
  <c r="I12" i="10"/>
  <c r="I12" i="5"/>
  <c r="K47" i="6"/>
  <c r="K64" i="1"/>
  <c r="C23" i="10"/>
  <c r="I24" i="1"/>
  <c r="Z27" i="6"/>
  <c r="AB27" i="6"/>
  <c r="AC27" i="6"/>
  <c r="H51" i="21"/>
  <c r="J7" i="2" s="1"/>
  <c r="I47" i="21"/>
  <c r="I51" i="21" s="1"/>
  <c r="K7" i="2" s="1"/>
  <c r="L4" i="13" s="1"/>
  <c r="J47" i="21"/>
  <c r="J51" i="21" s="1"/>
  <c r="L7" i="2" s="1"/>
  <c r="K47" i="21"/>
  <c r="K51" i="21" s="1"/>
  <c r="M7" i="2" s="1"/>
  <c r="M4" i="13" s="1"/>
  <c r="D45" i="9"/>
  <c r="C32" i="12" s="1"/>
  <c r="D44" i="9"/>
  <c r="D57" i="1"/>
  <c r="H16" i="1"/>
  <c r="B13" i="13" s="1"/>
  <c r="G16" i="6"/>
  <c r="G14" i="12"/>
  <c r="I4" i="14"/>
  <c r="H5" i="14"/>
  <c r="H7" i="14" s="1"/>
  <c r="H8" i="14" s="1"/>
  <c r="G18" i="6"/>
  <c r="G15" i="12" s="1"/>
  <c r="N13" i="40"/>
  <c r="G10" i="9"/>
  <c r="G15" i="9" s="1"/>
  <c r="AC28" i="6"/>
  <c r="Z28" i="6"/>
  <c r="AB28" i="6"/>
  <c r="H6" i="6"/>
  <c r="D22" i="13" s="1"/>
  <c r="N35" i="6"/>
  <c r="H6" i="38"/>
  <c r="D18" i="9"/>
  <c r="E28" i="10" s="1"/>
  <c r="I50" i="9"/>
  <c r="AD33" i="6"/>
  <c r="AF33" i="6" s="1"/>
  <c r="H20" i="4"/>
  <c r="F15" i="9"/>
  <c r="P25" i="6"/>
  <c r="P34" i="6" s="1"/>
  <c r="I40" i="6" s="1"/>
  <c r="G25" i="9"/>
  <c r="F17" i="6"/>
  <c r="F13" i="12" s="1"/>
  <c r="C36" i="7"/>
  <c r="C33" i="9" s="1"/>
  <c r="C34" i="9" s="1"/>
  <c r="C38" i="9" s="1"/>
  <c r="B20" i="11"/>
  <c r="B10" i="12"/>
  <c r="C35" i="7"/>
  <c r="F54" i="1"/>
  <c r="D36" i="7"/>
  <c r="D33" i="9" s="1"/>
  <c r="D34" i="9" s="1"/>
  <c r="D38" i="9" s="1"/>
  <c r="C20" i="11"/>
  <c r="C10" i="12"/>
  <c r="E10" i="9"/>
  <c r="E15" i="9" s="1"/>
  <c r="D10" i="40"/>
  <c r="G19" i="7"/>
  <c r="G26" i="7" s="1"/>
  <c r="G32" i="7" s="1"/>
  <c r="H17" i="7"/>
  <c r="U24" i="6"/>
  <c r="Q34" i="6"/>
  <c r="T24" i="6"/>
  <c r="K34" i="1"/>
  <c r="J15" i="4"/>
  <c r="F13" i="40"/>
  <c r="AC32" i="6"/>
  <c r="Z32" i="6"/>
  <c r="AB32" i="6" s="1"/>
  <c r="I8" i="3"/>
  <c r="H28" i="11" s="1"/>
  <c r="F36" i="4"/>
  <c r="F37" i="4" s="1"/>
  <c r="B16" i="13" l="1"/>
  <c r="C9" i="36"/>
  <c r="C12" i="36"/>
  <c r="C13" i="36" s="1"/>
  <c r="C15" i="36"/>
  <c r="S10" i="40"/>
  <c r="Q10" i="40" s="1"/>
  <c r="R11" i="40" s="1"/>
  <c r="S11" i="40" s="1"/>
  <c r="Q11" i="40" s="1"/>
  <c r="R12" i="40" s="1"/>
  <c r="S12" i="40" s="1"/>
  <c r="Q12" i="40" s="1"/>
  <c r="E54" i="42"/>
  <c r="J53" i="42"/>
  <c r="H16" i="2"/>
  <c r="H7" i="7" s="1"/>
  <c r="H10" i="7" s="1"/>
  <c r="H12" i="1"/>
  <c r="I11" i="1" s="1"/>
  <c r="H11" i="4"/>
  <c r="H17" i="3"/>
  <c r="H17" i="5"/>
  <c r="G29" i="11"/>
  <c r="H9" i="5"/>
  <c r="R34" i="6"/>
  <c r="I7" i="6" s="1"/>
  <c r="J24" i="1" s="1"/>
  <c r="T25" i="6"/>
  <c r="T34" i="6" s="1"/>
  <c r="J40" i="6" s="1"/>
  <c r="F15" i="13"/>
  <c r="F7" i="13"/>
  <c r="F6" i="13" s="1"/>
  <c r="I16" i="2"/>
  <c r="D5" i="36" s="1"/>
  <c r="C9" i="13"/>
  <c r="C16" i="13" s="1"/>
  <c r="E7" i="13"/>
  <c r="E6" i="13" s="1"/>
  <c r="E15" i="13"/>
  <c r="J20" i="3"/>
  <c r="D7" i="13"/>
  <c r="D6" i="13" s="1"/>
  <c r="D15" i="13"/>
  <c r="I9" i="3"/>
  <c r="I17" i="3" s="1"/>
  <c r="M8" i="3"/>
  <c r="L28" i="11" s="1"/>
  <c r="G15" i="13"/>
  <c r="G7" i="13"/>
  <c r="G6" i="13" s="1"/>
  <c r="H29" i="11"/>
  <c r="G25" i="8"/>
  <c r="I31" i="10"/>
  <c r="F20" i="9"/>
  <c r="F27" i="9" s="1"/>
  <c r="D37" i="7"/>
  <c r="C8" i="11"/>
  <c r="E31" i="10"/>
  <c r="L14" i="35"/>
  <c r="M14" i="35" s="1"/>
  <c r="K14" i="35" s="1"/>
  <c r="L13" i="40"/>
  <c r="F14" i="40"/>
  <c r="I6" i="6"/>
  <c r="E22" i="13" s="1"/>
  <c r="R35" i="6"/>
  <c r="E10" i="40"/>
  <c r="C37" i="7"/>
  <c r="C18" i="9"/>
  <c r="H25" i="1"/>
  <c r="I22" i="1" s="1"/>
  <c r="M9" i="10"/>
  <c r="G26" i="11" s="1"/>
  <c r="M9" i="1"/>
  <c r="M8" i="4" s="1"/>
  <c r="M7" i="5" s="1"/>
  <c r="U7" i="5" s="1"/>
  <c r="M13" i="13" s="1"/>
  <c r="M10" i="1"/>
  <c r="M9" i="4" s="1"/>
  <c r="M8" i="5" s="1"/>
  <c r="U8" i="5" s="1"/>
  <c r="M14" i="13" s="1"/>
  <c r="H4" i="36"/>
  <c r="M9" i="2"/>
  <c r="G9" i="13" s="1"/>
  <c r="M11" i="13" s="1"/>
  <c r="L7" i="12"/>
  <c r="L8" i="12" s="1"/>
  <c r="M16" i="5"/>
  <c r="M7" i="3"/>
  <c r="M22" i="3"/>
  <c r="M33" i="4"/>
  <c r="M15" i="3"/>
  <c r="M13" i="3"/>
  <c r="M14" i="3"/>
  <c r="M12" i="3"/>
  <c r="AD27" i="6"/>
  <c r="AF27" i="6" s="1"/>
  <c r="L47" i="6"/>
  <c r="M64" i="1" s="1"/>
  <c r="L64" i="1"/>
  <c r="H20" i="5"/>
  <c r="H54" i="9"/>
  <c r="J8" i="3"/>
  <c r="I28" i="11" s="1"/>
  <c r="M31" i="9"/>
  <c r="M20" i="3"/>
  <c r="F15" i="35"/>
  <c r="E59" i="1"/>
  <c r="E61" i="1" s="1"/>
  <c r="G21" i="10"/>
  <c r="AD32" i="6"/>
  <c r="AF32" i="6" s="1"/>
  <c r="G36" i="7"/>
  <c r="G33" i="9" s="1"/>
  <c r="G34" i="9" s="1"/>
  <c r="G38" i="9" s="1"/>
  <c r="F10" i="12"/>
  <c r="F20" i="11"/>
  <c r="G35" i="7"/>
  <c r="J50" i="9"/>
  <c r="J9" i="1"/>
  <c r="J8" i="4" s="1"/>
  <c r="J7" i="5" s="1"/>
  <c r="R7" i="5" s="1"/>
  <c r="J10" i="1"/>
  <c r="J9" i="4" s="1"/>
  <c r="J8" i="5" s="1"/>
  <c r="R8" i="5" s="1"/>
  <c r="E4" i="36"/>
  <c r="J9" i="2"/>
  <c r="J14" i="3"/>
  <c r="J13" i="3"/>
  <c r="J22" i="3"/>
  <c r="J12" i="3"/>
  <c r="J33" i="4"/>
  <c r="J16" i="5"/>
  <c r="J15" i="3"/>
  <c r="J7" i="3"/>
  <c r="I7" i="12"/>
  <c r="I8" i="12" s="1"/>
  <c r="I9" i="9"/>
  <c r="H18" i="6"/>
  <c r="H15" i="12" s="1"/>
  <c r="F6" i="11"/>
  <c r="K29" i="10"/>
  <c r="T14" i="35"/>
  <c r="D12" i="36"/>
  <c r="D13" i="36" s="1"/>
  <c r="D10" i="36"/>
  <c r="D9" i="36"/>
  <c r="D15" i="36"/>
  <c r="Y25" i="6"/>
  <c r="V25" i="6"/>
  <c r="G8" i="6"/>
  <c r="G9" i="6" s="1"/>
  <c r="L33" i="1"/>
  <c r="K14" i="4"/>
  <c r="K31" i="9"/>
  <c r="K20" i="3"/>
  <c r="J13" i="5"/>
  <c r="U34" i="6"/>
  <c r="Y24" i="6"/>
  <c r="X24" i="6"/>
  <c r="C8" i="16"/>
  <c r="B17" i="13"/>
  <c r="C13" i="16" s="1"/>
  <c r="N36" i="6"/>
  <c r="I41" i="6"/>
  <c r="AD28" i="6"/>
  <c r="AF28" i="6" s="1"/>
  <c r="N14" i="40"/>
  <c r="M13" i="40"/>
  <c r="K13" i="40" s="1"/>
  <c r="D59" i="1"/>
  <c r="D61" i="1" s="1"/>
  <c r="E21" i="10"/>
  <c r="L9" i="1"/>
  <c r="L8" i="4" s="1"/>
  <c r="L7" i="5" s="1"/>
  <c r="T7" i="5" s="1"/>
  <c r="L10" i="1"/>
  <c r="L9" i="4" s="1"/>
  <c r="L8" i="5" s="1"/>
  <c r="T8" i="5" s="1"/>
  <c r="G4" i="36"/>
  <c r="L9" i="2"/>
  <c r="F9" i="13" s="1"/>
  <c r="L7" i="3"/>
  <c r="L16" i="5"/>
  <c r="L22" i="3"/>
  <c r="L33" i="4"/>
  <c r="K7" i="12"/>
  <c r="K8" i="12" s="1"/>
  <c r="L13" i="3"/>
  <c r="L14" i="3"/>
  <c r="L12" i="3"/>
  <c r="L15" i="3"/>
  <c r="C11" i="35"/>
  <c r="G54" i="1"/>
  <c r="M17" i="10"/>
  <c r="L8" i="3"/>
  <c r="K28" i="11" s="1"/>
  <c r="D20" i="9"/>
  <c r="D27" i="9" s="1"/>
  <c r="Y26" i="6"/>
  <c r="V26" i="6"/>
  <c r="X26" i="6" s="1"/>
  <c r="L31" i="9"/>
  <c r="L20" i="3"/>
  <c r="R13" i="35"/>
  <c r="S13" i="35" s="1"/>
  <c r="Q13" i="35" s="1"/>
  <c r="D32" i="12"/>
  <c r="L34" i="1"/>
  <c r="K15" i="4"/>
  <c r="K13" i="5" s="1"/>
  <c r="F44" i="9"/>
  <c r="F45" i="9"/>
  <c r="E32" i="12" s="1"/>
  <c r="F57" i="1"/>
  <c r="I16" i="1"/>
  <c r="C13" i="13" s="1"/>
  <c r="H16" i="6"/>
  <c r="H14" i="12"/>
  <c r="I5" i="14"/>
  <c r="I7" i="14" s="1"/>
  <c r="I8" i="14" s="1"/>
  <c r="J4" i="14"/>
  <c r="D46" i="9"/>
  <c r="D57" i="9" s="1"/>
  <c r="K9" i="1"/>
  <c r="K8" i="4" s="1"/>
  <c r="K7" i="5" s="1"/>
  <c r="S7" i="5" s="1"/>
  <c r="L13" i="13" s="1"/>
  <c r="K10" i="1"/>
  <c r="K9" i="4" s="1"/>
  <c r="K8" i="5" s="1"/>
  <c r="S8" i="5" s="1"/>
  <c r="L14" i="13" s="1"/>
  <c r="F4" i="36"/>
  <c r="K9" i="2"/>
  <c r="E9" i="13" s="1"/>
  <c r="L11" i="13" s="1"/>
  <c r="K7" i="3"/>
  <c r="K22" i="3"/>
  <c r="K14" i="3"/>
  <c r="K33" i="4"/>
  <c r="J7" i="12"/>
  <c r="J8" i="12" s="1"/>
  <c r="K16" i="5"/>
  <c r="K13" i="3"/>
  <c r="K15" i="3"/>
  <c r="K12" i="3"/>
  <c r="C25" i="10"/>
  <c r="N15" i="35"/>
  <c r="D24" i="11"/>
  <c r="T13" i="40"/>
  <c r="E18" i="9"/>
  <c r="G28" i="10" s="1"/>
  <c r="E37" i="7"/>
  <c r="J12" i="5"/>
  <c r="K8" i="3"/>
  <c r="J28" i="11" s="1"/>
  <c r="E24" i="11"/>
  <c r="E22" i="11"/>
  <c r="G6" i="11"/>
  <c r="M29" i="10"/>
  <c r="E13" i="11"/>
  <c r="E46" i="9"/>
  <c r="E57" i="9" s="1"/>
  <c r="C5" i="36" l="1"/>
  <c r="H23" i="4"/>
  <c r="H34" i="4" s="1"/>
  <c r="H36" i="4" s="1"/>
  <c r="H37" i="4" s="1"/>
  <c r="H12" i="4"/>
  <c r="E55" i="42"/>
  <c r="J54" i="42"/>
  <c r="I13" i="6"/>
  <c r="J9" i="9" s="1"/>
  <c r="I8" i="1"/>
  <c r="I12" i="1" s="1"/>
  <c r="G12" i="6"/>
  <c r="G14" i="6" s="1"/>
  <c r="H25" i="9" s="1"/>
  <c r="B12" i="13"/>
  <c r="B23" i="13" s="1"/>
  <c r="I19" i="1"/>
  <c r="H8" i="6" s="1"/>
  <c r="H9" i="6" s="1"/>
  <c r="I29" i="11"/>
  <c r="M9" i="3"/>
  <c r="M17" i="3" s="1"/>
  <c r="C17" i="13"/>
  <c r="D13" i="16" s="1"/>
  <c r="D8" i="16"/>
  <c r="I7" i="7"/>
  <c r="I10" i="7" s="1"/>
  <c r="I8" i="9" s="1"/>
  <c r="J9" i="3"/>
  <c r="J17" i="3" s="1"/>
  <c r="J16" i="2"/>
  <c r="E5" i="36" s="1"/>
  <c r="D9" i="13"/>
  <c r="D16" i="13" s="1"/>
  <c r="G16" i="13"/>
  <c r="G17" i="13" s="1"/>
  <c r="E16" i="13"/>
  <c r="E17" i="13" s="1"/>
  <c r="F13" i="16" s="1"/>
  <c r="J29" i="11"/>
  <c r="O8" i="12"/>
  <c r="L9" i="3"/>
  <c r="L17" i="3" s="1"/>
  <c r="H13" i="9"/>
  <c r="F16" i="13"/>
  <c r="F17" i="13" s="1"/>
  <c r="M7" i="10"/>
  <c r="L15" i="35"/>
  <c r="M15" i="35" s="1"/>
  <c r="K15" i="35" s="1"/>
  <c r="R13" i="40"/>
  <c r="S13" i="40" s="1"/>
  <c r="Q13" i="40" s="1"/>
  <c r="R14" i="35"/>
  <c r="S14" i="35" s="1"/>
  <c r="Q14" i="35" s="1"/>
  <c r="O17" i="10"/>
  <c r="L14" i="40"/>
  <c r="M14" i="40" s="1"/>
  <c r="K14" i="40" s="1"/>
  <c r="C33" i="10"/>
  <c r="D17" i="10"/>
  <c r="D16" i="10"/>
  <c r="B18" i="12" s="1"/>
  <c r="D22" i="10"/>
  <c r="D15" i="10"/>
  <c r="B17" i="12" s="1"/>
  <c r="D21" i="10"/>
  <c r="D18" i="10"/>
  <c r="G9" i="12"/>
  <c r="H8" i="9"/>
  <c r="G7" i="11"/>
  <c r="F9" i="36"/>
  <c r="F15" i="36"/>
  <c r="F12" i="36"/>
  <c r="F13" i="36" s="1"/>
  <c r="F10" i="36"/>
  <c r="K4" i="14"/>
  <c r="K5" i="14" s="1"/>
  <c r="K7" i="14" s="1"/>
  <c r="K8" i="14" s="1"/>
  <c r="J5" i="14"/>
  <c r="J7" i="14" s="1"/>
  <c r="J8" i="14" s="1"/>
  <c r="D60" i="9"/>
  <c r="D58" i="9"/>
  <c r="D12" i="35"/>
  <c r="L16" i="2"/>
  <c r="L10" i="2"/>
  <c r="E23" i="10"/>
  <c r="J6" i="6"/>
  <c r="F22" i="13" s="1"/>
  <c r="V35" i="6"/>
  <c r="M33" i="1"/>
  <c r="M14" i="4" s="1"/>
  <c r="L14" i="4"/>
  <c r="V34" i="6"/>
  <c r="J7" i="6" s="1"/>
  <c r="T15" i="35"/>
  <c r="I7" i="4"/>
  <c r="G23" i="10"/>
  <c r="I20" i="1"/>
  <c r="D23" i="10"/>
  <c r="B19" i="12" s="1"/>
  <c r="F59" i="1"/>
  <c r="F61" i="1" s="1"/>
  <c r="I21" i="10"/>
  <c r="M34" i="1"/>
  <c r="M15" i="4" s="1"/>
  <c r="M13" i="5" s="1"/>
  <c r="L15" i="4"/>
  <c r="L13" i="5" s="1"/>
  <c r="G44" i="9"/>
  <c r="G45" i="9"/>
  <c r="F32" i="12" s="1"/>
  <c r="G57" i="1"/>
  <c r="K29" i="11"/>
  <c r="G15" i="36"/>
  <c r="G9" i="36"/>
  <c r="G12" i="36"/>
  <c r="G13" i="36" s="1"/>
  <c r="G10" i="36"/>
  <c r="N15" i="40"/>
  <c r="E20" i="9"/>
  <c r="E27" i="9" s="1"/>
  <c r="Z25" i="6"/>
  <c r="AB25" i="6" s="1"/>
  <c r="AC25" i="6"/>
  <c r="N8" i="12"/>
  <c r="H27" i="1"/>
  <c r="I17" i="1"/>
  <c r="L29" i="11"/>
  <c r="M16" i="2"/>
  <c r="M10" i="2"/>
  <c r="C28" i="10"/>
  <c r="C20" i="9"/>
  <c r="C27" i="9" s="1"/>
  <c r="C58" i="9" s="1"/>
  <c r="R36" i="6"/>
  <c r="J41" i="6"/>
  <c r="G24" i="11"/>
  <c r="D8" i="11"/>
  <c r="G31" i="10"/>
  <c r="K9" i="3"/>
  <c r="K17" i="3" s="1"/>
  <c r="C22" i="15"/>
  <c r="F24" i="11"/>
  <c r="F22" i="11"/>
  <c r="E9" i="36"/>
  <c r="E15" i="36"/>
  <c r="E12" i="36"/>
  <c r="E13" i="36" s="1"/>
  <c r="E10" i="36"/>
  <c r="G37" i="7"/>
  <c r="G18" i="9"/>
  <c r="F16" i="35"/>
  <c r="I18" i="6"/>
  <c r="I15" i="12" s="1"/>
  <c r="H12" i="36"/>
  <c r="H13" i="36" s="1"/>
  <c r="H10" i="36"/>
  <c r="H15" i="36"/>
  <c r="H9" i="36"/>
  <c r="J16" i="1"/>
  <c r="D13" i="13" s="1"/>
  <c r="I14" i="12"/>
  <c r="I16" i="6"/>
  <c r="T14" i="40"/>
  <c r="N16" i="35"/>
  <c r="K16" i="2"/>
  <c r="K10" i="2"/>
  <c r="F46" i="9"/>
  <c r="F57" i="9" s="1"/>
  <c r="Z26" i="6"/>
  <c r="AB26" i="6" s="1"/>
  <c r="AC26" i="6"/>
  <c r="AC24" i="6"/>
  <c r="Y34" i="6"/>
  <c r="AB24" i="6"/>
  <c r="K12" i="5"/>
  <c r="X25" i="6"/>
  <c r="X34" i="6" s="1"/>
  <c r="K40" i="6" s="1"/>
  <c r="K50" i="9"/>
  <c r="I10" i="4"/>
  <c r="C10" i="40"/>
  <c r="F15" i="40"/>
  <c r="C13" i="11"/>
  <c r="B11" i="13" l="1"/>
  <c r="B18" i="13" s="1"/>
  <c r="C7" i="15" s="1"/>
  <c r="H25" i="4"/>
  <c r="G11" i="12" s="1"/>
  <c r="I35" i="4"/>
  <c r="E56" i="42"/>
  <c r="J55" i="42"/>
  <c r="P8" i="12"/>
  <c r="G17" i="6"/>
  <c r="G13" i="12" s="1"/>
  <c r="D22" i="15"/>
  <c r="D32" i="15" s="1"/>
  <c r="J7" i="7"/>
  <c r="J10" i="7" s="1"/>
  <c r="J8" i="9" s="1"/>
  <c r="H9" i="12"/>
  <c r="H31" i="11" s="1"/>
  <c r="H12" i="6"/>
  <c r="H14" i="6" s="1"/>
  <c r="I25" i="9" s="1"/>
  <c r="C12" i="13"/>
  <c r="C23" i="13" s="1"/>
  <c r="AB34" i="6"/>
  <c r="L40" i="6" s="1"/>
  <c r="C14" i="16"/>
  <c r="B24" i="13"/>
  <c r="B26" i="13" s="1"/>
  <c r="H7" i="11"/>
  <c r="H11" i="11" s="1"/>
  <c r="D17" i="13"/>
  <c r="E13" i="16" s="1"/>
  <c r="E8" i="16"/>
  <c r="F8" i="16"/>
  <c r="F22" i="15" s="1"/>
  <c r="O9" i="10"/>
  <c r="H26" i="11" s="1"/>
  <c r="R15" i="35"/>
  <c r="S15" i="35" s="1"/>
  <c r="Q15" i="35" s="1"/>
  <c r="R14" i="40"/>
  <c r="L15" i="40"/>
  <c r="F5" i="36"/>
  <c r="K7" i="7"/>
  <c r="K10" i="7" s="1"/>
  <c r="K17" i="2"/>
  <c r="I23" i="10"/>
  <c r="F16" i="40"/>
  <c r="F17" i="35"/>
  <c r="D13" i="11"/>
  <c r="D10" i="11"/>
  <c r="E10" i="11"/>
  <c r="H5" i="36"/>
  <c r="M7" i="7"/>
  <c r="M10" i="7" s="1"/>
  <c r="M17" i="2"/>
  <c r="I11" i="4"/>
  <c r="I6" i="5"/>
  <c r="I9" i="5" s="1"/>
  <c r="G5" i="36"/>
  <c r="L7" i="7"/>
  <c r="L10" i="7" s="1"/>
  <c r="L17" i="2"/>
  <c r="G31" i="11"/>
  <c r="B29" i="12"/>
  <c r="N17" i="35"/>
  <c r="N16" i="40"/>
  <c r="M15" i="40"/>
  <c r="K15" i="40" s="1"/>
  <c r="K24" i="1"/>
  <c r="J13" i="6"/>
  <c r="K41" i="6"/>
  <c r="V36" i="6"/>
  <c r="D11" i="40"/>
  <c r="L16" i="35"/>
  <c r="M16" i="35" s="1"/>
  <c r="K16" i="35" s="1"/>
  <c r="G8" i="16"/>
  <c r="G13" i="16"/>
  <c r="G46" i="9"/>
  <c r="G57" i="9" s="1"/>
  <c r="G11" i="11"/>
  <c r="G22" i="11"/>
  <c r="J11" i="1"/>
  <c r="K6" i="6"/>
  <c r="G22" i="13" s="1"/>
  <c r="Z35" i="6"/>
  <c r="AD26" i="6"/>
  <c r="AF26" i="6" s="1"/>
  <c r="F60" i="9"/>
  <c r="F58" i="9"/>
  <c r="I54" i="9"/>
  <c r="AD25" i="6"/>
  <c r="G25" i="10"/>
  <c r="H23" i="10" s="1"/>
  <c r="D19" i="12" s="1"/>
  <c r="J8" i="1"/>
  <c r="L12" i="5"/>
  <c r="K16" i="1"/>
  <c r="J14" i="12"/>
  <c r="J16" i="6"/>
  <c r="E25" i="10"/>
  <c r="E12" i="35"/>
  <c r="I10" i="9"/>
  <c r="L50" i="9"/>
  <c r="AC34" i="6"/>
  <c r="AF24" i="6"/>
  <c r="S14" i="40"/>
  <c r="Q14" i="40" s="1"/>
  <c r="T15" i="40"/>
  <c r="K28" i="10"/>
  <c r="G20" i="9"/>
  <c r="G27" i="9" s="1"/>
  <c r="C32" i="15"/>
  <c r="C31" i="10"/>
  <c r="B8" i="11"/>
  <c r="Z34" i="6"/>
  <c r="K7" i="6" s="1"/>
  <c r="E60" i="9"/>
  <c r="E58" i="9"/>
  <c r="G59" i="1"/>
  <c r="G61" i="1" s="1"/>
  <c r="C48" i="14"/>
  <c r="K21" i="10"/>
  <c r="B19" i="38"/>
  <c r="I25" i="1"/>
  <c r="J20" i="1" s="1"/>
  <c r="T16" i="35"/>
  <c r="M12" i="5"/>
  <c r="H10" i="9"/>
  <c r="H15" i="9" s="1"/>
  <c r="E57" i="42" l="1"/>
  <c r="J56" i="42"/>
  <c r="I9" i="12"/>
  <c r="I31" i="11" s="1"/>
  <c r="I7" i="11"/>
  <c r="H17" i="6"/>
  <c r="H13" i="12" s="1"/>
  <c r="E13" i="13"/>
  <c r="B27" i="13"/>
  <c r="C9" i="16"/>
  <c r="C10" i="16" s="1"/>
  <c r="B28" i="13"/>
  <c r="C8" i="15" s="1"/>
  <c r="C11" i="15" s="1"/>
  <c r="C24" i="13"/>
  <c r="D14" i="16"/>
  <c r="E22" i="15"/>
  <c r="E32" i="15" s="1"/>
  <c r="G60" i="9"/>
  <c r="R15" i="40"/>
  <c r="S15" i="40" s="1"/>
  <c r="Q15" i="40" s="1"/>
  <c r="R16" i="35"/>
  <c r="S16" i="35" s="1"/>
  <c r="Q16" i="35" s="1"/>
  <c r="L17" i="35"/>
  <c r="M17" i="35" s="1"/>
  <c r="K17" i="35" s="1"/>
  <c r="K23" i="10"/>
  <c r="B13" i="11"/>
  <c r="C10" i="11"/>
  <c r="J22" i="1"/>
  <c r="J19" i="1"/>
  <c r="F22" i="10"/>
  <c r="E33" i="10"/>
  <c r="F16" i="10"/>
  <c r="C18" i="12" s="1"/>
  <c r="F17" i="10"/>
  <c r="E26" i="10"/>
  <c r="F15" i="10"/>
  <c r="C17" i="12" s="1"/>
  <c r="F18" i="10"/>
  <c r="F21" i="10"/>
  <c r="J12" i="1"/>
  <c r="K8" i="1" s="1"/>
  <c r="J7" i="4"/>
  <c r="AD34" i="6"/>
  <c r="L7" i="6" s="1"/>
  <c r="L16" i="1"/>
  <c r="K16" i="6"/>
  <c r="K14" i="12"/>
  <c r="I11" i="11"/>
  <c r="F18" i="35"/>
  <c r="B20" i="38"/>
  <c r="B36" i="38" s="1"/>
  <c r="B13" i="38"/>
  <c r="B14" i="38" s="1"/>
  <c r="B40" i="38" s="1"/>
  <c r="T16" i="40"/>
  <c r="L6" i="6"/>
  <c r="AD35" i="6"/>
  <c r="F23" i="10"/>
  <c r="C19" i="12" s="1"/>
  <c r="H13" i="16"/>
  <c r="H8" i="16"/>
  <c r="J17" i="1"/>
  <c r="J10" i="4"/>
  <c r="I27" i="1"/>
  <c r="G22" i="15"/>
  <c r="E11" i="40"/>
  <c r="K7" i="11"/>
  <c r="L8" i="9"/>
  <c r="K9" i="12"/>
  <c r="K31" i="11" s="1"/>
  <c r="I25" i="10"/>
  <c r="J23" i="10" s="1"/>
  <c r="E19" i="12" s="1"/>
  <c r="K8" i="9"/>
  <c r="J7" i="11"/>
  <c r="J9" i="12"/>
  <c r="T17" i="35"/>
  <c r="G33" i="10"/>
  <c r="H22" i="10"/>
  <c r="H16" i="10"/>
  <c r="D18" i="12" s="1"/>
  <c r="G26" i="10"/>
  <c r="H17" i="10"/>
  <c r="H15" i="10"/>
  <c r="D17" i="12" s="1"/>
  <c r="H18" i="10"/>
  <c r="H21" i="10"/>
  <c r="N17" i="40"/>
  <c r="J10" i="9"/>
  <c r="L7" i="11"/>
  <c r="L9" i="12"/>
  <c r="L31" i="11" s="1"/>
  <c r="M8" i="9"/>
  <c r="L16" i="40"/>
  <c r="M16" i="40" s="1"/>
  <c r="K16" i="40" s="1"/>
  <c r="C41" i="14"/>
  <c r="C42" i="14" s="1"/>
  <c r="C49" i="14"/>
  <c r="L24" i="1"/>
  <c r="K13" i="6"/>
  <c r="F8" i="11"/>
  <c r="K31" i="10"/>
  <c r="M50" i="9"/>
  <c r="C12" i="35"/>
  <c r="AF25" i="6"/>
  <c r="AF34" i="6" s="1"/>
  <c r="M40" i="6" s="1"/>
  <c r="L41" i="6"/>
  <c r="Z36" i="6"/>
  <c r="J18" i="6"/>
  <c r="J15" i="12" s="1"/>
  <c r="K9" i="9"/>
  <c r="N18" i="35"/>
  <c r="F17" i="40"/>
  <c r="F32" i="15"/>
  <c r="E58" i="42" l="1"/>
  <c r="J57" i="42"/>
  <c r="F13" i="13"/>
  <c r="D23" i="15"/>
  <c r="D25" i="15" s="1"/>
  <c r="C20" i="15"/>
  <c r="C14" i="15"/>
  <c r="C15" i="15"/>
  <c r="C26" i="13"/>
  <c r="B37" i="38"/>
  <c r="B42" i="38" s="1"/>
  <c r="K12" i="1"/>
  <c r="K7" i="4"/>
  <c r="R17" i="35"/>
  <c r="S17" i="35" s="1"/>
  <c r="Q17" i="35" s="1"/>
  <c r="L18" i="35"/>
  <c r="M18" i="35" s="1"/>
  <c r="K18" i="35" s="1"/>
  <c r="L17" i="40"/>
  <c r="M17" i="40" s="1"/>
  <c r="K17" i="40" s="1"/>
  <c r="F18" i="40"/>
  <c r="D13" i="35"/>
  <c r="K18" i="6"/>
  <c r="K15" i="12" s="1"/>
  <c r="L9" i="9"/>
  <c r="L10" i="9" s="1"/>
  <c r="J31" i="11"/>
  <c r="N9" i="12"/>
  <c r="M41" i="6"/>
  <c r="AD36" i="6"/>
  <c r="J11" i="4"/>
  <c r="J6" i="5"/>
  <c r="J9" i="5" s="1"/>
  <c r="J11" i="11"/>
  <c r="O9" i="12"/>
  <c r="K11" i="1"/>
  <c r="M16" i="1"/>
  <c r="L14" i="12"/>
  <c r="L16" i="6"/>
  <c r="F19" i="35"/>
  <c r="K25" i="10"/>
  <c r="N18" i="40"/>
  <c r="T18" i="35"/>
  <c r="J16" i="10"/>
  <c r="E18" i="12" s="1"/>
  <c r="J15" i="10"/>
  <c r="E17" i="12" s="1"/>
  <c r="J18" i="10"/>
  <c r="I33" i="10"/>
  <c r="I26" i="10"/>
  <c r="J17" i="10"/>
  <c r="J22" i="10"/>
  <c r="J21" i="10"/>
  <c r="G32" i="15"/>
  <c r="J54" i="9"/>
  <c r="J25" i="1"/>
  <c r="K20" i="1" s="1"/>
  <c r="T17" i="40"/>
  <c r="C29" i="12"/>
  <c r="I8" i="6"/>
  <c r="I9" i="6" s="1"/>
  <c r="Q9" i="10"/>
  <c r="I26" i="11" s="1"/>
  <c r="R16" i="40"/>
  <c r="S16" i="40" s="1"/>
  <c r="Q16" i="40" s="1"/>
  <c r="N19" i="35"/>
  <c r="F13" i="11"/>
  <c r="F10" i="11"/>
  <c r="L11" i="11"/>
  <c r="D29" i="12"/>
  <c r="K10" i="9"/>
  <c r="K11" i="11"/>
  <c r="C11" i="40"/>
  <c r="H22" i="15"/>
  <c r="M24" i="1"/>
  <c r="L13" i="6"/>
  <c r="Q17" i="10"/>
  <c r="E59" i="42" l="1"/>
  <c r="J58" i="42"/>
  <c r="C16" i="15"/>
  <c r="C18" i="15" s="1"/>
  <c r="G13" i="13"/>
  <c r="P9" i="12"/>
  <c r="I12" i="6"/>
  <c r="I14" i="6" s="1"/>
  <c r="J25" i="9" s="1"/>
  <c r="D12" i="13"/>
  <c r="D23" i="13" s="1"/>
  <c r="C28" i="13"/>
  <c r="D8" i="15" s="1"/>
  <c r="D9" i="16"/>
  <c r="D10" i="16" s="1"/>
  <c r="C27" i="13"/>
  <c r="K19" i="1"/>
  <c r="J8" i="6" s="1"/>
  <c r="J9" i="6" s="1"/>
  <c r="K17" i="1"/>
  <c r="J27" i="1"/>
  <c r="E29" i="12"/>
  <c r="L18" i="40"/>
  <c r="M18" i="40" s="1"/>
  <c r="K18" i="40" s="1"/>
  <c r="R18" i="35"/>
  <c r="S18" i="35" s="1"/>
  <c r="Q18" i="35" s="1"/>
  <c r="L19" i="35"/>
  <c r="M19" i="35" s="1"/>
  <c r="K19" i="35" s="1"/>
  <c r="R17" i="40"/>
  <c r="S17" i="40" s="1"/>
  <c r="Q17" i="40" s="1"/>
  <c r="D12" i="40"/>
  <c r="M9" i="9"/>
  <c r="M10" i="9" s="1"/>
  <c r="L18" i="6"/>
  <c r="L15" i="12" s="1"/>
  <c r="N20" i="35"/>
  <c r="L22" i="10"/>
  <c r="K26" i="10"/>
  <c r="K33" i="10"/>
  <c r="L17" i="10"/>
  <c r="L16" i="10"/>
  <c r="F18" i="12" s="1"/>
  <c r="L15" i="10"/>
  <c r="F17" i="12" s="1"/>
  <c r="L18" i="10"/>
  <c r="L21" i="10"/>
  <c r="F20" i="35"/>
  <c r="E13" i="35"/>
  <c r="T19" i="35"/>
  <c r="L23" i="10"/>
  <c r="F19" i="12" s="1"/>
  <c r="O14" i="12"/>
  <c r="N14" i="12"/>
  <c r="F19" i="40"/>
  <c r="K11" i="4"/>
  <c r="K6" i="5"/>
  <c r="K9" i="5" s="1"/>
  <c r="T18" i="40"/>
  <c r="F15" i="11"/>
  <c r="E15" i="11" s="1"/>
  <c r="C46" i="38"/>
  <c r="C48" i="38" s="1"/>
  <c r="K22" i="1"/>
  <c r="H32" i="15"/>
  <c r="N19" i="40"/>
  <c r="K10" i="4"/>
  <c r="L11" i="1"/>
  <c r="L8" i="1"/>
  <c r="E60" i="42" l="1"/>
  <c r="J59" i="42"/>
  <c r="I17" i="6"/>
  <c r="I13" i="12" s="1"/>
  <c r="J12" i="6"/>
  <c r="J14" i="6" s="1"/>
  <c r="J17" i="6" s="1"/>
  <c r="J13" i="12" s="1"/>
  <c r="E12" i="13"/>
  <c r="E23" i="13" s="1"/>
  <c r="D24" i="13"/>
  <c r="E14" i="16"/>
  <c r="P14" i="12"/>
  <c r="K25" i="1"/>
  <c r="L17" i="1" s="1"/>
  <c r="S9" i="10"/>
  <c r="J26" i="11" s="1"/>
  <c r="L19" i="40"/>
  <c r="R18" i="40"/>
  <c r="S18" i="40" s="1"/>
  <c r="Q18" i="40" s="1"/>
  <c r="L12" i="1"/>
  <c r="M11" i="1" s="1"/>
  <c r="M10" i="4" s="1"/>
  <c r="L7" i="4"/>
  <c r="D15" i="11"/>
  <c r="E16" i="11"/>
  <c r="E18" i="11" s="1"/>
  <c r="O15" i="12"/>
  <c r="N15" i="12"/>
  <c r="N20" i="40"/>
  <c r="M19" i="40"/>
  <c r="K19" i="40" s="1"/>
  <c r="F20" i="40"/>
  <c r="L20" i="35"/>
  <c r="M20" i="35" s="1"/>
  <c r="K20" i="35" s="1"/>
  <c r="L10" i="4"/>
  <c r="S17" i="10"/>
  <c r="K54" i="9"/>
  <c r="F16" i="11"/>
  <c r="F18" i="11" s="1"/>
  <c r="F21" i="35"/>
  <c r="F29" i="12"/>
  <c r="N21" i="35"/>
  <c r="E12" i="40"/>
  <c r="T19" i="40"/>
  <c r="C13" i="35"/>
  <c r="R19" i="35"/>
  <c r="S19" i="35" s="1"/>
  <c r="Q19" i="35" s="1"/>
  <c r="T20" i="35"/>
  <c r="E61" i="42" l="1"/>
  <c r="J60" i="42"/>
  <c r="K25" i="9"/>
  <c r="D26" i="13"/>
  <c r="E24" i="13"/>
  <c r="F14" i="16"/>
  <c r="K27" i="1"/>
  <c r="L22" i="1"/>
  <c r="U17" i="10" s="1"/>
  <c r="L19" i="1"/>
  <c r="L20" i="1"/>
  <c r="R20" i="35"/>
  <c r="S20" i="35" s="1"/>
  <c r="Q20" i="35" s="1"/>
  <c r="L20" i="40"/>
  <c r="M20" i="40" s="1"/>
  <c r="K20" i="40" s="1"/>
  <c r="R19" i="40"/>
  <c r="S19" i="40" s="1"/>
  <c r="Q19" i="40" s="1"/>
  <c r="C15" i="11"/>
  <c r="D16" i="11"/>
  <c r="D18" i="11" s="1"/>
  <c r="T21" i="35"/>
  <c r="D14" i="35"/>
  <c r="E14" i="35" s="1"/>
  <c r="C14" i="35" s="1"/>
  <c r="F21" i="40"/>
  <c r="L6" i="5"/>
  <c r="L9" i="5" s="1"/>
  <c r="L11" i="4"/>
  <c r="N22" i="35"/>
  <c r="L21" i="35"/>
  <c r="M21" i="35" s="1"/>
  <c r="K21" i="35" s="1"/>
  <c r="T20" i="40"/>
  <c r="N21" i="40"/>
  <c r="C12" i="40"/>
  <c r="F22" i="35"/>
  <c r="P15" i="12"/>
  <c r="M8" i="1"/>
  <c r="E62" i="42" l="1"/>
  <c r="J61" i="42"/>
  <c r="D28" i="13"/>
  <c r="E9" i="16"/>
  <c r="E10" i="16" s="1"/>
  <c r="D27" i="13"/>
  <c r="E26" i="13"/>
  <c r="L54" i="9"/>
  <c r="L25" i="1"/>
  <c r="M19" i="1" s="1"/>
  <c r="L8" i="6" s="1"/>
  <c r="L9" i="6" s="1"/>
  <c r="G12" i="13" s="1"/>
  <c r="G23" i="13" s="1"/>
  <c r="U9" i="10"/>
  <c r="K26" i="11" s="1"/>
  <c r="K8" i="6"/>
  <c r="K9" i="6" s="1"/>
  <c r="L22" i="35"/>
  <c r="M22" i="35" s="1"/>
  <c r="K22" i="35" s="1"/>
  <c r="R20" i="40"/>
  <c r="S20" i="40" s="1"/>
  <c r="Q20" i="40" s="1"/>
  <c r="R21" i="35"/>
  <c r="S21" i="35" s="1"/>
  <c r="Q21" i="35" s="1"/>
  <c r="T22" i="35"/>
  <c r="D13" i="40"/>
  <c r="E13" i="40" s="1"/>
  <c r="N22" i="40"/>
  <c r="F22" i="40"/>
  <c r="D15" i="35"/>
  <c r="E15" i="35" s="1"/>
  <c r="C15" i="35" s="1"/>
  <c r="M12" i="1"/>
  <c r="M7" i="4"/>
  <c r="N23" i="35"/>
  <c r="B15" i="11"/>
  <c r="B16" i="11" s="1"/>
  <c r="B18" i="11" s="1"/>
  <c r="C16" i="11"/>
  <c r="C18" i="11" s="1"/>
  <c r="L21" i="40"/>
  <c r="M21" i="40" s="1"/>
  <c r="K21" i="40" s="1"/>
  <c r="F23" i="35"/>
  <c r="T21" i="40"/>
  <c r="E63" i="42" l="1"/>
  <c r="J62" i="42"/>
  <c r="G24" i="13"/>
  <c r="G26" i="13" s="1"/>
  <c r="H9" i="16" s="1"/>
  <c r="H10" i="16" s="1"/>
  <c r="H14" i="16"/>
  <c r="F9" i="16"/>
  <c r="F10" i="16" s="1"/>
  <c r="E27" i="13"/>
  <c r="K12" i="6"/>
  <c r="K14" i="6" s="1"/>
  <c r="K17" i="6" s="1"/>
  <c r="K13" i="12" s="1"/>
  <c r="F12" i="13"/>
  <c r="F23" i="13" s="1"/>
  <c r="E28" i="13"/>
  <c r="E8" i="15"/>
  <c r="M17" i="1"/>
  <c r="M22" i="1"/>
  <c r="W17" i="10" s="1"/>
  <c r="L27" i="1"/>
  <c r="M20" i="1"/>
  <c r="L12" i="6"/>
  <c r="L14" i="6" s="1"/>
  <c r="M25" i="9" s="1"/>
  <c r="R21" i="40"/>
  <c r="S21" i="40" s="1"/>
  <c r="Q21" i="40" s="1"/>
  <c r="R22" i="35"/>
  <c r="S22" i="35" s="1"/>
  <c r="Q22" i="35" s="1"/>
  <c r="L23" i="35"/>
  <c r="M23" i="35" s="1"/>
  <c r="K23" i="35" s="1"/>
  <c r="L22" i="40"/>
  <c r="M22" i="40" s="1"/>
  <c r="K22" i="40" s="1"/>
  <c r="D16" i="35"/>
  <c r="E16" i="35" s="1"/>
  <c r="C16" i="35" s="1"/>
  <c r="F24" i="35"/>
  <c r="N24" i="35"/>
  <c r="T22" i="40"/>
  <c r="M6" i="5"/>
  <c r="M9" i="5" s="1"/>
  <c r="M11" i="4"/>
  <c r="C13" i="40"/>
  <c r="T23" i="35"/>
  <c r="F23" i="40"/>
  <c r="N23" i="40"/>
  <c r="E64" i="42" l="1"/>
  <c r="J63" i="42"/>
  <c r="L25" i="9"/>
  <c r="L17" i="6"/>
  <c r="L13" i="12" s="1"/>
  <c r="N13" i="12" s="1"/>
  <c r="F8" i="15"/>
  <c r="G14" i="16"/>
  <c r="F24" i="13"/>
  <c r="G27" i="13"/>
  <c r="W9" i="10"/>
  <c r="L26" i="11" s="1"/>
  <c r="M25" i="1"/>
  <c r="M27" i="1" s="1"/>
  <c r="M54" i="9"/>
  <c r="R23" i="35"/>
  <c r="S23" i="35" s="1"/>
  <c r="Q23" i="35" s="1"/>
  <c r="R22" i="40"/>
  <c r="S22" i="40" s="1"/>
  <c r="Q22" i="40" s="1"/>
  <c r="L23" i="40"/>
  <c r="M23" i="40" s="1"/>
  <c r="K23" i="40" s="1"/>
  <c r="L24" i="35"/>
  <c r="M24" i="35" s="1"/>
  <c r="K24" i="35" s="1"/>
  <c r="D14" i="40"/>
  <c r="E14" i="40" s="1"/>
  <c r="C14" i="40" s="1"/>
  <c r="N25" i="35"/>
  <c r="D17" i="35"/>
  <c r="E17" i="35" s="1"/>
  <c r="C17" i="35" s="1"/>
  <c r="N24" i="40"/>
  <c r="T24" i="35"/>
  <c r="F25" i="35"/>
  <c r="F24" i="40"/>
  <c r="T23" i="40"/>
  <c r="O13" i="12" l="1"/>
  <c r="P13" i="12" s="1"/>
  <c r="E65" i="42"/>
  <c r="J64" i="42"/>
  <c r="F26" i="13"/>
  <c r="L25" i="35"/>
  <c r="M25" i="35" s="1"/>
  <c r="K25" i="35" s="1"/>
  <c r="R23" i="40"/>
  <c r="S23" i="40" s="1"/>
  <c r="Q23" i="40" s="1"/>
  <c r="L24" i="40"/>
  <c r="M24" i="40" s="1"/>
  <c r="K24" i="40" s="1"/>
  <c r="D15" i="40"/>
  <c r="E15" i="40" s="1"/>
  <c r="C15" i="40" s="1"/>
  <c r="D18" i="35"/>
  <c r="E18" i="35" s="1"/>
  <c r="C18" i="35" s="1"/>
  <c r="R24" i="35"/>
  <c r="S24" i="35" s="1"/>
  <c r="Q24" i="35" s="1"/>
  <c r="F26" i="35"/>
  <c r="N25" i="40"/>
  <c r="N26" i="35"/>
  <c r="T24" i="40"/>
  <c r="F25" i="40"/>
  <c r="T25" i="35"/>
  <c r="E66" i="42" l="1"/>
  <c r="J65" i="42"/>
  <c r="G9" i="16"/>
  <c r="G10" i="16" s="1"/>
  <c r="F28" i="13"/>
  <c r="F27" i="13"/>
  <c r="R24" i="40"/>
  <c r="S24" i="40" s="1"/>
  <c r="Q24" i="40" s="1"/>
  <c r="R25" i="35"/>
  <c r="S25" i="35" s="1"/>
  <c r="Q25" i="35" s="1"/>
  <c r="D16" i="40"/>
  <c r="E16" i="40" s="1"/>
  <c r="C16" i="40" s="1"/>
  <c r="L26" i="35"/>
  <c r="M26" i="35" s="1"/>
  <c r="K26" i="35" s="1"/>
  <c r="L25" i="40"/>
  <c r="M25" i="40" s="1"/>
  <c r="K25" i="40" s="1"/>
  <c r="D19" i="35"/>
  <c r="E19" i="35" s="1"/>
  <c r="C19" i="35" s="1"/>
  <c r="T26" i="35"/>
  <c r="T25" i="40"/>
  <c r="N26" i="40"/>
  <c r="F26" i="40"/>
  <c r="N27" i="35"/>
  <c r="F27" i="35"/>
  <c r="E67" i="42" l="1"/>
  <c r="J66" i="42"/>
  <c r="G28" i="13"/>
  <c r="H8" i="15" s="1"/>
  <c r="G8" i="15"/>
  <c r="L27" i="35"/>
  <c r="M27" i="35" s="1"/>
  <c r="K27" i="35" s="1"/>
  <c r="L26" i="40"/>
  <c r="M26" i="40" s="1"/>
  <c r="K26" i="40" s="1"/>
  <c r="R25" i="40"/>
  <c r="S25" i="40" s="1"/>
  <c r="Q25" i="40" s="1"/>
  <c r="R26" i="35"/>
  <c r="S26" i="35" s="1"/>
  <c r="Q26" i="35" s="1"/>
  <c r="D17" i="40"/>
  <c r="E17" i="40" s="1"/>
  <c r="C17" i="40" s="1"/>
  <c r="N28" i="35"/>
  <c r="N27" i="40"/>
  <c r="T27" i="35"/>
  <c r="F28" i="35"/>
  <c r="F27" i="40"/>
  <c r="T26" i="40"/>
  <c r="D20" i="35"/>
  <c r="E20" i="35" s="1"/>
  <c r="C20" i="35" s="1"/>
  <c r="E68" i="42" l="1"/>
  <c r="J67" i="42"/>
  <c r="D18" i="40"/>
  <c r="E18" i="40" s="1"/>
  <c r="C18" i="40" s="1"/>
  <c r="L28" i="35"/>
  <c r="M28" i="35" s="1"/>
  <c r="K28" i="35" s="1"/>
  <c r="R27" i="35"/>
  <c r="S27" i="35" s="1"/>
  <c r="Q27" i="35" s="1"/>
  <c r="L27" i="40"/>
  <c r="M27" i="40" s="1"/>
  <c r="K27" i="40" s="1"/>
  <c r="R26" i="40"/>
  <c r="S26" i="40" s="1"/>
  <c r="Q26" i="40" s="1"/>
  <c r="F29" i="35"/>
  <c r="N28" i="40"/>
  <c r="D21" i="35"/>
  <c r="F28" i="40"/>
  <c r="T28" i="35"/>
  <c r="N29" i="35"/>
  <c r="T27" i="40"/>
  <c r="E69" i="42" l="1"/>
  <c r="J68" i="42"/>
  <c r="R27" i="40"/>
  <c r="S27" i="40" s="1"/>
  <c r="Q27" i="40" s="1"/>
  <c r="D19" i="40"/>
  <c r="E19" i="40" s="1"/>
  <c r="C19" i="40" s="1"/>
  <c r="L29" i="35"/>
  <c r="M29" i="35" s="1"/>
  <c r="K29" i="35" s="1"/>
  <c r="L28" i="40"/>
  <c r="M28" i="40" s="1"/>
  <c r="K28" i="40" s="1"/>
  <c r="R28" i="35"/>
  <c r="S28" i="35" s="1"/>
  <c r="Q28" i="35" s="1"/>
  <c r="N30" i="35"/>
  <c r="F29" i="40"/>
  <c r="N29" i="40"/>
  <c r="T28" i="40"/>
  <c r="T29" i="35"/>
  <c r="F30" i="35"/>
  <c r="G21" i="35"/>
  <c r="H20" i="2" s="1"/>
  <c r="E21" i="35"/>
  <c r="E70" i="42" l="1"/>
  <c r="J69" i="42"/>
  <c r="D20" i="40"/>
  <c r="R29" i="35"/>
  <c r="S29" i="35" s="1"/>
  <c r="Q29" i="35" s="1"/>
  <c r="R28" i="40"/>
  <c r="S28" i="40" s="1"/>
  <c r="Q28" i="40" s="1"/>
  <c r="L29" i="40"/>
  <c r="M29" i="40" s="1"/>
  <c r="K29" i="40" s="1"/>
  <c r="L30" i="35"/>
  <c r="M30" i="35" s="1"/>
  <c r="K30" i="35" s="1"/>
  <c r="F31" i="35"/>
  <c r="T29" i="40"/>
  <c r="F30" i="40"/>
  <c r="H21" i="35"/>
  <c r="C21" i="35"/>
  <c r="T30" i="35"/>
  <c r="N30" i="40"/>
  <c r="N31" i="35"/>
  <c r="H32" i="9"/>
  <c r="H21" i="3"/>
  <c r="H23" i="3" s="1"/>
  <c r="H25" i="3" s="1"/>
  <c r="H22" i="2"/>
  <c r="E71" i="42" l="1"/>
  <c r="J70" i="42"/>
  <c r="L30" i="40"/>
  <c r="M30" i="40" s="1"/>
  <c r="K30" i="40" s="1"/>
  <c r="L31" i="35"/>
  <c r="R29" i="40"/>
  <c r="S29" i="40" s="1"/>
  <c r="Q29" i="40" s="1"/>
  <c r="N31" i="40"/>
  <c r="T30" i="40"/>
  <c r="M31" i="35"/>
  <c r="K31" i="35" s="1"/>
  <c r="N32" i="35"/>
  <c r="T31" i="35"/>
  <c r="F31" i="40"/>
  <c r="F32" i="35"/>
  <c r="R30" i="35"/>
  <c r="S30" i="35" s="1"/>
  <c r="Q30" i="35" s="1"/>
  <c r="H11" i="7"/>
  <c r="H13" i="7" s="1"/>
  <c r="C6" i="36"/>
  <c r="C7" i="36" s="1"/>
  <c r="C17" i="36" s="1"/>
  <c r="H24" i="2"/>
  <c r="D22" i="35"/>
  <c r="F61" i="21"/>
  <c r="G20" i="40"/>
  <c r="E20" i="40"/>
  <c r="E72" i="42" l="1"/>
  <c r="J71" i="42"/>
  <c r="R31" i="35"/>
  <c r="S31" i="35" s="1"/>
  <c r="Q31" i="35" s="1"/>
  <c r="R30" i="40"/>
  <c r="S30" i="40" s="1"/>
  <c r="Q30" i="40" s="1"/>
  <c r="L31" i="40"/>
  <c r="M31" i="40" s="1"/>
  <c r="K31" i="40" s="1"/>
  <c r="L32" i="35"/>
  <c r="M32" i="35" s="1"/>
  <c r="K32" i="35" s="1"/>
  <c r="F63" i="21"/>
  <c r="F71" i="21" s="1"/>
  <c r="H20" i="40"/>
  <c r="C20" i="40"/>
  <c r="C22" i="36"/>
  <c r="C25" i="36" s="1"/>
  <c r="C21" i="36"/>
  <c r="F33" i="35"/>
  <c r="T32" i="35"/>
  <c r="T31" i="40"/>
  <c r="E22" i="35"/>
  <c r="F32" i="40"/>
  <c r="N33" i="35"/>
  <c r="N32" i="40"/>
  <c r="E73" i="42" l="1"/>
  <c r="J72" i="42"/>
  <c r="R31" i="40"/>
  <c r="S31" i="40" s="1"/>
  <c r="Q31" i="40" s="1"/>
  <c r="R32" i="35"/>
  <c r="S32" i="35" s="1"/>
  <c r="Q32" i="35" s="1"/>
  <c r="L32" i="40"/>
  <c r="M32" i="40" s="1"/>
  <c r="K32" i="40" s="1"/>
  <c r="N33" i="40"/>
  <c r="F33" i="40"/>
  <c r="N34" i="35"/>
  <c r="C22" i="35"/>
  <c r="H62" i="21"/>
  <c r="L33" i="35"/>
  <c r="M33" i="35" s="1"/>
  <c r="K33" i="35" s="1"/>
  <c r="T33" i="35"/>
  <c r="C24" i="36"/>
  <c r="C27" i="36"/>
  <c r="C30" i="36" s="1"/>
  <c r="H26" i="2"/>
  <c r="F67" i="21"/>
  <c r="H31" i="1" s="1"/>
  <c r="F70" i="21"/>
  <c r="H45" i="1" s="1"/>
  <c r="H14" i="8" s="1"/>
  <c r="F69" i="21"/>
  <c r="H32" i="1" s="1"/>
  <c r="F68" i="21"/>
  <c r="H44" i="1" s="1"/>
  <c r="T32" i="40"/>
  <c r="F34" i="35"/>
  <c r="D21" i="40"/>
  <c r="E74" i="42" l="1"/>
  <c r="J73" i="42"/>
  <c r="L34" i="35"/>
  <c r="R32" i="40"/>
  <c r="S32" i="40" s="1"/>
  <c r="Q32" i="40" s="1"/>
  <c r="L33" i="40"/>
  <c r="M33" i="40" s="1"/>
  <c r="K33" i="40" s="1"/>
  <c r="D23" i="35"/>
  <c r="E21" i="40"/>
  <c r="H36" i="1"/>
  <c r="H27" i="4" s="1"/>
  <c r="F34" i="40"/>
  <c r="H8" i="8"/>
  <c r="C16" i="38"/>
  <c r="C20" i="16"/>
  <c r="T34" i="35"/>
  <c r="N35" i="35"/>
  <c r="M34" i="35"/>
  <c r="K34" i="35" s="1"/>
  <c r="R33" i="35"/>
  <c r="S33" i="35" s="1"/>
  <c r="Q33" i="35" s="1"/>
  <c r="F35" i="35"/>
  <c r="H49" i="1"/>
  <c r="H13" i="8"/>
  <c r="H15" i="8" s="1"/>
  <c r="H22" i="7"/>
  <c r="H27" i="3"/>
  <c r="H29" i="3" s="1"/>
  <c r="H28" i="2"/>
  <c r="N34" i="40"/>
  <c r="H9" i="8"/>
  <c r="H19" i="8" s="1"/>
  <c r="C17" i="38"/>
  <c r="C21" i="16"/>
  <c r="T33" i="40"/>
  <c r="K5" i="13" l="1"/>
  <c r="K9" i="13"/>
  <c r="K6" i="13"/>
  <c r="K7" i="13" s="1"/>
  <c r="E75" i="42"/>
  <c r="J74" i="42"/>
  <c r="H41" i="1"/>
  <c r="H51" i="1" s="1"/>
  <c r="L35" i="35"/>
  <c r="M35" i="35" s="1"/>
  <c r="K35" i="35" s="1"/>
  <c r="R34" i="35"/>
  <c r="S34" i="35" s="1"/>
  <c r="Q34" i="35" s="1"/>
  <c r="R33" i="40"/>
  <c r="S33" i="40" s="1"/>
  <c r="Q33" i="40" s="1"/>
  <c r="T35" i="35"/>
  <c r="H18" i="7"/>
  <c r="M8" i="10"/>
  <c r="M12" i="10" s="1"/>
  <c r="H23" i="5"/>
  <c r="H25" i="5" s="1"/>
  <c r="H29" i="4"/>
  <c r="T34" i="40"/>
  <c r="N35" i="40"/>
  <c r="H24" i="7"/>
  <c r="H31" i="7"/>
  <c r="F36" i="35"/>
  <c r="N36" i="35"/>
  <c r="C18" i="38"/>
  <c r="L34" i="40"/>
  <c r="M34" i="40" s="1"/>
  <c r="K34" i="40" s="1"/>
  <c r="H18" i="8"/>
  <c r="H10" i="8"/>
  <c r="E23" i="35"/>
  <c r="H56" i="1"/>
  <c r="G31" i="12"/>
  <c r="B19" i="19"/>
  <c r="H28" i="8"/>
  <c r="H30" i="8" s="1"/>
  <c r="H34" i="8" s="1"/>
  <c r="C23" i="16"/>
  <c r="C22" i="16"/>
  <c r="F35" i="40"/>
  <c r="C21" i="40"/>
  <c r="E76" i="42" l="1"/>
  <c r="J75" i="42"/>
  <c r="I35" i="1"/>
  <c r="I16" i="4" s="1"/>
  <c r="I39" i="1"/>
  <c r="I17" i="4" s="1"/>
  <c r="I15" i="5" s="1"/>
  <c r="I40" i="1"/>
  <c r="I18" i="4" s="1"/>
  <c r="H54" i="1"/>
  <c r="H44" i="9" s="1"/>
  <c r="R35" i="35"/>
  <c r="S35" i="35" s="1"/>
  <c r="Q35" i="35" s="1"/>
  <c r="L36" i="35"/>
  <c r="M36" i="35" s="1"/>
  <c r="K36" i="35" s="1"/>
  <c r="L35" i="40"/>
  <c r="M35" i="40" s="1"/>
  <c r="K35" i="40" s="1"/>
  <c r="R34" i="40"/>
  <c r="S34" i="40" s="1"/>
  <c r="Q34" i="40" s="1"/>
  <c r="O29" i="10"/>
  <c r="H6" i="11"/>
  <c r="C23" i="15"/>
  <c r="C25" i="15" s="1"/>
  <c r="B37" i="17"/>
  <c r="B54" i="17" s="1"/>
  <c r="C26" i="16"/>
  <c r="C27" i="16"/>
  <c r="D22" i="40"/>
  <c r="C23" i="35"/>
  <c r="N37" i="35"/>
  <c r="C33" i="15"/>
  <c r="C35" i="15" s="1"/>
  <c r="D35" i="16"/>
  <c r="D36" i="16" s="1"/>
  <c r="N36" i="40"/>
  <c r="H30" i="4"/>
  <c r="G12" i="12" s="1"/>
  <c r="C12" i="16"/>
  <c r="C16" i="16" s="1"/>
  <c r="G25" i="11"/>
  <c r="F36" i="40"/>
  <c r="H33" i="8"/>
  <c r="H35" i="8" s="1"/>
  <c r="H36" i="9" s="1"/>
  <c r="H20" i="8"/>
  <c r="H23" i="8" s="1"/>
  <c r="C26" i="38"/>
  <c r="C23" i="38"/>
  <c r="C24" i="38"/>
  <c r="C25" i="38"/>
  <c r="F37" i="35"/>
  <c r="T36" i="35"/>
  <c r="T35" i="40"/>
  <c r="I17" i="7"/>
  <c r="H19" i="7"/>
  <c r="H26" i="7" s="1"/>
  <c r="H32" i="7" s="1"/>
  <c r="E77" i="42" l="1"/>
  <c r="J76" i="42"/>
  <c r="H45" i="9"/>
  <c r="G32" i="12" s="1"/>
  <c r="H57" i="1"/>
  <c r="H59" i="1" s="1"/>
  <c r="H61" i="1" s="1"/>
  <c r="R36" i="35"/>
  <c r="S36" i="35" s="1"/>
  <c r="Q36" i="35" s="1"/>
  <c r="L37" i="35"/>
  <c r="M37" i="35" s="1"/>
  <c r="K37" i="35" s="1"/>
  <c r="L36" i="40"/>
  <c r="M36" i="40" s="1"/>
  <c r="K36" i="40" s="1"/>
  <c r="H36" i="7"/>
  <c r="H33" i="9" s="1"/>
  <c r="H34" i="9" s="1"/>
  <c r="H38" i="9" s="1"/>
  <c r="G10" i="12"/>
  <c r="G20" i="11"/>
  <c r="H35" i="7"/>
  <c r="T37" i="35"/>
  <c r="F37" i="40"/>
  <c r="H24" i="11"/>
  <c r="H22" i="11"/>
  <c r="T36" i="40"/>
  <c r="F38" i="35"/>
  <c r="D24" i="35"/>
  <c r="E22" i="40"/>
  <c r="R35" i="40"/>
  <c r="S35" i="40" s="1"/>
  <c r="Q35" i="40" s="1"/>
  <c r="M15" i="10"/>
  <c r="H24" i="8"/>
  <c r="H25" i="8" s="1"/>
  <c r="C27" i="38"/>
  <c r="I14" i="5"/>
  <c r="I17" i="5" s="1"/>
  <c r="I20" i="5" s="1"/>
  <c r="I20" i="4"/>
  <c r="I23" i="4" s="1"/>
  <c r="C11" i="13" s="1"/>
  <c r="C18" i="13" s="1"/>
  <c r="D7" i="15" s="1"/>
  <c r="D11" i="15" s="1"/>
  <c r="N37" i="40"/>
  <c r="N38" i="35"/>
  <c r="C28" i="16"/>
  <c r="E78" i="42" l="1"/>
  <c r="J77" i="42"/>
  <c r="E23" i="15"/>
  <c r="E25" i="15" s="1"/>
  <c r="D20" i="15"/>
  <c r="D14" i="15"/>
  <c r="D15" i="15"/>
  <c r="D27" i="16" s="1"/>
  <c r="M21" i="10"/>
  <c r="M23" i="10" s="1"/>
  <c r="C19" i="38"/>
  <c r="H46" i="9"/>
  <c r="H57" i="9" s="1"/>
  <c r="R37" i="35"/>
  <c r="S37" i="35" s="1"/>
  <c r="Q37" i="35" s="1"/>
  <c r="L38" i="35"/>
  <c r="R36" i="40"/>
  <c r="S36" i="40" s="1"/>
  <c r="Q36" i="40" s="1"/>
  <c r="L37" i="40"/>
  <c r="M37" i="40" s="1"/>
  <c r="K37" i="40" s="1"/>
  <c r="F39" i="35"/>
  <c r="F38" i="40"/>
  <c r="I13" i="9"/>
  <c r="I15" i="9" s="1"/>
  <c r="J35" i="4"/>
  <c r="I34" i="4"/>
  <c r="I36" i="4" s="1"/>
  <c r="I37" i="4" s="1"/>
  <c r="O7" i="10"/>
  <c r="I25" i="4"/>
  <c r="H11" i="12" s="1"/>
  <c r="E24" i="35"/>
  <c r="N38" i="40"/>
  <c r="T37" i="40"/>
  <c r="C39" i="16"/>
  <c r="C40" i="16" s="1"/>
  <c r="C42" i="16" s="1"/>
  <c r="M18" i="10"/>
  <c r="C22" i="40"/>
  <c r="T38" i="35"/>
  <c r="H18" i="9"/>
  <c r="H37" i="7"/>
  <c r="N39" i="35"/>
  <c r="M38" i="35"/>
  <c r="K38" i="35" s="1"/>
  <c r="C13" i="38" l="1"/>
  <c r="C14" i="38" s="1"/>
  <c r="C40" i="38" s="1"/>
  <c r="K8" i="13"/>
  <c r="E79" i="42"/>
  <c r="J78" i="42"/>
  <c r="D26" i="16"/>
  <c r="D28" i="16" s="1"/>
  <c r="D16" i="15"/>
  <c r="D37" i="15" s="1"/>
  <c r="C20" i="38"/>
  <c r="L39" i="35"/>
  <c r="M39" i="35" s="1"/>
  <c r="K39" i="35" s="1"/>
  <c r="L38" i="40"/>
  <c r="R38" i="35"/>
  <c r="S38" i="35" s="1"/>
  <c r="Q38" i="35" s="1"/>
  <c r="M28" i="10"/>
  <c r="B38" i="17"/>
  <c r="H20" i="9"/>
  <c r="H27" i="9" s="1"/>
  <c r="T39" i="35"/>
  <c r="R37" i="40"/>
  <c r="M25" i="10"/>
  <c r="N23" i="10" s="1"/>
  <c r="G19" i="12" s="1"/>
  <c r="D23" i="40"/>
  <c r="N40" i="35"/>
  <c r="F39" i="40"/>
  <c r="C24" i="35"/>
  <c r="M38" i="40"/>
  <c r="K38" i="40" s="1"/>
  <c r="N39" i="40"/>
  <c r="S37" i="40"/>
  <c r="Q37" i="40" s="1"/>
  <c r="T38" i="40"/>
  <c r="F40" i="35"/>
  <c r="C36" i="38" l="1"/>
  <c r="K10" i="13"/>
  <c r="E80" i="42"/>
  <c r="J79" i="42"/>
  <c r="D18" i="15"/>
  <c r="C37" i="38"/>
  <c r="N18" i="10"/>
  <c r="R38" i="40"/>
  <c r="R39" i="35"/>
  <c r="L40" i="35"/>
  <c r="M40" i="35" s="1"/>
  <c r="K40" i="35" s="1"/>
  <c r="F41" i="35"/>
  <c r="S38" i="40"/>
  <c r="Q38" i="40" s="1"/>
  <c r="T39" i="40"/>
  <c r="N40" i="40"/>
  <c r="L39" i="40"/>
  <c r="M39" i="40" s="1"/>
  <c r="K39" i="40" s="1"/>
  <c r="F40" i="40"/>
  <c r="N41" i="35"/>
  <c r="N22" i="10"/>
  <c r="M33" i="10"/>
  <c r="M26" i="10"/>
  <c r="N16" i="10"/>
  <c r="G18" i="12" s="1"/>
  <c r="N17" i="10"/>
  <c r="N15" i="10"/>
  <c r="G17" i="12" s="1"/>
  <c r="N21" i="10"/>
  <c r="M31" i="10"/>
  <c r="G8" i="11"/>
  <c r="T40" i="35"/>
  <c r="S39" i="35"/>
  <c r="Q39" i="35" s="1"/>
  <c r="D25" i="35"/>
  <c r="E23" i="40"/>
  <c r="H60" i="9"/>
  <c r="B8" i="17"/>
  <c r="B8" i="18"/>
  <c r="C42" i="38" l="1"/>
  <c r="B39" i="17" s="1"/>
  <c r="B41" i="17" s="1"/>
  <c r="B43" i="17" s="1"/>
  <c r="C22" i="18" s="1"/>
  <c r="E81" i="42"/>
  <c r="J80" i="42"/>
  <c r="R40" i="35"/>
  <c r="S40" i="35" s="1"/>
  <c r="Q40" i="35" s="1"/>
  <c r="L40" i="40"/>
  <c r="M40" i="40" s="1"/>
  <c r="K40" i="40" s="1"/>
  <c r="L41" i="35"/>
  <c r="M41" i="35" s="1"/>
  <c r="K41" i="35" s="1"/>
  <c r="E25" i="35"/>
  <c r="G13" i="11"/>
  <c r="G10" i="11"/>
  <c r="N41" i="40"/>
  <c r="R39" i="40"/>
  <c r="S39" i="40" s="1"/>
  <c r="Q39" i="40" s="1"/>
  <c r="C23" i="40"/>
  <c r="T41" i="35"/>
  <c r="N42" i="35"/>
  <c r="G29" i="12"/>
  <c r="F41" i="40"/>
  <c r="F42" i="35"/>
  <c r="T40" i="40"/>
  <c r="B12" i="17" l="1"/>
  <c r="B9" i="18" s="1"/>
  <c r="C27" i="15"/>
  <c r="C28" i="15" s="1"/>
  <c r="C30" i="15" s="1"/>
  <c r="G15" i="11"/>
  <c r="G16" i="11" s="1"/>
  <c r="G18" i="11" s="1"/>
  <c r="D46" i="38"/>
  <c r="D48" i="38" s="1"/>
  <c r="E82" i="42"/>
  <c r="J81" i="42"/>
  <c r="R40" i="40"/>
  <c r="S40" i="40" s="1"/>
  <c r="Q40" i="40" s="1"/>
  <c r="R41" i="35"/>
  <c r="S41" i="35" s="1"/>
  <c r="Q41" i="35" s="1"/>
  <c r="L42" i="35"/>
  <c r="M42" i="35" s="1"/>
  <c r="K42" i="35" s="1"/>
  <c r="T42" i="35"/>
  <c r="N43" i="35"/>
  <c r="D24" i="40"/>
  <c r="N42" i="40"/>
  <c r="L41" i="40"/>
  <c r="M41" i="40" s="1"/>
  <c r="K41" i="40" s="1"/>
  <c r="F43" i="35"/>
  <c r="C25" i="35"/>
  <c r="T41" i="40"/>
  <c r="F42" i="40"/>
  <c r="E83" i="42" l="1"/>
  <c r="J82" i="42"/>
  <c r="R42" i="35"/>
  <c r="S42" i="35" s="1"/>
  <c r="Q42" i="35" s="1"/>
  <c r="L42" i="40"/>
  <c r="M42" i="40" s="1"/>
  <c r="K42" i="40" s="1"/>
  <c r="L43" i="35"/>
  <c r="M43" i="35" s="1"/>
  <c r="K43" i="35" s="1"/>
  <c r="N43" i="40"/>
  <c r="R41" i="40"/>
  <c r="S41" i="40" s="1"/>
  <c r="Q41" i="40" s="1"/>
  <c r="F44" i="35"/>
  <c r="N44" i="35"/>
  <c r="F43" i="40"/>
  <c r="D26" i="35"/>
  <c r="E24" i="40"/>
  <c r="T43" i="35"/>
  <c r="T42" i="40"/>
  <c r="E84" i="42" l="1"/>
  <c r="J83" i="42"/>
  <c r="L44" i="35"/>
  <c r="M44" i="35" s="1"/>
  <c r="K44" i="35" s="1"/>
  <c r="R43" i="35"/>
  <c r="S43" i="35" s="1"/>
  <c r="Q43" i="35" s="1"/>
  <c r="R42" i="40"/>
  <c r="S42" i="40" s="1"/>
  <c r="Q42" i="40" s="1"/>
  <c r="E26" i="35"/>
  <c r="T43" i="40"/>
  <c r="F44" i="40"/>
  <c r="N44" i="40"/>
  <c r="L43" i="40"/>
  <c r="M43" i="40" s="1"/>
  <c r="K43" i="40" s="1"/>
  <c r="C24" i="40"/>
  <c r="F45" i="35"/>
  <c r="T44" i="35"/>
  <c r="N45" i="35"/>
  <c r="E85" i="42" l="1"/>
  <c r="J84" i="42"/>
  <c r="R44" i="35"/>
  <c r="S44" i="35" s="1"/>
  <c r="Q44" i="35" s="1"/>
  <c r="L44" i="40"/>
  <c r="M44" i="40" s="1"/>
  <c r="K44" i="40" s="1"/>
  <c r="L45" i="35"/>
  <c r="M45" i="35" s="1"/>
  <c r="K45" i="35" s="1"/>
  <c r="D25" i="40"/>
  <c r="N45" i="40"/>
  <c r="T44" i="40"/>
  <c r="F45" i="40"/>
  <c r="N46" i="35"/>
  <c r="F46" i="35"/>
  <c r="C26" i="35"/>
  <c r="R43" i="40"/>
  <c r="S43" i="40" s="1"/>
  <c r="Q43" i="40" s="1"/>
  <c r="T45" i="35"/>
  <c r="E86" i="42" l="1"/>
  <c r="J85" i="42"/>
  <c r="L46" i="35"/>
  <c r="M46" i="35" s="1"/>
  <c r="K46" i="35" s="1"/>
  <c r="L45" i="40"/>
  <c r="M45" i="40" s="1"/>
  <c r="K45" i="40" s="1"/>
  <c r="R44" i="40"/>
  <c r="S44" i="40" s="1"/>
  <c r="Q44" i="40" s="1"/>
  <c r="R45" i="35"/>
  <c r="S45" i="35" s="1"/>
  <c r="Q45" i="35" s="1"/>
  <c r="D27" i="35"/>
  <c r="E27" i="35" s="1"/>
  <c r="C27" i="35" s="1"/>
  <c r="N47" i="35"/>
  <c r="T45" i="40"/>
  <c r="E25" i="40"/>
  <c r="T46" i="35"/>
  <c r="F47" i="35"/>
  <c r="F46" i="40"/>
  <c r="N46" i="40"/>
  <c r="E87" i="42" l="1"/>
  <c r="J86" i="42"/>
  <c r="L46" i="40"/>
  <c r="M46" i="40" s="1"/>
  <c r="K46" i="40" s="1"/>
  <c r="L47" i="35"/>
  <c r="M47" i="35" s="1"/>
  <c r="K47" i="35" s="1"/>
  <c r="D28" i="35"/>
  <c r="E28" i="35" s="1"/>
  <c r="C28" i="35" s="1"/>
  <c r="R46" i="35"/>
  <c r="S46" i="35" s="1"/>
  <c r="Q46" i="35" s="1"/>
  <c r="N47" i="40"/>
  <c r="F48" i="35"/>
  <c r="N48" i="35"/>
  <c r="F47" i="40"/>
  <c r="T47" i="35"/>
  <c r="T46" i="40"/>
  <c r="R45" i="40"/>
  <c r="S45" i="40" s="1"/>
  <c r="Q45" i="40" s="1"/>
  <c r="C25" i="40"/>
  <c r="E88" i="42" l="1"/>
  <c r="J87" i="42"/>
  <c r="L48" i="35"/>
  <c r="R46" i="40"/>
  <c r="S46" i="40" s="1"/>
  <c r="Q46" i="40" s="1"/>
  <c r="R47" i="35"/>
  <c r="L47" i="40"/>
  <c r="M47" i="40" s="1"/>
  <c r="K47" i="40" s="1"/>
  <c r="D26" i="40"/>
  <c r="E26" i="40" s="1"/>
  <c r="C26" i="40" s="1"/>
  <c r="F48" i="40"/>
  <c r="S47" i="35"/>
  <c r="Q47" i="35" s="1"/>
  <c r="T48" i="35"/>
  <c r="M48" i="35"/>
  <c r="K48" i="35" s="1"/>
  <c r="N49" i="35"/>
  <c r="N48" i="40"/>
  <c r="D29" i="35"/>
  <c r="E29" i="35" s="1"/>
  <c r="C29" i="35" s="1"/>
  <c r="F49" i="35"/>
  <c r="T47" i="40"/>
  <c r="E89" i="42" l="1"/>
  <c r="J88" i="42"/>
  <c r="L48" i="40"/>
  <c r="M48" i="40" s="1"/>
  <c r="K48" i="40" s="1"/>
  <c r="R48" i="35"/>
  <c r="S48" i="35" s="1"/>
  <c r="Q48" i="35" s="1"/>
  <c r="R47" i="40"/>
  <c r="S47" i="40" s="1"/>
  <c r="Q47" i="40" s="1"/>
  <c r="L49" i="35"/>
  <c r="M49" i="35" s="1"/>
  <c r="K49" i="35" s="1"/>
  <c r="D27" i="40"/>
  <c r="E27" i="40" s="1"/>
  <c r="C27" i="40" s="1"/>
  <c r="D30" i="35"/>
  <c r="E30" i="35" s="1"/>
  <c r="C30" i="35" s="1"/>
  <c r="N50" i="35"/>
  <c r="F50" i="35"/>
  <c r="N49" i="40"/>
  <c r="T49" i="35"/>
  <c r="F49" i="40"/>
  <c r="T48" i="40"/>
  <c r="E90" i="42" l="1"/>
  <c r="J89" i="42"/>
  <c r="L49" i="40"/>
  <c r="M49" i="40" s="1"/>
  <c r="K49" i="40" s="1"/>
  <c r="D28" i="40"/>
  <c r="E28" i="40" s="1"/>
  <c r="C28" i="40" s="1"/>
  <c r="R48" i="40"/>
  <c r="S48" i="40" s="1"/>
  <c r="Q48" i="40" s="1"/>
  <c r="D31" i="35"/>
  <c r="E31" i="35" s="1"/>
  <c r="C31" i="35" s="1"/>
  <c r="L50" i="35"/>
  <c r="M50" i="35" s="1"/>
  <c r="K50" i="35" s="1"/>
  <c r="R49" i="35"/>
  <c r="S49" i="35" s="1"/>
  <c r="Q49" i="35" s="1"/>
  <c r="F50" i="40"/>
  <c r="N51" i="35"/>
  <c r="T50" i="35"/>
  <c r="F51" i="35"/>
  <c r="T49" i="40"/>
  <c r="N50" i="40"/>
  <c r="E91" i="42" l="1"/>
  <c r="J90" i="42"/>
  <c r="D32" i="35"/>
  <c r="E32" i="35" s="1"/>
  <c r="C32" i="35" s="1"/>
  <c r="L50" i="40"/>
  <c r="M50" i="40" s="1"/>
  <c r="K50" i="40" s="1"/>
  <c r="D29" i="40"/>
  <c r="E29" i="40" s="1"/>
  <c r="C29" i="40" s="1"/>
  <c r="L51" i="35"/>
  <c r="M51" i="35" s="1"/>
  <c r="K51" i="35" s="1"/>
  <c r="R50" i="35"/>
  <c r="S50" i="35" s="1"/>
  <c r="Q50" i="35" s="1"/>
  <c r="R49" i="40"/>
  <c r="S49" i="40" s="1"/>
  <c r="Q49" i="40" s="1"/>
  <c r="F52" i="35"/>
  <c r="T51" i="35"/>
  <c r="F51" i="40"/>
  <c r="N52" i="35"/>
  <c r="N51" i="40"/>
  <c r="T50" i="40"/>
  <c r="E92" i="42" l="1"/>
  <c r="J91" i="42"/>
  <c r="D30" i="40"/>
  <c r="E30" i="40" s="1"/>
  <c r="C30" i="40" s="1"/>
  <c r="R51" i="35"/>
  <c r="L51" i="40"/>
  <c r="M51" i="40" s="1"/>
  <c r="K51" i="40" s="1"/>
  <c r="R50" i="40"/>
  <c r="S50" i="40" s="1"/>
  <c r="Q50" i="40" s="1"/>
  <c r="N53" i="35"/>
  <c r="L52" i="35"/>
  <c r="M52" i="35" s="1"/>
  <c r="K52" i="35" s="1"/>
  <c r="F52" i="40"/>
  <c r="F53" i="35"/>
  <c r="D33" i="35"/>
  <c r="S51" i="35"/>
  <c r="Q51" i="35" s="1"/>
  <c r="T52" i="35"/>
  <c r="T51" i="40"/>
  <c r="N52" i="40"/>
  <c r="E93" i="42" l="1"/>
  <c r="J92" i="42"/>
  <c r="L53" i="35"/>
  <c r="M53" i="35" s="1"/>
  <c r="K53" i="35" s="1"/>
  <c r="L52" i="40"/>
  <c r="M52" i="40" s="1"/>
  <c r="K52" i="40" s="1"/>
  <c r="R51" i="40"/>
  <c r="S51" i="40" s="1"/>
  <c r="Q51" i="40" s="1"/>
  <c r="D31" i="40"/>
  <c r="E31" i="40" s="1"/>
  <c r="C31" i="40" s="1"/>
  <c r="F54" i="35"/>
  <c r="F53" i="40"/>
  <c r="N54" i="35"/>
  <c r="T53" i="35"/>
  <c r="R52" i="35"/>
  <c r="S52" i="35" s="1"/>
  <c r="Q52" i="35" s="1"/>
  <c r="N53" i="40"/>
  <c r="T52" i="40"/>
  <c r="E33" i="35"/>
  <c r="G33" i="35"/>
  <c r="I20" i="2" s="1"/>
  <c r="E94" i="42" l="1"/>
  <c r="J93" i="42"/>
  <c r="L53" i="40"/>
  <c r="M53" i="40" s="1"/>
  <c r="K53" i="40" s="1"/>
  <c r="R53" i="35"/>
  <c r="S53" i="35" s="1"/>
  <c r="Q53" i="35" s="1"/>
  <c r="D32" i="40"/>
  <c r="R52" i="40"/>
  <c r="S52" i="40" s="1"/>
  <c r="Q52" i="40" s="1"/>
  <c r="L54" i="35"/>
  <c r="M54" i="35" s="1"/>
  <c r="K54" i="35" s="1"/>
  <c r="I32" i="9"/>
  <c r="I21" i="3"/>
  <c r="I23" i="3" s="1"/>
  <c r="I25" i="3" s="1"/>
  <c r="I22" i="2"/>
  <c r="T54" i="35"/>
  <c r="H33" i="35"/>
  <c r="C33" i="35"/>
  <c r="N55" i="35"/>
  <c r="F55" i="35"/>
  <c r="F54" i="40"/>
  <c r="N54" i="40"/>
  <c r="T53" i="40"/>
  <c r="J94" i="42" l="1"/>
  <c r="E95" i="42"/>
  <c r="L55" i="35"/>
  <c r="M55" i="35" s="1"/>
  <c r="K55" i="35" s="1"/>
  <c r="R54" i="35"/>
  <c r="S54" i="35" s="1"/>
  <c r="Q54" i="35" s="1"/>
  <c r="L54" i="40"/>
  <c r="M54" i="40" s="1"/>
  <c r="K54" i="40" s="1"/>
  <c r="R53" i="40"/>
  <c r="S53" i="40" s="1"/>
  <c r="Q53" i="40" s="1"/>
  <c r="N55" i="40"/>
  <c r="G61" i="21"/>
  <c r="F55" i="40"/>
  <c r="N56" i="35"/>
  <c r="T55" i="35"/>
  <c r="T54" i="40"/>
  <c r="F56" i="35"/>
  <c r="D34" i="35"/>
  <c r="I11" i="7"/>
  <c r="I13" i="7" s="1"/>
  <c r="D6" i="36"/>
  <c r="D7" i="36" s="1"/>
  <c r="D17" i="36" s="1"/>
  <c r="I24" i="2"/>
  <c r="E32" i="40"/>
  <c r="G32" i="40"/>
  <c r="J95" i="42" l="1"/>
  <c r="E96" i="42"/>
  <c r="R55" i="35"/>
  <c r="R54" i="40"/>
  <c r="S54" i="40" s="1"/>
  <c r="Q54" i="40" s="1"/>
  <c r="L55" i="40"/>
  <c r="M55" i="40" s="1"/>
  <c r="K55" i="40" s="1"/>
  <c r="H32" i="40"/>
  <c r="C32" i="40"/>
  <c r="D22" i="36"/>
  <c r="D25" i="36" s="1"/>
  <c r="D21" i="36"/>
  <c r="F57" i="35"/>
  <c r="S55" i="35"/>
  <c r="Q55" i="35" s="1"/>
  <c r="T56" i="35"/>
  <c r="F56" i="40"/>
  <c r="G63" i="21"/>
  <c r="G71" i="21" s="1"/>
  <c r="E34" i="35"/>
  <c r="L56" i="35"/>
  <c r="M56" i="35" s="1"/>
  <c r="K56" i="35" s="1"/>
  <c r="T55" i="40"/>
  <c r="N57" i="35"/>
  <c r="N56" i="40"/>
  <c r="J96" i="42" l="1"/>
  <c r="E97" i="42"/>
  <c r="L57" i="35"/>
  <c r="M57" i="35" s="1"/>
  <c r="K57" i="35" s="1"/>
  <c r="R56" i="35"/>
  <c r="S56" i="35" s="1"/>
  <c r="Q56" i="35" s="1"/>
  <c r="R55" i="40"/>
  <c r="S55" i="40" s="1"/>
  <c r="Q55" i="40" s="1"/>
  <c r="L56" i="40"/>
  <c r="M56" i="40" s="1"/>
  <c r="K56" i="40" s="1"/>
  <c r="I26" i="2"/>
  <c r="D24" i="36"/>
  <c r="D27" i="36"/>
  <c r="D30" i="36" s="1"/>
  <c r="D32" i="36" s="1"/>
  <c r="T56" i="40"/>
  <c r="C34" i="35"/>
  <c r="D33" i="40"/>
  <c r="G68" i="21"/>
  <c r="I44" i="1" s="1"/>
  <c r="G69" i="21"/>
  <c r="I32" i="1" s="1"/>
  <c r="G67" i="21"/>
  <c r="I31" i="1" s="1"/>
  <c r="G70" i="21"/>
  <c r="I45" i="1" s="1"/>
  <c r="I14" i="8" s="1"/>
  <c r="T57" i="35"/>
  <c r="I62" i="21"/>
  <c r="J97" i="42" l="1"/>
  <c r="E98" i="42"/>
  <c r="R56" i="40"/>
  <c r="R57" i="35"/>
  <c r="S57" i="35" s="1"/>
  <c r="Q57" i="35" s="1"/>
  <c r="I9" i="8"/>
  <c r="I19" i="8" s="1"/>
  <c r="D21" i="16"/>
  <c r="D17" i="38"/>
  <c r="I36" i="1"/>
  <c r="I27" i="4" s="1"/>
  <c r="I49" i="1"/>
  <c r="I13" i="8"/>
  <c r="I15" i="8" s="1"/>
  <c r="I22" i="7"/>
  <c r="I27" i="3"/>
  <c r="I29" i="3" s="1"/>
  <c r="I28" i="2"/>
  <c r="D35" i="35"/>
  <c r="I8" i="8"/>
  <c r="D16" i="38"/>
  <c r="D20" i="16"/>
  <c r="E33" i="40"/>
  <c r="S56" i="40"/>
  <c r="Q56" i="40" s="1"/>
  <c r="B108" i="42" l="1"/>
  <c r="J98" i="42"/>
  <c r="B106" i="42"/>
  <c r="E9" i="42"/>
  <c r="I41" i="1"/>
  <c r="J35" i="1" s="1"/>
  <c r="C33" i="40"/>
  <c r="I18" i="8"/>
  <c r="I10" i="8"/>
  <c r="I56" i="1"/>
  <c r="H31" i="12"/>
  <c r="D23" i="16"/>
  <c r="D22" i="16"/>
  <c r="E35" i="35"/>
  <c r="I24" i="7"/>
  <c r="I31" i="7"/>
  <c r="I18" i="7"/>
  <c r="O8" i="10"/>
  <c r="O12" i="10" s="1"/>
  <c r="I23" i="5"/>
  <c r="I25" i="5" s="1"/>
  <c r="I29" i="4"/>
  <c r="D18" i="38"/>
  <c r="I28" i="8"/>
  <c r="I30" i="8" s="1"/>
  <c r="I34" i="8" s="1"/>
  <c r="G106" i="42" l="1"/>
  <c r="F106" i="42"/>
  <c r="G108" i="42"/>
  <c r="F108" i="42"/>
  <c r="F107" i="42"/>
  <c r="G107" i="42"/>
  <c r="I51" i="1"/>
  <c r="I54" i="1" s="1"/>
  <c r="I44" i="9" s="1"/>
  <c r="J40" i="1"/>
  <c r="J18" i="4" s="1"/>
  <c r="J39" i="1"/>
  <c r="J17" i="4" s="1"/>
  <c r="J15" i="5" s="1"/>
  <c r="I30" i="4"/>
  <c r="H12" i="12" s="1"/>
  <c r="D12" i="16"/>
  <c r="D16" i="16" s="1"/>
  <c r="D39" i="16" s="1"/>
  <c r="D40" i="16" s="1"/>
  <c r="D42" i="16" s="1"/>
  <c r="H25" i="11"/>
  <c r="D33" i="15"/>
  <c r="D35" i="15" s="1"/>
  <c r="D39" i="15" s="1"/>
  <c r="E35" i="16"/>
  <c r="E36" i="16" s="1"/>
  <c r="I20" i="8"/>
  <c r="I23" i="8" s="1"/>
  <c r="I33" i="8"/>
  <c r="I35" i="8" s="1"/>
  <c r="I36" i="9" s="1"/>
  <c r="I6" i="11"/>
  <c r="C37" i="17"/>
  <c r="Q29" i="10"/>
  <c r="D34" i="40"/>
  <c r="J16" i="4"/>
  <c r="D25" i="38"/>
  <c r="D26" i="38"/>
  <c r="D23" i="38"/>
  <c r="D24" i="38"/>
  <c r="J17" i="7"/>
  <c r="I19" i="7"/>
  <c r="I26" i="7" s="1"/>
  <c r="I32" i="7" s="1"/>
  <c r="C35" i="35"/>
  <c r="I57" i="1" l="1"/>
  <c r="O21" i="10" s="1"/>
  <c r="I45" i="9"/>
  <c r="H32" i="12" s="1"/>
  <c r="I36" i="7"/>
  <c r="I33" i="9" s="1"/>
  <c r="I34" i="9" s="1"/>
  <c r="I38" i="9" s="1"/>
  <c r="H10" i="12"/>
  <c r="H20" i="11"/>
  <c r="I35" i="7"/>
  <c r="E34" i="40"/>
  <c r="D27" i="38"/>
  <c r="J14" i="5"/>
  <c r="J17" i="5" s="1"/>
  <c r="J20" i="5" s="1"/>
  <c r="J20" i="4"/>
  <c r="J23" i="4" s="1"/>
  <c r="D11" i="13" s="1"/>
  <c r="D18" i="13" s="1"/>
  <c r="E7" i="15" s="1"/>
  <c r="E11" i="15" s="1"/>
  <c r="D36" i="35"/>
  <c r="O15" i="10"/>
  <c r="I24" i="8"/>
  <c r="I25" i="8" s="1"/>
  <c r="I24" i="11"/>
  <c r="I22" i="11"/>
  <c r="E20" i="15" l="1"/>
  <c r="F23" i="15"/>
  <c r="F25" i="15" s="1"/>
  <c r="E15" i="15"/>
  <c r="E27" i="16" s="1"/>
  <c r="E14" i="15"/>
  <c r="D19" i="38"/>
  <c r="D13" i="38" s="1"/>
  <c r="D14" i="38" s="1"/>
  <c r="D40" i="38" s="1"/>
  <c r="I59" i="1"/>
  <c r="I61" i="1" s="1"/>
  <c r="I46" i="9"/>
  <c r="I57" i="9" s="1"/>
  <c r="E36" i="35"/>
  <c r="I18" i="9"/>
  <c r="I37" i="7"/>
  <c r="J13" i="9"/>
  <c r="J15" i="9" s="1"/>
  <c r="K35" i="4"/>
  <c r="Q7" i="10"/>
  <c r="J25" i="4"/>
  <c r="I11" i="12" s="1"/>
  <c r="J34" i="4"/>
  <c r="J36" i="4" s="1"/>
  <c r="J37" i="4" s="1"/>
  <c r="O18" i="10"/>
  <c r="D20" i="38"/>
  <c r="D36" i="38" s="1"/>
  <c r="C34" i="40"/>
  <c r="O23" i="10"/>
  <c r="E16" i="15" l="1"/>
  <c r="E37" i="15" s="1"/>
  <c r="E26" i="16"/>
  <c r="E28" i="16" s="1"/>
  <c r="C36" i="35"/>
  <c r="O25" i="10"/>
  <c r="P23" i="10" s="1"/>
  <c r="H19" i="12" s="1"/>
  <c r="D35" i="40"/>
  <c r="D37" i="38"/>
  <c r="D42" i="38" s="1"/>
  <c r="O28" i="10"/>
  <c r="C38" i="17"/>
  <c r="I20" i="9"/>
  <c r="I27" i="9" s="1"/>
  <c r="E18" i="15" l="1"/>
  <c r="P18" i="10"/>
  <c r="D37" i="35"/>
  <c r="O31" i="10"/>
  <c r="H8" i="11"/>
  <c r="E35" i="40"/>
  <c r="C39" i="17"/>
  <c r="C41" i="17" s="1"/>
  <c r="C43" i="17" s="1"/>
  <c r="D22" i="18" s="1"/>
  <c r="E46" i="38"/>
  <c r="E48" i="38" s="1"/>
  <c r="D27" i="15"/>
  <c r="D28" i="15" s="1"/>
  <c r="D30" i="15" s="1"/>
  <c r="H15" i="11"/>
  <c r="C12" i="17"/>
  <c r="C9" i="18" s="1"/>
  <c r="I60" i="9"/>
  <c r="C8" i="17"/>
  <c r="C9" i="17" s="1"/>
  <c r="C8" i="18"/>
  <c r="O26" i="10"/>
  <c r="O33" i="10"/>
  <c r="P22" i="10"/>
  <c r="P17" i="10"/>
  <c r="P16" i="10"/>
  <c r="H18" i="12" s="1"/>
  <c r="P15" i="10"/>
  <c r="H17" i="12" s="1"/>
  <c r="P21" i="10"/>
  <c r="H29" i="12" l="1"/>
  <c r="H13" i="11"/>
  <c r="H16" i="11" s="1"/>
  <c r="H18" i="11" s="1"/>
  <c r="H10" i="11"/>
  <c r="B12" i="18"/>
  <c r="C23" i="18"/>
  <c r="B26" i="18" s="1"/>
  <c r="C35" i="40"/>
  <c r="E37" i="35"/>
  <c r="C37" i="35" l="1"/>
  <c r="D36" i="40"/>
  <c r="E36" i="40" l="1"/>
  <c r="D38" i="35"/>
  <c r="C36" i="40" l="1"/>
  <c r="E38" i="35"/>
  <c r="D37" i="40" l="1"/>
  <c r="C38" i="35"/>
  <c r="E37" i="40" l="1"/>
  <c r="D39" i="35"/>
  <c r="E39" i="35" s="1"/>
  <c r="C39" i="35" s="1"/>
  <c r="D40" i="35" l="1"/>
  <c r="E40" i="35" s="1"/>
  <c r="C40" i="35" s="1"/>
  <c r="C37" i="40"/>
  <c r="D41" i="35" l="1"/>
  <c r="E41" i="35" s="1"/>
  <c r="C41" i="35" s="1"/>
  <c r="D38" i="40"/>
  <c r="E38" i="40" s="1"/>
  <c r="C38" i="40" s="1"/>
  <c r="D42" i="35" l="1"/>
  <c r="E42" i="35" s="1"/>
  <c r="C42" i="35" s="1"/>
  <c r="D39" i="40"/>
  <c r="E39" i="40" s="1"/>
  <c r="C39" i="40" s="1"/>
  <c r="D40" i="40" l="1"/>
  <c r="E40" i="40" s="1"/>
  <c r="C40" i="40" s="1"/>
  <c r="D43" i="35"/>
  <c r="E43" i="35" s="1"/>
  <c r="C43" i="35" s="1"/>
  <c r="D44" i="35" l="1"/>
  <c r="E44" i="35" s="1"/>
  <c r="C44" i="35" s="1"/>
  <c r="D41" i="40"/>
  <c r="E41" i="40" s="1"/>
  <c r="C41" i="40" s="1"/>
  <c r="D42" i="40" l="1"/>
  <c r="E42" i="40" s="1"/>
  <c r="C42" i="40"/>
  <c r="D45" i="35"/>
  <c r="D43" i="40" l="1"/>
  <c r="E43" i="40" s="1"/>
  <c r="C43" i="40" s="1"/>
  <c r="E45" i="35"/>
  <c r="G45" i="35"/>
  <c r="J20" i="2" s="1"/>
  <c r="D44" i="40" l="1"/>
  <c r="J32" i="9"/>
  <c r="J21" i="3"/>
  <c r="J23" i="3" s="1"/>
  <c r="J25" i="3" s="1"/>
  <c r="J22" i="2"/>
  <c r="H45" i="35"/>
  <c r="C45" i="35"/>
  <c r="E44" i="40" l="1"/>
  <c r="G44" i="40"/>
  <c r="D46" i="35"/>
  <c r="H61" i="21"/>
  <c r="E6" i="36"/>
  <c r="E7" i="36" s="1"/>
  <c r="E17" i="36" s="1"/>
  <c r="J11" i="7"/>
  <c r="J13" i="7" s="1"/>
  <c r="J24" i="2"/>
  <c r="E46" i="35" l="1"/>
  <c r="L20" i="2"/>
  <c r="H63" i="21"/>
  <c r="H71" i="21" s="1"/>
  <c r="E21" i="36"/>
  <c r="E22" i="36"/>
  <c r="E25" i="36" s="1"/>
  <c r="H44" i="40"/>
  <c r="C44" i="40"/>
  <c r="J62" i="21" l="1"/>
  <c r="H69" i="21"/>
  <c r="J32" i="1" s="1"/>
  <c r="H70" i="21"/>
  <c r="J45" i="1" s="1"/>
  <c r="J14" i="8" s="1"/>
  <c r="H67" i="21"/>
  <c r="J31" i="1" s="1"/>
  <c r="H68" i="21"/>
  <c r="J44" i="1" s="1"/>
  <c r="L32" i="9"/>
  <c r="L21" i="3"/>
  <c r="L23" i="3" s="1"/>
  <c r="L25" i="3" s="1"/>
  <c r="L22" i="2"/>
  <c r="E24" i="36"/>
  <c r="E27" i="36"/>
  <c r="E30" i="36" s="1"/>
  <c r="E32" i="36" s="1"/>
  <c r="J26" i="2"/>
  <c r="C46" i="35"/>
  <c r="D45" i="40"/>
  <c r="D47" i="35" l="1"/>
  <c r="J36" i="1"/>
  <c r="J27" i="4" s="1"/>
  <c r="L11" i="7"/>
  <c r="L13" i="7" s="1"/>
  <c r="G6" i="36"/>
  <c r="G7" i="36" s="1"/>
  <c r="G17" i="36" s="1"/>
  <c r="L24" i="2"/>
  <c r="J8" i="8"/>
  <c r="E20" i="16"/>
  <c r="E16" i="38"/>
  <c r="E45" i="40"/>
  <c r="J22" i="7"/>
  <c r="J27" i="3"/>
  <c r="J29" i="3" s="1"/>
  <c r="J28" i="2"/>
  <c r="J9" i="8"/>
  <c r="J19" i="8" s="1"/>
  <c r="E17" i="38"/>
  <c r="E21" i="16"/>
  <c r="J49" i="1"/>
  <c r="J13" i="8"/>
  <c r="J15" i="8" s="1"/>
  <c r="J41" i="1" l="1"/>
  <c r="K39" i="1" s="1"/>
  <c r="J24" i="7"/>
  <c r="J31" i="7"/>
  <c r="J56" i="1"/>
  <c r="I31" i="12"/>
  <c r="J28" i="8"/>
  <c r="J30" i="8" s="1"/>
  <c r="J34" i="8" s="1"/>
  <c r="E18" i="38"/>
  <c r="J18" i="7"/>
  <c r="J23" i="5"/>
  <c r="J25" i="5" s="1"/>
  <c r="Q8" i="10"/>
  <c r="Q12" i="10" s="1"/>
  <c r="J29" i="4"/>
  <c r="E23" i="16"/>
  <c r="E22" i="16"/>
  <c r="G22" i="36"/>
  <c r="G25" i="36" s="1"/>
  <c r="G21" i="36"/>
  <c r="C45" i="40"/>
  <c r="J18" i="8"/>
  <c r="J10" i="8"/>
  <c r="E47" i="35"/>
  <c r="K35" i="1" l="1"/>
  <c r="K16" i="4" s="1"/>
  <c r="J51" i="1"/>
  <c r="J54" i="1" s="1"/>
  <c r="K40" i="1"/>
  <c r="K18" i="4" s="1"/>
  <c r="C47" i="35"/>
  <c r="K17" i="7"/>
  <c r="J19" i="7"/>
  <c r="J26" i="7" s="1"/>
  <c r="J32" i="7" s="1"/>
  <c r="J33" i="8"/>
  <c r="J35" i="8" s="1"/>
  <c r="J36" i="9" s="1"/>
  <c r="J20" i="8"/>
  <c r="J23" i="8" s="1"/>
  <c r="S29" i="10"/>
  <c r="J6" i="11"/>
  <c r="D37" i="17"/>
  <c r="D46" i="40"/>
  <c r="E23" i="38"/>
  <c r="E26" i="38"/>
  <c r="E24" i="38"/>
  <c r="E25" i="38"/>
  <c r="E33" i="15"/>
  <c r="E35" i="15" s="1"/>
  <c r="E39" i="15" s="1"/>
  <c r="F35" i="16"/>
  <c r="F36" i="16" s="1"/>
  <c r="K17" i="4"/>
  <c r="K15" i="5" s="1"/>
  <c r="G24" i="36"/>
  <c r="G27" i="36"/>
  <c r="L26" i="2"/>
  <c r="E12" i="16"/>
  <c r="E16" i="16" s="1"/>
  <c r="E39" i="16" s="1"/>
  <c r="E40" i="16" s="1"/>
  <c r="E42" i="16" s="1"/>
  <c r="J30" i="4"/>
  <c r="I12" i="12" s="1"/>
  <c r="I25" i="11"/>
  <c r="J45" i="9" l="1"/>
  <c r="I32" i="12" s="1"/>
  <c r="J44" i="9"/>
  <c r="J57" i="1"/>
  <c r="J59" i="1" s="1"/>
  <c r="J61" i="1" s="1"/>
  <c r="E27" i="38"/>
  <c r="D48" i="35"/>
  <c r="J24" i="11"/>
  <c r="J22" i="11"/>
  <c r="L22" i="7"/>
  <c r="L27" i="3"/>
  <c r="L29" i="3" s="1"/>
  <c r="L28" i="2"/>
  <c r="J36" i="7"/>
  <c r="J33" i="9" s="1"/>
  <c r="J34" i="9" s="1"/>
  <c r="J38" i="9" s="1"/>
  <c r="I10" i="12"/>
  <c r="I20" i="11"/>
  <c r="J35" i="7"/>
  <c r="K14" i="5"/>
  <c r="K17" i="5" s="1"/>
  <c r="K20" i="5" s="1"/>
  <c r="K20" i="4"/>
  <c r="K23" i="4" s="1"/>
  <c r="E11" i="13" s="1"/>
  <c r="E18" i="13" s="1"/>
  <c r="F7" i="15" s="1"/>
  <c r="F11" i="15" s="1"/>
  <c r="L36" i="1"/>
  <c r="L27" i="4" s="1"/>
  <c r="Q15" i="10"/>
  <c r="J24" i="8"/>
  <c r="J25" i="8" s="1"/>
  <c r="E46" i="40"/>
  <c r="G23" i="15" l="1"/>
  <c r="G25" i="15" s="1"/>
  <c r="F20" i="15"/>
  <c r="F15" i="15"/>
  <c r="F27" i="16" s="1"/>
  <c r="F14" i="15"/>
  <c r="Q21" i="10"/>
  <c r="Q23" i="10" s="1"/>
  <c r="E19" i="38"/>
  <c r="E13" i="38" s="1"/>
  <c r="E14" i="38" s="1"/>
  <c r="E40" i="38" s="1"/>
  <c r="J46" i="9"/>
  <c r="Q18" i="10"/>
  <c r="J18" i="9"/>
  <c r="J37" i="7"/>
  <c r="L56" i="1"/>
  <c r="S7" i="10"/>
  <c r="K34" i="4"/>
  <c r="K36" i="4" s="1"/>
  <c r="K37" i="4" s="1"/>
  <c r="K25" i="4"/>
  <c r="J11" i="12" s="1"/>
  <c r="K13" i="9"/>
  <c r="K15" i="9" s="1"/>
  <c r="L35" i="4"/>
  <c r="C46" i="40"/>
  <c r="L18" i="7"/>
  <c r="L23" i="5"/>
  <c r="U8" i="10"/>
  <c r="L24" i="7"/>
  <c r="L31" i="7"/>
  <c r="J57" i="9"/>
  <c r="E48" i="35"/>
  <c r="F16" i="15" l="1"/>
  <c r="F37" i="15" s="1"/>
  <c r="F26" i="16"/>
  <c r="F28" i="16" s="1"/>
  <c r="E20" i="38"/>
  <c r="E36" i="38" s="1"/>
  <c r="M17" i="7"/>
  <c r="D47" i="40"/>
  <c r="C48" i="35"/>
  <c r="Q28" i="10"/>
  <c r="D38" i="17"/>
  <c r="J20" i="9"/>
  <c r="J27" i="9" s="1"/>
  <c r="Q25" i="10"/>
  <c r="F18" i="15" l="1"/>
  <c r="E37" i="38"/>
  <c r="E42" i="38" s="1"/>
  <c r="E27" i="15" s="1"/>
  <c r="E28" i="15" s="1"/>
  <c r="E30" i="15" s="1"/>
  <c r="Q26" i="10"/>
  <c r="R22" i="10"/>
  <c r="Q33" i="10"/>
  <c r="R17" i="10"/>
  <c r="R16" i="10"/>
  <c r="I18" i="12" s="1"/>
  <c r="R21" i="10"/>
  <c r="R15" i="10"/>
  <c r="I17" i="12" s="1"/>
  <c r="Q31" i="10"/>
  <c r="I8" i="11"/>
  <c r="R23" i="10"/>
  <c r="I19" i="12" s="1"/>
  <c r="E47" i="40"/>
  <c r="R18" i="10"/>
  <c r="D8" i="17"/>
  <c r="D9" i="17" s="1"/>
  <c r="D8" i="18"/>
  <c r="J60" i="9"/>
  <c r="D49" i="35"/>
  <c r="D12" i="17" l="1"/>
  <c r="D9" i="18" s="1"/>
  <c r="D23" i="18" s="1"/>
  <c r="C27" i="18" s="1"/>
  <c r="B27" i="18" s="1"/>
  <c r="F46" i="38"/>
  <c r="F48" i="38" s="1"/>
  <c r="D39" i="17"/>
  <c r="D41" i="17" s="1"/>
  <c r="D43" i="17" s="1"/>
  <c r="E22" i="18" s="1"/>
  <c r="I15" i="11"/>
  <c r="I10" i="11"/>
  <c r="I13" i="11"/>
  <c r="I29" i="12"/>
  <c r="E49" i="35"/>
  <c r="C47" i="40"/>
  <c r="C13" i="18" l="1"/>
  <c r="B13" i="18" s="1"/>
  <c r="I16" i="11"/>
  <c r="I18" i="11" s="1"/>
  <c r="C49" i="35"/>
  <c r="D48" i="40"/>
  <c r="E48" i="40" l="1"/>
  <c r="D50" i="35"/>
  <c r="E50" i="35" l="1"/>
  <c r="C48" i="40"/>
  <c r="C50" i="35" l="1"/>
  <c r="D49" i="40"/>
  <c r="D51" i="35" l="1"/>
  <c r="E51" i="35" s="1"/>
  <c r="C51" i="35" s="1"/>
  <c r="E49" i="40"/>
  <c r="D52" i="35" l="1"/>
  <c r="E52" i="35" s="1"/>
  <c r="C52" i="35" s="1"/>
  <c r="C49" i="40"/>
  <c r="D53" i="35" l="1"/>
  <c r="E53" i="35" s="1"/>
  <c r="C53" i="35" s="1"/>
  <c r="D50" i="40"/>
  <c r="E50" i="40" s="1"/>
  <c r="C50" i="40" s="1"/>
  <c r="D51" i="40" l="1"/>
  <c r="E51" i="40" s="1"/>
  <c r="C51" i="40" s="1"/>
  <c r="D54" i="35"/>
  <c r="E54" i="35" s="1"/>
  <c r="C54" i="35" s="1"/>
  <c r="D52" i="40" l="1"/>
  <c r="E52" i="40" s="1"/>
  <c r="C52" i="40" s="1"/>
  <c r="D55" i="35"/>
  <c r="E55" i="35" s="1"/>
  <c r="C55" i="35" s="1"/>
  <c r="D53" i="40" l="1"/>
  <c r="E53" i="40" s="1"/>
  <c r="C53" i="40" s="1"/>
  <c r="D56" i="35"/>
  <c r="E56" i="35" s="1"/>
  <c r="C56" i="35" s="1"/>
  <c r="D54" i="40" l="1"/>
  <c r="E54" i="40" s="1"/>
  <c r="C54" i="40" s="1"/>
  <c r="D57" i="35"/>
  <c r="D55" i="40" l="1"/>
  <c r="E55" i="40" s="1"/>
  <c r="C55" i="40" s="1"/>
  <c r="E57" i="35"/>
  <c r="G57" i="35"/>
  <c r="K20" i="2" s="1"/>
  <c r="D56" i="40" l="1"/>
  <c r="K32" i="9"/>
  <c r="K21" i="3"/>
  <c r="K23" i="3" s="1"/>
  <c r="K25" i="3" s="1"/>
  <c r="K22" i="2"/>
  <c r="H57" i="35"/>
  <c r="C57" i="35"/>
  <c r="I61" i="21" l="1"/>
  <c r="H58" i="35"/>
  <c r="F6" i="36"/>
  <c r="F7" i="36" s="1"/>
  <c r="F17" i="36" s="1"/>
  <c r="K11" i="7"/>
  <c r="K13" i="7" s="1"/>
  <c r="K24" i="2"/>
  <c r="E56" i="40"/>
  <c r="G56" i="40"/>
  <c r="H56" i="40" l="1"/>
  <c r="C56" i="40"/>
  <c r="J63" i="21"/>
  <c r="J71" i="21" s="1"/>
  <c r="I63" i="21"/>
  <c r="I71" i="21" s="1"/>
  <c r="M20" i="2"/>
  <c r="G57" i="40"/>
  <c r="F22" i="36"/>
  <c r="F25" i="36" s="1"/>
  <c r="F21" i="36"/>
  <c r="I68" i="21" l="1"/>
  <c r="K44" i="1" s="1"/>
  <c r="I67" i="21"/>
  <c r="K31" i="1" s="1"/>
  <c r="I69" i="21"/>
  <c r="K32" i="1" s="1"/>
  <c r="I70" i="21"/>
  <c r="K45" i="1" s="1"/>
  <c r="K14" i="8" s="1"/>
  <c r="K62" i="21"/>
  <c r="K63" i="21" s="1"/>
  <c r="K71" i="21" s="1"/>
  <c r="H57" i="40"/>
  <c r="J67" i="21"/>
  <c r="L31" i="1" s="1"/>
  <c r="J70" i="21"/>
  <c r="L45" i="1" s="1"/>
  <c r="L14" i="8" s="1"/>
  <c r="J69" i="21"/>
  <c r="L32" i="1" s="1"/>
  <c r="J68" i="21"/>
  <c r="L44" i="1" s="1"/>
  <c r="M32" i="9"/>
  <c r="M21" i="3"/>
  <c r="M23" i="3" s="1"/>
  <c r="M25" i="3" s="1"/>
  <c r="M22" i="2"/>
  <c r="F24" i="36"/>
  <c r="F27" i="36"/>
  <c r="F30" i="36" s="1"/>
  <c r="F32" i="36" s="1"/>
  <c r="K26" i="2"/>
  <c r="K36" i="1" l="1"/>
  <c r="K27" i="4" s="1"/>
  <c r="G30" i="36"/>
  <c r="G32" i="36" s="1"/>
  <c r="L49" i="1"/>
  <c r="L13" i="8"/>
  <c r="L15" i="8" s="1"/>
  <c r="K8" i="8"/>
  <c r="F20" i="16"/>
  <c r="F16" i="38"/>
  <c r="M11" i="7"/>
  <c r="M13" i="7" s="1"/>
  <c r="H6" i="36"/>
  <c r="H7" i="36" s="1"/>
  <c r="H17" i="36" s="1"/>
  <c r="M24" i="2"/>
  <c r="L9" i="8"/>
  <c r="L19" i="8" s="1"/>
  <c r="G17" i="38"/>
  <c r="K67" i="21"/>
  <c r="M31" i="1" s="1"/>
  <c r="K68" i="21"/>
  <c r="M44" i="1" s="1"/>
  <c r="K70" i="21"/>
  <c r="M45" i="1" s="1"/>
  <c r="M14" i="8" s="1"/>
  <c r="K69" i="21"/>
  <c r="M32" i="1" s="1"/>
  <c r="K49" i="1"/>
  <c r="K13" i="8"/>
  <c r="K15" i="8" s="1"/>
  <c r="K22" i="7"/>
  <c r="K27" i="3"/>
  <c r="K29" i="3" s="1"/>
  <c r="K28" i="2"/>
  <c r="L8" i="8"/>
  <c r="G16" i="38"/>
  <c r="K9" i="8"/>
  <c r="K19" i="8" s="1"/>
  <c r="F17" i="38"/>
  <c r="F21" i="16"/>
  <c r="L5" i="13" l="1"/>
  <c r="L9" i="13"/>
  <c r="L6" i="13"/>
  <c r="L7" i="13" s="1"/>
  <c r="K41" i="1"/>
  <c r="K51" i="1" s="1"/>
  <c r="K28" i="8"/>
  <c r="K30" i="8" s="1"/>
  <c r="K34" i="8" s="1"/>
  <c r="M9" i="8"/>
  <c r="M19" i="8" s="1"/>
  <c r="H17" i="38"/>
  <c r="H22" i="36"/>
  <c r="H25" i="36" s="1"/>
  <c r="H21" i="36"/>
  <c r="K18" i="8"/>
  <c r="K10" i="8"/>
  <c r="K24" i="7"/>
  <c r="K31" i="7"/>
  <c r="K18" i="7"/>
  <c r="K23" i="5"/>
  <c r="K25" i="5" s="1"/>
  <c r="S8" i="10"/>
  <c r="S12" i="10" s="1"/>
  <c r="K29" i="4"/>
  <c r="M49" i="1"/>
  <c r="M13" i="8"/>
  <c r="M15" i="8" s="1"/>
  <c r="L28" i="8"/>
  <c r="L30" i="8" s="1"/>
  <c r="L34" i="8" s="1"/>
  <c r="F18" i="38"/>
  <c r="L18" i="8"/>
  <c r="L10" i="8"/>
  <c r="K56" i="1"/>
  <c r="J31" i="12"/>
  <c r="K31" i="12"/>
  <c r="M8" i="8"/>
  <c r="H16" i="38"/>
  <c r="F22" i="16"/>
  <c r="F23" i="16"/>
  <c r="G18" i="38"/>
  <c r="L40" i="1" l="1"/>
  <c r="L39" i="1"/>
  <c r="L17" i="4" s="1"/>
  <c r="L15" i="5" s="1"/>
  <c r="L35" i="1"/>
  <c r="F25" i="38"/>
  <c r="F23" i="38"/>
  <c r="F24" i="38"/>
  <c r="F26" i="38"/>
  <c r="K54" i="1"/>
  <c r="L18" i="4"/>
  <c r="M26" i="2"/>
  <c r="H27" i="36"/>
  <c r="H30" i="36" s="1"/>
  <c r="H32" i="36" s="1"/>
  <c r="H24" i="36"/>
  <c r="H18" i="38"/>
  <c r="L33" i="8"/>
  <c r="L35" i="8" s="1"/>
  <c r="L36" i="9" s="1"/>
  <c r="L20" i="8"/>
  <c r="L23" i="8" s="1"/>
  <c r="U29" i="10"/>
  <c r="E37" i="17"/>
  <c r="K6" i="11"/>
  <c r="M18" i="8"/>
  <c r="M10" i="8"/>
  <c r="L17" i="7"/>
  <c r="L19" i="7" s="1"/>
  <c r="L26" i="7" s="1"/>
  <c r="L32" i="7" s="1"/>
  <c r="K19" i="7"/>
  <c r="K26" i="7" s="1"/>
  <c r="K32" i="7" s="1"/>
  <c r="K20" i="8"/>
  <c r="K23" i="8" s="1"/>
  <c r="K33" i="8"/>
  <c r="K35" i="8" s="1"/>
  <c r="K36" i="9" s="1"/>
  <c r="K30" i="4"/>
  <c r="J12" i="12" s="1"/>
  <c r="F12" i="16"/>
  <c r="F16" i="16" s="1"/>
  <c r="F39" i="16" s="1"/>
  <c r="F40" i="16" s="1"/>
  <c r="F42" i="16" s="1"/>
  <c r="J25" i="11"/>
  <c r="M28" i="8"/>
  <c r="M30" i="8" s="1"/>
  <c r="M34" i="8" s="1"/>
  <c r="G24" i="38"/>
  <c r="G25" i="38"/>
  <c r="G26" i="38"/>
  <c r="G23" i="38"/>
  <c r="F33" i="15"/>
  <c r="F35" i="15" s="1"/>
  <c r="F39" i="15" s="1"/>
  <c r="G35" i="16"/>
  <c r="G36" i="16" s="1"/>
  <c r="L41" i="1" l="1"/>
  <c r="L51" i="1" s="1"/>
  <c r="L54" i="1" s="1"/>
  <c r="L44" i="9" s="1"/>
  <c r="L16" i="4"/>
  <c r="L14" i="5" s="1"/>
  <c r="L17" i="5" s="1"/>
  <c r="L20" i="5" s="1"/>
  <c r="L25" i="5" s="1"/>
  <c r="M36" i="1"/>
  <c r="M27" i="4" s="1"/>
  <c r="W8" i="10" s="1"/>
  <c r="F27" i="38"/>
  <c r="G27" i="38"/>
  <c r="S15" i="10"/>
  <c r="K24" i="8"/>
  <c r="K25" i="8" s="1"/>
  <c r="M33" i="8"/>
  <c r="M35" i="8" s="1"/>
  <c r="M36" i="9" s="1"/>
  <c r="M20" i="8"/>
  <c r="M23" i="8" s="1"/>
  <c r="M22" i="7"/>
  <c r="M27" i="3"/>
  <c r="M29" i="3" s="1"/>
  <c r="M28" i="2"/>
  <c r="K44" i="9"/>
  <c r="K45" i="9"/>
  <c r="J32" i="12" s="1"/>
  <c r="K57" i="1"/>
  <c r="K36" i="7"/>
  <c r="K33" i="9" s="1"/>
  <c r="K34" i="9" s="1"/>
  <c r="K38" i="9" s="1"/>
  <c r="J20" i="11"/>
  <c r="J10" i="12"/>
  <c r="K35" i="7"/>
  <c r="H26" i="38"/>
  <c r="H23" i="38"/>
  <c r="H25" i="38"/>
  <c r="H24" i="38"/>
  <c r="L36" i="7"/>
  <c r="L33" i="9" s="1"/>
  <c r="L34" i="9" s="1"/>
  <c r="L38" i="9" s="1"/>
  <c r="K20" i="11"/>
  <c r="K10" i="12"/>
  <c r="L35" i="7"/>
  <c r="K24" i="11"/>
  <c r="K22" i="11"/>
  <c r="U15" i="10"/>
  <c r="L24" i="8"/>
  <c r="L25" i="8" s="1"/>
  <c r="M5" i="13" l="1"/>
  <c r="M9" i="13"/>
  <c r="M6" i="13"/>
  <c r="M7" i="13" s="1"/>
  <c r="L20" i="4"/>
  <c r="L23" i="4" s="1"/>
  <c r="F11" i="13" s="1"/>
  <c r="F18" i="13" s="1"/>
  <c r="G7" i="15" s="1"/>
  <c r="G11" i="15" s="1"/>
  <c r="G20" i="15" s="1"/>
  <c r="M39" i="1"/>
  <c r="M17" i="4" s="1"/>
  <c r="M15" i="5" s="1"/>
  <c r="M40" i="1"/>
  <c r="M18" i="4" s="1"/>
  <c r="M35" i="1"/>
  <c r="M16" i="4" s="1"/>
  <c r="L45" i="9"/>
  <c r="K32" i="12" s="1"/>
  <c r="L57" i="1"/>
  <c r="G19" i="38" s="1"/>
  <c r="M23" i="5"/>
  <c r="M18" i="7"/>
  <c r="M19" i="7" s="1"/>
  <c r="H27" i="38"/>
  <c r="U18" i="10"/>
  <c r="M24" i="7"/>
  <c r="M31" i="7"/>
  <c r="K46" i="9"/>
  <c r="K57" i="9" s="1"/>
  <c r="S18" i="10"/>
  <c r="L18" i="9"/>
  <c r="L37" i="7"/>
  <c r="K18" i="9"/>
  <c r="K37" i="7"/>
  <c r="M56" i="1"/>
  <c r="L31" i="12"/>
  <c r="W15" i="10"/>
  <c r="M24" i="8"/>
  <c r="M25" i="8" s="1"/>
  <c r="K59" i="1"/>
  <c r="K61" i="1" s="1"/>
  <c r="F19" i="38"/>
  <c r="L8" i="13" s="1"/>
  <c r="S21" i="10"/>
  <c r="L34" i="4" l="1"/>
  <c r="L36" i="4" s="1"/>
  <c r="L37" i="4" s="1"/>
  <c r="U7" i="10"/>
  <c r="U12" i="10" s="1"/>
  <c r="W29" i="10" s="1"/>
  <c r="M26" i="7"/>
  <c r="M32" i="7" s="1"/>
  <c r="L10" i="12" s="1"/>
  <c r="G15" i="15"/>
  <c r="G27" i="16" s="1"/>
  <c r="L29" i="4"/>
  <c r="K25" i="11" s="1"/>
  <c r="H23" i="15"/>
  <c r="H25" i="15" s="1"/>
  <c r="L13" i="9"/>
  <c r="L15" i="9" s="1"/>
  <c r="L20" i="9" s="1"/>
  <c r="L27" i="9" s="1"/>
  <c r="F8" i="18" s="1"/>
  <c r="G14" i="15"/>
  <c r="G21" i="16" s="1"/>
  <c r="L25" i="4"/>
  <c r="K11" i="12" s="1"/>
  <c r="M35" i="4"/>
  <c r="M41" i="1"/>
  <c r="M51" i="1" s="1"/>
  <c r="M54" i="1" s="1"/>
  <c r="M44" i="9" s="1"/>
  <c r="L46" i="9"/>
  <c r="L57" i="9" s="1"/>
  <c r="U21" i="10"/>
  <c r="U23" i="10" s="1"/>
  <c r="L59" i="1"/>
  <c r="L61" i="1" s="1"/>
  <c r="W18" i="10"/>
  <c r="S28" i="10"/>
  <c r="E38" i="17"/>
  <c r="K20" i="9"/>
  <c r="K27" i="9" s="1"/>
  <c r="M14" i="5"/>
  <c r="M17" i="5" s="1"/>
  <c r="M20" i="5" s="1"/>
  <c r="M25" i="5" s="1"/>
  <c r="M20" i="4"/>
  <c r="M23" i="4" s="1"/>
  <c r="G11" i="13" s="1"/>
  <c r="G18" i="13" s="1"/>
  <c r="H7" i="15" s="1"/>
  <c r="H11" i="15" s="1"/>
  <c r="G20" i="38"/>
  <c r="G36" i="38" s="1"/>
  <c r="G13" i="38"/>
  <c r="G14" i="38" s="1"/>
  <c r="G40" i="38" s="1"/>
  <c r="S23" i="10"/>
  <c r="U28" i="10"/>
  <c r="F20" i="38"/>
  <c r="F13" i="38"/>
  <c r="F14" i="38" s="1"/>
  <c r="F40" i="38" s="1"/>
  <c r="F38" i="17" l="1"/>
  <c r="G20" i="16"/>
  <c r="G23" i="16" s="1"/>
  <c r="L6" i="11"/>
  <c r="L24" i="11" s="1"/>
  <c r="M36" i="7"/>
  <c r="M33" i="9" s="1"/>
  <c r="M34" i="9" s="1"/>
  <c r="M38" i="9" s="1"/>
  <c r="G12" i="16"/>
  <c r="G16" i="16" s="1"/>
  <c r="F37" i="17"/>
  <c r="L30" i="4"/>
  <c r="K12" i="12" s="1"/>
  <c r="L20" i="11"/>
  <c r="M35" i="7"/>
  <c r="M18" i="9" s="1"/>
  <c r="G26" i="16"/>
  <c r="G28" i="16" s="1"/>
  <c r="G16" i="15"/>
  <c r="G37" i="15" s="1"/>
  <c r="F36" i="38"/>
  <c r="L10" i="13"/>
  <c r="M57" i="1"/>
  <c r="M59" i="1" s="1"/>
  <c r="M61" i="1" s="1"/>
  <c r="M45" i="9"/>
  <c r="L32" i="12" s="1"/>
  <c r="F8" i="17"/>
  <c r="H20" i="15"/>
  <c r="H15" i="15"/>
  <c r="H27" i="16" s="1"/>
  <c r="H14" i="15"/>
  <c r="L60" i="9"/>
  <c r="F37" i="38"/>
  <c r="K8" i="11"/>
  <c r="U31" i="10"/>
  <c r="G37" i="38"/>
  <c r="G42" i="38" s="1"/>
  <c r="M34" i="4"/>
  <c r="M36" i="4" s="1"/>
  <c r="M37" i="4" s="1"/>
  <c r="M29" i="4"/>
  <c r="W7" i="10"/>
  <c r="W12" i="10" s="1"/>
  <c r="G37" i="17" s="1"/>
  <c r="M13" i="9"/>
  <c r="M15" i="9" s="1"/>
  <c r="M25" i="4"/>
  <c r="L11" i="12" s="1"/>
  <c r="U25" i="10"/>
  <c r="V23" i="10" s="1"/>
  <c r="E8" i="18"/>
  <c r="E8" i="17"/>
  <c r="E9" i="17" s="1"/>
  <c r="K60" i="9"/>
  <c r="O10" i="12"/>
  <c r="N10" i="12"/>
  <c r="S25" i="10"/>
  <c r="J8" i="11"/>
  <c r="S31" i="10"/>
  <c r="L22" i="11" l="1"/>
  <c r="G22" i="16"/>
  <c r="F42" i="38"/>
  <c r="J15" i="11" s="1"/>
  <c r="G18" i="15"/>
  <c r="M37" i="7"/>
  <c r="H19" i="38"/>
  <c r="M8" i="13" s="1"/>
  <c r="W21" i="10"/>
  <c r="W23" i="10" s="1"/>
  <c r="M46" i="9"/>
  <c r="M57" i="9" s="1"/>
  <c r="H16" i="15"/>
  <c r="H37" i="15" s="1"/>
  <c r="H21" i="16"/>
  <c r="H26" i="16"/>
  <c r="H28" i="16" s="1"/>
  <c r="H20" i="16"/>
  <c r="G33" i="15"/>
  <c r="G35" i="15" s="1"/>
  <c r="G39" i="15" s="1"/>
  <c r="H35" i="16"/>
  <c r="H36" i="16" s="1"/>
  <c r="G39" i="16"/>
  <c r="G40" i="16" s="1"/>
  <c r="G42" i="16" s="1"/>
  <c r="F39" i="17"/>
  <c r="F41" i="17" s="1"/>
  <c r="F43" i="17" s="1"/>
  <c r="G22" i="18" s="1"/>
  <c r="H46" i="38"/>
  <c r="H48" i="38" s="1"/>
  <c r="F12" i="17"/>
  <c r="F9" i="18" s="1"/>
  <c r="G27" i="15"/>
  <c r="G28" i="15" s="1"/>
  <c r="G30" i="15" s="1"/>
  <c r="K15" i="11"/>
  <c r="H12" i="16"/>
  <c r="H16" i="16" s="1"/>
  <c r="M30" i="4"/>
  <c r="L12" i="12" s="1"/>
  <c r="L25" i="11"/>
  <c r="J13" i="11"/>
  <c r="J10" i="11"/>
  <c r="G38" i="17"/>
  <c r="W28" i="10"/>
  <c r="O11" i="12"/>
  <c r="N11" i="12"/>
  <c r="S33" i="10"/>
  <c r="T22" i="10"/>
  <c r="S26" i="10"/>
  <c r="T17" i="10"/>
  <c r="T16" i="10"/>
  <c r="J18" i="12" s="1"/>
  <c r="T15" i="10"/>
  <c r="J17" i="12" s="1"/>
  <c r="T21" i="10"/>
  <c r="T18" i="10"/>
  <c r="M20" i="9"/>
  <c r="M27" i="9" s="1"/>
  <c r="T23" i="10"/>
  <c r="J19" i="12" s="1"/>
  <c r="U26" i="10"/>
  <c r="U33" i="10"/>
  <c r="V22" i="10"/>
  <c r="V17" i="10"/>
  <c r="V16" i="10"/>
  <c r="K18" i="12" s="1"/>
  <c r="V15" i="10"/>
  <c r="K17" i="12" s="1"/>
  <c r="V18" i="10"/>
  <c r="V21" i="10"/>
  <c r="K19" i="12" s="1"/>
  <c r="F9" i="17"/>
  <c r="P10" i="12"/>
  <c r="K10" i="11"/>
  <c r="K13" i="11"/>
  <c r="H18" i="15" l="1"/>
  <c r="H13" i="38"/>
  <c r="H14" i="38" s="1"/>
  <c r="H40" i="38" s="1"/>
  <c r="E39" i="17"/>
  <c r="E41" i="17" s="1"/>
  <c r="E43" i="17" s="1"/>
  <c r="F22" i="18" s="1"/>
  <c r="H20" i="38"/>
  <c r="H37" i="38" s="1"/>
  <c r="F27" i="15"/>
  <c r="F28" i="15" s="1"/>
  <c r="F30" i="15" s="1"/>
  <c r="E12" i="17"/>
  <c r="E9" i="18" s="1"/>
  <c r="D28" i="18" s="1"/>
  <c r="C28" i="18" s="1"/>
  <c r="B28" i="18" s="1"/>
  <c r="G46" i="38"/>
  <c r="G48" i="38" s="1"/>
  <c r="B50" i="38" s="1"/>
  <c r="B13" i="17" s="1"/>
  <c r="B10" i="20" s="1"/>
  <c r="H22" i="16"/>
  <c r="H23" i="16"/>
  <c r="H33" i="15" s="1"/>
  <c r="H35" i="15" s="1"/>
  <c r="H39" i="15" s="1"/>
  <c r="K16" i="11"/>
  <c r="K18" i="11" s="1"/>
  <c r="J16" i="11"/>
  <c r="J18" i="11" s="1"/>
  <c r="J29" i="12"/>
  <c r="W25" i="10"/>
  <c r="X23" i="10" s="1"/>
  <c r="L19" i="12" s="1"/>
  <c r="C37" i="15"/>
  <c r="C39" i="15" s="1"/>
  <c r="K29" i="12"/>
  <c r="M60" i="9"/>
  <c r="G8" i="17"/>
  <c r="G8" i="18"/>
  <c r="P11" i="12"/>
  <c r="W31" i="10"/>
  <c r="L8" i="11"/>
  <c r="O12" i="12"/>
  <c r="N12" i="12"/>
  <c r="E15" i="18"/>
  <c r="F23" i="18"/>
  <c r="E29" i="18"/>
  <c r="H36" i="38" l="1"/>
  <c r="D15" i="18"/>
  <c r="C15" i="18" s="1"/>
  <c r="B15" i="18" s="1"/>
  <c r="D14" i="18"/>
  <c r="C14" i="18" s="1"/>
  <c r="B14" i="18" s="1"/>
  <c r="M10" i="13"/>
  <c r="E23" i="18"/>
  <c r="D29" i="18"/>
  <c r="C29" i="18" s="1"/>
  <c r="B29" i="18" s="1"/>
  <c r="B46" i="17" s="1"/>
  <c r="H42" i="38"/>
  <c r="G12" i="17" s="1"/>
  <c r="G9" i="18" s="1"/>
  <c r="G23" i="18" s="1"/>
  <c r="F30" i="18" s="1"/>
  <c r="H39" i="16"/>
  <c r="H40" i="16" s="1"/>
  <c r="H42" i="16" s="1"/>
  <c r="P12" i="12"/>
  <c r="B16" i="17"/>
  <c r="N6" i="19" s="1"/>
  <c r="B45" i="17"/>
  <c r="N19" i="12"/>
  <c r="O19" i="12"/>
  <c r="L10" i="11"/>
  <c r="L13" i="11"/>
  <c r="B10" i="17"/>
  <c r="G9" i="17"/>
  <c r="C13" i="20"/>
  <c r="C16" i="20"/>
  <c r="W26" i="10"/>
  <c r="W33" i="10"/>
  <c r="X22" i="10"/>
  <c r="X17" i="10"/>
  <c r="X15" i="10"/>
  <c r="L17" i="12" s="1"/>
  <c r="X16" i="10"/>
  <c r="L18" i="12" s="1"/>
  <c r="X18" i="10"/>
  <c r="X21" i="10"/>
  <c r="B17" i="17" l="1"/>
  <c r="L15" i="11"/>
  <c r="L16" i="11" s="1"/>
  <c r="L18" i="11" s="1"/>
  <c r="H27" i="15"/>
  <c r="H28" i="15" s="1"/>
  <c r="H30" i="15" s="1"/>
  <c r="G39" i="17"/>
  <c r="G41" i="17" s="1"/>
  <c r="G43" i="17" s="1"/>
  <c r="B48" i="17" s="1"/>
  <c r="B49" i="17" s="1"/>
  <c r="B56" i="17" s="1"/>
  <c r="B61" i="17" s="1"/>
  <c r="E61" i="17" s="1"/>
  <c r="C18" i="20"/>
  <c r="C19" i="20" s="1"/>
  <c r="F16" i="18"/>
  <c r="E16" i="18" s="1"/>
  <c r="D16" i="18" s="1"/>
  <c r="C16" i="18" s="1"/>
  <c r="B16" i="18" s="1"/>
  <c r="B23" i="17" s="1"/>
  <c r="B19" i="17"/>
  <c r="B20" i="17" s="1"/>
  <c r="B25" i="17" s="1"/>
  <c r="O18" i="12"/>
  <c r="N18" i="12"/>
  <c r="L29" i="12"/>
  <c r="N17" i="12"/>
  <c r="O17" i="12"/>
  <c r="P19" i="12"/>
  <c r="B51" i="17"/>
  <c r="E30" i="18"/>
  <c r="D30" i="18" s="1"/>
  <c r="C30" i="18" s="1"/>
  <c r="B30" i="18" s="1"/>
  <c r="B52" i="17" s="1"/>
  <c r="B57" i="17" s="1"/>
  <c r="B62" i="17" s="1"/>
  <c r="E62" i="17" s="1"/>
  <c r="B26" i="17" l="1"/>
  <c r="B31" i="17" s="1"/>
  <c r="E31" i="17" s="1"/>
  <c r="B22" i="17"/>
  <c r="N8" i="19"/>
  <c r="N10" i="19" s="1"/>
  <c r="P17" i="12"/>
  <c r="B18" i="19"/>
  <c r="B17" i="19"/>
  <c r="B30" i="17"/>
  <c r="P18" i="12"/>
  <c r="E30" i="17" l="1"/>
  <c r="K12" i="13"/>
</calcChain>
</file>

<file path=xl/comments1.xml><?xml version="1.0" encoding="utf-8"?>
<comments xmlns="http://schemas.openxmlformats.org/spreadsheetml/2006/main">
  <authors>
    <author>Jacqueline</author>
    <author>Angelica Jaeneth Grimaldo</author>
  </authors>
  <commentList>
    <comment ref="B8" authorId="0">
      <text>
        <r>
          <rPr>
            <b/>
            <sz val="9"/>
            <color indexed="81"/>
            <rFont val="Tahoma"/>
            <family val="2"/>
          </rPr>
          <t>Jacqueline:</t>
        </r>
        <r>
          <rPr>
            <sz val="9"/>
            <color indexed="81"/>
            <rFont val="Tahoma"/>
            <family val="2"/>
          </rPr>
          <t xml:space="preserve">
inlcuye disponible e inversiones temporales.
Revisar la hoja de supuestos.</t>
        </r>
      </text>
    </comment>
    <comment ref="B9" authorId="0">
      <text>
        <r>
          <rPr>
            <b/>
            <sz val="9"/>
            <color indexed="81"/>
            <rFont val="Tahoma"/>
            <family val="2"/>
          </rPr>
          <t>Jacqueline:</t>
        </r>
        <r>
          <rPr>
            <sz val="9"/>
            <color indexed="81"/>
            <rFont val="Tahoma"/>
            <family val="2"/>
          </rPr>
          <t xml:space="preserve">
deudores neto mas deudores vinculados económicos.</t>
        </r>
      </text>
    </comment>
    <comment ref="B10" authorId="0">
      <text>
        <r>
          <rPr>
            <b/>
            <sz val="9"/>
            <color indexed="81"/>
            <rFont val="Tahoma"/>
            <family val="2"/>
          </rPr>
          <t>Jacqueline:</t>
        </r>
        <r>
          <rPr>
            <sz val="9"/>
            <color indexed="81"/>
            <rFont val="Tahoma"/>
            <family val="2"/>
          </rPr>
          <t xml:space="preserve">
incluye cultivos en desarrollo corto plazo</t>
        </r>
      </text>
    </comment>
    <comment ref="B15" authorId="0">
      <text>
        <r>
          <rPr>
            <b/>
            <sz val="9"/>
            <color indexed="81"/>
            <rFont val="Tahoma"/>
            <family val="2"/>
          </rPr>
          <t>Jacqueline:</t>
        </r>
        <r>
          <rPr>
            <sz val="9"/>
            <color indexed="81"/>
            <rFont val="Tahoma"/>
            <family val="2"/>
          </rPr>
          <t xml:space="preserve">
revisar hoja de supuestos</t>
        </r>
      </text>
    </comment>
    <comment ref="B17" authorId="0">
      <text>
        <r>
          <rPr>
            <b/>
            <sz val="9"/>
            <color indexed="81"/>
            <rFont val="Tahoma"/>
            <family val="2"/>
          </rPr>
          <t>Jacqueline:</t>
        </r>
        <r>
          <rPr>
            <sz val="9"/>
            <color indexed="81"/>
            <rFont val="Tahoma"/>
            <family val="2"/>
          </rPr>
          <t xml:space="preserve">
Deudores neto y vinculados economico</t>
        </r>
      </text>
    </comment>
    <comment ref="B31" authorId="0">
      <text>
        <r>
          <rPr>
            <b/>
            <sz val="9"/>
            <color indexed="81"/>
            <rFont val="Tahoma"/>
            <family val="2"/>
          </rPr>
          <t>Jacqueline:</t>
        </r>
        <r>
          <rPr>
            <sz val="9"/>
            <color indexed="81"/>
            <rFont val="Tahoma"/>
            <family val="2"/>
          </rPr>
          <t xml:space="preserve">
dejamos todo lo de obligaciones financieras en este rubro pero se ebe revisar para separar lo que sea moneda extranjera</t>
        </r>
      </text>
    </comment>
    <comment ref="G31" authorId="0">
      <text>
        <r>
          <rPr>
            <b/>
            <sz val="9"/>
            <color indexed="81"/>
            <rFont val="Tahoma"/>
            <family val="2"/>
          </rPr>
          <t>Jacqueline:</t>
        </r>
        <r>
          <rPr>
            <sz val="9"/>
            <color indexed="81"/>
            <rFont val="Tahoma"/>
            <family val="2"/>
          </rPr>
          <t xml:space="preserve">
Tomado de informe anual Tablemac 2013, pág 97.</t>
        </r>
      </text>
    </comment>
    <comment ref="G32" authorId="0">
      <text>
        <r>
          <rPr>
            <b/>
            <sz val="9"/>
            <color indexed="81"/>
            <rFont val="Tahoma"/>
            <family val="2"/>
          </rPr>
          <t>Jacqueline:</t>
        </r>
        <r>
          <rPr>
            <sz val="9"/>
            <color indexed="81"/>
            <rFont val="Tahoma"/>
            <family val="2"/>
          </rPr>
          <t xml:space="preserve">
Tomado de informe anual Tablemac 2013, pág 97.</t>
        </r>
      </text>
    </comment>
    <comment ref="B35" authorId="0">
      <text>
        <r>
          <rPr>
            <b/>
            <sz val="9"/>
            <color indexed="81"/>
            <rFont val="Tahoma"/>
            <family val="2"/>
          </rPr>
          <t>Jacqueline:</t>
        </r>
        <r>
          <rPr>
            <sz val="9"/>
            <color indexed="81"/>
            <rFont val="Tahoma"/>
            <family val="2"/>
          </rPr>
          <t xml:space="preserve">
pusimos lo de obligaciones laborales</t>
        </r>
      </text>
    </comment>
    <comment ref="B36" authorId="0">
      <text>
        <r>
          <rPr>
            <b/>
            <sz val="9"/>
            <color indexed="81"/>
            <rFont val="Tahoma"/>
            <family val="2"/>
          </rPr>
          <t>Jacqueline:</t>
        </r>
        <r>
          <rPr>
            <sz val="9"/>
            <color indexed="81"/>
            <rFont val="Tahoma"/>
            <family val="2"/>
          </rPr>
          <t xml:space="preserve">
pusimos lo de impuestos, gravámenes y tasas
</t>
        </r>
      </text>
    </comment>
    <comment ref="B37" authorId="1">
      <text>
        <r>
          <rPr>
            <sz val="11"/>
            <color indexed="81"/>
            <rFont val="Tahoma"/>
            <family val="2"/>
          </rPr>
          <t xml:space="preserve">A partir del 2014 se asume que no van a haber dividendos por pagar, ya que este pago se reliza según politicas de dividendos en 2 pagos en el año, por lo tanto no hacen parte del pasivo
</t>
        </r>
      </text>
    </comment>
    <comment ref="F40" authorId="0">
      <text>
        <r>
          <rPr>
            <b/>
            <sz val="9"/>
            <color indexed="81"/>
            <rFont val="Tahoma"/>
            <family val="2"/>
          </rPr>
          <t>Jacqueline:</t>
        </r>
        <r>
          <rPr>
            <sz val="9"/>
            <color indexed="81"/>
            <rFont val="Tahoma"/>
            <family val="2"/>
          </rPr>
          <t xml:space="preserve">
incluye pasivos estimados y provisiones</t>
        </r>
      </text>
    </comment>
    <comment ref="G40" authorId="0">
      <text>
        <r>
          <rPr>
            <b/>
            <sz val="9"/>
            <color indexed="81"/>
            <rFont val="Tahoma"/>
            <family val="2"/>
          </rPr>
          <t>Jacqueline:</t>
        </r>
        <r>
          <rPr>
            <sz val="9"/>
            <color indexed="81"/>
            <rFont val="Tahoma"/>
            <family val="2"/>
          </rPr>
          <t xml:space="preserve">
incluye pasivos estimados y provisiones</t>
        </r>
      </text>
    </comment>
    <comment ref="B44" authorId="0">
      <text>
        <r>
          <rPr>
            <b/>
            <sz val="9"/>
            <color indexed="81"/>
            <rFont val="Tahoma"/>
            <family val="2"/>
          </rPr>
          <t>Jacqueline:</t>
        </r>
        <r>
          <rPr>
            <sz val="9"/>
            <color indexed="81"/>
            <rFont val="Tahoma"/>
            <family val="2"/>
          </rPr>
          <t xml:space="preserve">
Fueron tomados los vencimientos de las obligaciones financieras del Informe Anual de Tablemac, pág 100.</t>
        </r>
      </text>
    </comment>
    <comment ref="G44" authorId="0">
      <text>
        <r>
          <rPr>
            <b/>
            <sz val="9"/>
            <color indexed="81"/>
            <rFont val="Tahoma"/>
            <family val="2"/>
          </rPr>
          <t>Jacqueline:</t>
        </r>
        <r>
          <rPr>
            <sz val="9"/>
            <color indexed="81"/>
            <rFont val="Tahoma"/>
            <family val="2"/>
          </rPr>
          <t xml:space="preserve">
Tomado de informe anual Tablemac 2013, pág 97.</t>
        </r>
      </text>
    </comment>
    <comment ref="B45" authorId="0">
      <text>
        <r>
          <rPr>
            <b/>
            <sz val="9"/>
            <color indexed="81"/>
            <rFont val="Tahoma"/>
            <family val="2"/>
          </rPr>
          <t>Jacqueline:</t>
        </r>
        <r>
          <rPr>
            <sz val="9"/>
            <color indexed="81"/>
            <rFont val="Tahoma"/>
            <family val="2"/>
          </rPr>
          <t xml:space="preserve">
Fueron tomados los vencimientos de las obligaciones financieras del Informe Anual de Tablemac, pág 100.</t>
        </r>
      </text>
    </comment>
  </commentList>
</comments>
</file>

<file path=xl/comments10.xml><?xml version="1.0" encoding="utf-8"?>
<comments xmlns="http://schemas.openxmlformats.org/spreadsheetml/2006/main">
  <authors>
    <author>A satisfied Microsoft Office user</author>
  </authors>
  <commentList>
    <comment ref="C12" authorId="0">
      <text>
        <r>
          <rPr>
            <sz val="8"/>
            <color indexed="81"/>
            <rFont val="Tahoma"/>
            <family val="2"/>
          </rPr>
          <t xml:space="preserve">Cambiar por Cifra Año Anterior.
</t>
        </r>
      </text>
    </comment>
    <comment ref="D12" authorId="0">
      <text>
        <r>
          <rPr>
            <sz val="8"/>
            <color indexed="81"/>
            <rFont val="Tahoma"/>
            <family val="2"/>
          </rPr>
          <t xml:space="preserve">Cambiar por Cifra Año Anterior.
</t>
        </r>
      </text>
    </comment>
    <comment ref="C20" authorId="0">
      <text>
        <r>
          <rPr>
            <sz val="8"/>
            <color indexed="81"/>
            <rFont val="Tahoma"/>
            <family val="2"/>
          </rPr>
          <t>Cambiar cifra por año anterior.</t>
        </r>
      </text>
    </comment>
    <comment ref="D20" authorId="0">
      <text>
        <r>
          <rPr>
            <sz val="8"/>
            <color indexed="81"/>
            <rFont val="Tahoma"/>
            <family val="2"/>
          </rPr>
          <t>Cambiar cifra por año anterior.</t>
        </r>
      </text>
    </comment>
    <comment ref="C21" authorId="0">
      <text>
        <r>
          <rPr>
            <sz val="8"/>
            <color indexed="81"/>
            <rFont val="Tahoma"/>
            <family val="2"/>
          </rPr>
          <t>Cambiar cifra por año anterior.</t>
        </r>
      </text>
    </comment>
    <comment ref="D21" authorId="0">
      <text>
        <r>
          <rPr>
            <sz val="8"/>
            <color indexed="81"/>
            <rFont val="Tahoma"/>
            <family val="2"/>
          </rPr>
          <t>Cambiar cifra por año anterior.</t>
        </r>
      </text>
    </comment>
    <comment ref="C26" authorId="0">
      <text>
        <r>
          <rPr>
            <sz val="8"/>
            <color indexed="81"/>
            <rFont val="Tahoma"/>
            <family val="2"/>
          </rPr>
          <t xml:space="preserve">Cambiar cifra por año anteior.
</t>
        </r>
      </text>
    </comment>
    <comment ref="D26" authorId="0">
      <text>
        <r>
          <rPr>
            <sz val="8"/>
            <color indexed="81"/>
            <rFont val="Tahoma"/>
            <family val="2"/>
          </rPr>
          <t xml:space="preserve">Cambiar cifra por año anteior.
</t>
        </r>
      </text>
    </comment>
    <comment ref="C27" authorId="0">
      <text>
        <r>
          <rPr>
            <sz val="8"/>
            <color indexed="81"/>
            <rFont val="Tahoma"/>
            <family val="2"/>
          </rPr>
          <t xml:space="preserve">Cambiar cifra por año anteior.
</t>
        </r>
      </text>
    </comment>
    <comment ref="D27" authorId="0">
      <text>
        <r>
          <rPr>
            <sz val="8"/>
            <color indexed="81"/>
            <rFont val="Tahoma"/>
            <family val="2"/>
          </rPr>
          <t xml:space="preserve">Cambiar cifra por año anteior.
</t>
        </r>
      </text>
    </comment>
    <comment ref="C34" authorId="0">
      <text>
        <r>
          <rPr>
            <sz val="8"/>
            <color indexed="81"/>
            <rFont val="Tahoma"/>
            <family val="2"/>
          </rPr>
          <t>Cambiar Cifra por Año Anterior.</t>
        </r>
      </text>
    </comment>
    <comment ref="D34" authorId="0">
      <text>
        <r>
          <rPr>
            <sz val="8"/>
            <color indexed="81"/>
            <rFont val="Tahoma"/>
            <family val="2"/>
          </rPr>
          <t>Cambiar Cifra por Año Anterior.</t>
        </r>
      </text>
    </comment>
  </commentList>
</comments>
</file>

<file path=xl/comments11.xml><?xml version="1.0" encoding="utf-8"?>
<comments xmlns="http://schemas.openxmlformats.org/spreadsheetml/2006/main">
  <authors>
    <author>Aswath Damodaran</author>
    <author>USER</author>
  </authors>
  <commentList>
    <comment ref="C3" authorId="0">
      <text>
        <r>
          <rPr>
            <b/>
            <sz val="9"/>
            <color indexed="81"/>
            <rFont val="Geneva"/>
          </rPr>
          <t>Aswath Damodaran:</t>
        </r>
        <r>
          <rPr>
            <sz val="9"/>
            <color indexed="81"/>
            <rFont val="Geneva"/>
          </rPr>
          <t xml:space="preserve">
ST: Short term (Treasury bill)
LT: Long term (Treasury bond)</t>
        </r>
      </text>
    </comment>
    <comment ref="C4" authorId="0">
      <text>
        <r>
          <rPr>
            <b/>
            <sz val="9"/>
            <color indexed="81"/>
            <rFont val="Geneva"/>
          </rPr>
          <t>Aswath Damodaran:</t>
        </r>
        <r>
          <rPr>
            <sz val="9"/>
            <color indexed="81"/>
            <rFont val="Geneva"/>
          </rPr>
          <t xml:space="preserve">
The risk premium will be computed from this year to the current year.</t>
        </r>
      </text>
    </comment>
    <comment ref="B102" authorId="1">
      <text>
        <r>
          <rPr>
            <sz val="9"/>
            <color indexed="81"/>
            <rFont val="Tahoma"/>
            <family val="2"/>
          </rPr>
          <t>Rendimiento del mercado</t>
        </r>
      </text>
    </comment>
    <comment ref="D102" authorId="1">
      <text>
        <r>
          <rPr>
            <sz val="9"/>
            <color indexed="81"/>
            <rFont val="Tahoma"/>
            <family val="2"/>
          </rPr>
          <t>Tasa libre de riesgo</t>
        </r>
      </text>
    </comment>
  </commentList>
</comments>
</file>

<file path=xl/comments12.xml><?xml version="1.0" encoding="utf-8"?>
<comments xmlns="http://schemas.openxmlformats.org/spreadsheetml/2006/main">
  <authors>
    <author>Jacqueline</author>
  </authors>
  <commentList>
    <comment ref="A6" authorId="0">
      <text>
        <r>
          <rPr>
            <b/>
            <sz val="9"/>
            <color indexed="81"/>
            <rFont val="Tahoma"/>
            <family val="2"/>
          </rPr>
          <t>Jacqueline:</t>
        </r>
        <r>
          <rPr>
            <sz val="9"/>
            <color indexed="81"/>
            <rFont val="Tahoma"/>
            <family val="2"/>
          </rPr>
          <t xml:space="preserve">
Fuente Página Grupo Bancolombia http://investigaciones.bancolombia.com/InvEconomicas/home/homeinfo.aspx</t>
        </r>
      </text>
    </comment>
  </commentList>
</comments>
</file>

<file path=xl/comments2.xml><?xml version="1.0" encoding="utf-8"?>
<comments xmlns="http://schemas.openxmlformats.org/spreadsheetml/2006/main">
  <authors>
    <author>Jacqueline</author>
  </authors>
  <commentList>
    <comment ref="B7" authorId="0">
      <text>
        <r>
          <rPr>
            <b/>
            <sz val="9"/>
            <color indexed="81"/>
            <rFont val="Tahoma"/>
            <family val="2"/>
          </rPr>
          <t>Jacqueline:</t>
        </r>
        <r>
          <rPr>
            <sz val="9"/>
            <color indexed="81"/>
            <rFont val="Tahoma"/>
            <family val="2"/>
          </rPr>
          <t xml:space="preserve">
incluye ventas nacionales, exportacion y filial</t>
        </r>
      </text>
    </comment>
    <comment ref="B8" authorId="0">
      <text>
        <r>
          <rPr>
            <b/>
            <sz val="9"/>
            <color indexed="81"/>
            <rFont val="Tahoma"/>
            <family val="2"/>
          </rPr>
          <t>Jacqueline:</t>
        </r>
        <r>
          <rPr>
            <sz val="9"/>
            <color indexed="81"/>
            <rFont val="Tahoma"/>
            <family val="2"/>
          </rPr>
          <t xml:space="preserve">
pusimo el costo de ventas</t>
        </r>
      </text>
    </comment>
    <comment ref="B19" authorId="0">
      <text>
        <r>
          <rPr>
            <b/>
            <sz val="9"/>
            <color indexed="81"/>
            <rFont val="Tahoma"/>
            <family val="2"/>
          </rPr>
          <t>Jacqueline:</t>
        </r>
        <r>
          <rPr>
            <sz val="9"/>
            <color indexed="81"/>
            <rFont val="Tahoma"/>
            <family val="2"/>
          </rPr>
          <t xml:space="preserve">
pusimos lo de ingresos financieros</t>
        </r>
      </text>
    </comment>
    <comment ref="B20" authorId="0">
      <text>
        <r>
          <rPr>
            <b/>
            <sz val="9"/>
            <color indexed="81"/>
            <rFont val="Tahoma"/>
            <family val="2"/>
          </rPr>
          <t>Jacqueline:</t>
        </r>
        <r>
          <rPr>
            <sz val="9"/>
            <color indexed="81"/>
            <rFont val="Tahoma"/>
            <family val="2"/>
          </rPr>
          <t xml:space="preserve">
gastos financieros</t>
        </r>
      </text>
    </comment>
    <comment ref="B26" authorId="0">
      <text>
        <r>
          <rPr>
            <b/>
            <sz val="9"/>
            <color indexed="81"/>
            <rFont val="Tahoma"/>
            <family val="2"/>
          </rPr>
          <t>Jacqueline:</t>
        </r>
        <r>
          <rPr>
            <sz val="9"/>
            <color indexed="81"/>
            <rFont val="Tahoma"/>
            <family val="2"/>
          </rPr>
          <t xml:space="preserve">
pusimos provision para impuesto</t>
        </r>
      </text>
    </comment>
  </commentList>
</comments>
</file>

<file path=xl/comments3.xml><?xml version="1.0" encoding="utf-8"?>
<comments xmlns="http://schemas.openxmlformats.org/spreadsheetml/2006/main">
  <authors>
    <author>Jacqueline</author>
  </authors>
  <commentList>
    <comment ref="B27" authorId="0">
      <text>
        <r>
          <rPr>
            <b/>
            <sz val="9"/>
            <color indexed="81"/>
            <rFont val="Tahoma"/>
            <family val="2"/>
          </rPr>
          <t>Jacqueline:</t>
        </r>
        <r>
          <rPr>
            <sz val="9"/>
            <color indexed="81"/>
            <rFont val="Tahoma"/>
            <family val="2"/>
          </rPr>
          <t xml:space="preserve">
Proyecciones econ´micas Grupo Bancolombia, 30 mayo de 2014.</t>
        </r>
      </text>
    </comment>
    <comment ref="F27" authorId="0">
      <text>
        <r>
          <rPr>
            <sz val="9"/>
            <color indexed="81"/>
            <rFont val="Tahoma"/>
            <family val="2"/>
          </rPr>
          <t>Crecimiento sector de la construcción proyectado para 2014.</t>
        </r>
      </text>
    </comment>
    <comment ref="G27" authorId="0">
      <text>
        <r>
          <rPr>
            <sz val="9"/>
            <color indexed="81"/>
            <rFont val="Tahoma"/>
            <family val="2"/>
          </rPr>
          <t>Se asume un crecimiento del sector de la construcción 4 puntos por encima del PIB para los años 2016 a 2019.</t>
        </r>
      </text>
    </comment>
    <comment ref="B28" authorId="0">
      <text>
        <r>
          <rPr>
            <sz val="9"/>
            <color indexed="81"/>
            <rFont val="Tahoma"/>
            <family val="2"/>
          </rPr>
          <t>Macroeconómicos Bancolombia Sep. 2013</t>
        </r>
      </text>
    </comment>
    <comment ref="B30" authorId="0">
      <text>
        <r>
          <rPr>
            <sz val="9"/>
            <color indexed="81"/>
            <rFont val="Tahoma"/>
            <family val="2"/>
          </rPr>
          <t>Macroeconómicos Bancolombia Sept. 2013</t>
        </r>
      </text>
    </comment>
    <comment ref="B31" authorId="0">
      <text>
        <r>
          <rPr>
            <sz val="9"/>
            <color indexed="81"/>
            <rFont val="Tahoma"/>
            <family val="2"/>
          </rPr>
          <t>http://www.eluniverso.com/noticias/2014/04/09/nota/2650641/varian-proyecciones-economia-ecuador; Se asume que el 50% de Exportaciones son a Ecuador</t>
        </r>
      </text>
    </comment>
    <comment ref="B32" authorId="0">
      <text>
        <r>
          <rPr>
            <sz val="9"/>
            <color indexed="81"/>
            <rFont val="Tahoma"/>
            <family val="2"/>
          </rPr>
          <t>http://www.eluniverso.com/noticias/2014/04/09/nota/2650641/varian-proyecciones-economia-ecuador; Se asume que el 50% de Exportaciones son a Amércia centra.</t>
        </r>
      </text>
    </comment>
    <comment ref="B33" authorId="0">
      <text>
        <r>
          <rPr>
            <sz val="9"/>
            <color indexed="81"/>
            <rFont val="Tahoma"/>
            <family val="2"/>
          </rPr>
          <t>Tomado de Resultados Tablemac 4 trimestre, y de correo remitido por el profesor.</t>
        </r>
      </text>
    </comment>
    <comment ref="F33" authorId="0">
      <text>
        <r>
          <rPr>
            <sz val="9"/>
            <color indexed="81"/>
            <rFont val="Tahoma"/>
            <family val="2"/>
          </rPr>
          <t xml:space="preserve">MDF representa el 78% de las exportaciones, el 22% restante corresponde a los demás productos de la compañía.
</t>
        </r>
      </text>
    </comment>
    <comment ref="B42" authorId="0">
      <text>
        <r>
          <rPr>
            <b/>
            <sz val="9"/>
            <color indexed="81"/>
            <rFont val="Tahoma"/>
            <family val="2"/>
          </rPr>
          <t>Jacqueline:</t>
        </r>
        <r>
          <rPr>
            <sz val="9"/>
            <color indexed="81"/>
            <rFont val="Tahoma"/>
            <family val="2"/>
          </rPr>
          <t xml:space="preserve">
Precio Dólar promedio anual; tomado de tabla de macroeconómicos proyectados octubre de 2013, Bancolombia.</t>
        </r>
      </text>
    </comment>
    <comment ref="E42" authorId="0">
      <text>
        <r>
          <rPr>
            <b/>
            <sz val="9"/>
            <color indexed="81"/>
            <rFont val="Tahoma"/>
            <family val="2"/>
          </rPr>
          <t>Jacqueline:</t>
        </r>
        <r>
          <rPr>
            <sz val="9"/>
            <color indexed="81"/>
            <rFont val="Tahoma"/>
            <family val="2"/>
          </rPr>
          <t xml:space="preserve">
Promedio de TRM 2013 grupo Aval</t>
        </r>
      </text>
    </comment>
    <comment ref="B47" authorId="0">
      <text>
        <r>
          <rPr>
            <b/>
            <sz val="9"/>
            <color indexed="81"/>
            <rFont val="Tahoma"/>
            <family val="2"/>
          </rPr>
          <t>Jacqueline:</t>
        </r>
        <r>
          <rPr>
            <sz val="9"/>
            <color indexed="81"/>
            <rFont val="Tahoma"/>
            <family val="2"/>
          </rPr>
          <t xml:space="preserve">
Las ventas nacionales de 2009 a 2012 fueron tomadas del estado consolidado de resultados de Tablemac</t>
        </r>
      </text>
    </comment>
    <comment ref="B48" authorId="0">
      <text>
        <r>
          <rPr>
            <b/>
            <sz val="9"/>
            <color indexed="81"/>
            <rFont val="Tahoma"/>
            <family val="2"/>
          </rPr>
          <t>Jacqueline:</t>
        </r>
        <r>
          <rPr>
            <sz val="9"/>
            <color indexed="81"/>
            <rFont val="Tahoma"/>
            <family val="2"/>
          </rPr>
          <t xml:space="preserve">
Las ventas nacionales de 2009 a 2012 fueron tomadas del estado consolidado de resultados de Tablemac</t>
        </r>
      </text>
    </comment>
    <comment ref="B49" authorId="0">
      <text>
        <r>
          <rPr>
            <b/>
            <sz val="9"/>
            <color indexed="81"/>
            <rFont val="Tahoma"/>
            <family val="2"/>
          </rPr>
          <t>Jacqueline:</t>
        </r>
        <r>
          <rPr>
            <sz val="9"/>
            <color indexed="81"/>
            <rFont val="Tahoma"/>
            <family val="2"/>
          </rPr>
          <t xml:space="preserve">
Las ventas de exportación de 2009 a 2012 fueron tomadas del estado consolidado de resultados de Tablemac</t>
        </r>
      </text>
    </comment>
    <comment ref="B50" authorId="0">
      <text>
        <r>
          <rPr>
            <b/>
            <sz val="9"/>
            <color indexed="81"/>
            <rFont val="Tahoma"/>
            <family val="2"/>
          </rPr>
          <t>Jacqueline:</t>
        </r>
        <r>
          <rPr>
            <sz val="9"/>
            <color indexed="81"/>
            <rFont val="Tahoma"/>
            <family val="2"/>
          </rPr>
          <t xml:space="preserve">
Las ventas de exportación de 2009 a 2012 fueron tomadas del estado consolidado de resultados de Tablemac</t>
        </r>
      </text>
    </comment>
    <comment ref="B55" authorId="0">
      <text>
        <r>
          <rPr>
            <b/>
            <sz val="9"/>
            <color indexed="81"/>
            <rFont val="Tahoma"/>
            <family val="2"/>
          </rPr>
          <t>Jacqueline:</t>
        </r>
        <r>
          <rPr>
            <sz val="9"/>
            <color indexed="81"/>
            <rFont val="Tahoma"/>
            <family val="2"/>
          </rPr>
          <t xml:space="preserve">
Las ventas de exportación de 2009 a 2012 fueron tomadas del estado consolidado de resultados de Tablemac</t>
        </r>
      </text>
    </comment>
    <comment ref="B56" authorId="0">
      <text>
        <r>
          <rPr>
            <b/>
            <sz val="9"/>
            <color indexed="81"/>
            <rFont val="Tahoma"/>
            <family val="2"/>
          </rPr>
          <t>Jacqueline:</t>
        </r>
        <r>
          <rPr>
            <sz val="9"/>
            <color indexed="81"/>
            <rFont val="Tahoma"/>
            <family val="2"/>
          </rPr>
          <t xml:space="preserve">
Las ventas de exportación de 2009 a 2012 fueron tomadas del estado consolidado de resultados de Tablemac</t>
        </r>
      </text>
    </comment>
    <comment ref="B61" authorId="0">
      <text>
        <r>
          <rPr>
            <b/>
            <sz val="9"/>
            <color indexed="81"/>
            <rFont val="Tahoma"/>
            <family val="2"/>
          </rPr>
          <t>Jacqueline:</t>
        </r>
        <r>
          <rPr>
            <sz val="9"/>
            <color indexed="81"/>
            <rFont val="Tahoma"/>
            <family val="2"/>
          </rPr>
          <t xml:space="preserve">
Tomado del Informe Q4 2013 Tablemac</t>
        </r>
      </text>
    </comment>
    <comment ref="B62" authorId="0">
      <text>
        <r>
          <rPr>
            <b/>
            <sz val="9"/>
            <color indexed="81"/>
            <rFont val="Tahoma"/>
            <family val="2"/>
          </rPr>
          <t>Jacqueline:</t>
        </r>
        <r>
          <rPr>
            <sz val="9"/>
            <color indexed="81"/>
            <rFont val="Tahoma"/>
            <family val="2"/>
          </rPr>
          <t xml:space="preserve">
Tomado del Informe Q4 2013 Tablemac</t>
        </r>
      </text>
    </comment>
    <comment ref="E67" authorId="0">
      <text>
        <r>
          <rPr>
            <b/>
            <sz val="9"/>
            <color indexed="81"/>
            <rFont val="Tahoma"/>
            <family val="2"/>
          </rPr>
          <t>Jacqueline:</t>
        </r>
        <r>
          <rPr>
            <sz val="9"/>
            <color indexed="81"/>
            <rFont val="Tahoma"/>
            <family val="2"/>
          </rPr>
          <t xml:space="preserve">
Tomado de informe anual Tablemac 2013, pág 97; es la suma de la porción nacional corriente y no corriente.</t>
        </r>
      </text>
    </comment>
    <comment ref="E69" authorId="0">
      <text>
        <r>
          <rPr>
            <b/>
            <sz val="9"/>
            <color indexed="81"/>
            <rFont val="Tahoma"/>
            <family val="2"/>
          </rPr>
          <t>Jacqueline:</t>
        </r>
        <r>
          <rPr>
            <sz val="9"/>
            <color indexed="81"/>
            <rFont val="Tahoma"/>
            <family val="2"/>
          </rPr>
          <t xml:space="preserve">
Tomado de informe anual Tablemac 2013, pág 97; es la suma de la porción extranjera corriente y no corriente.</t>
        </r>
      </text>
    </comment>
  </commentList>
</comments>
</file>

<file path=xl/comments4.xml><?xml version="1.0" encoding="utf-8"?>
<comments xmlns="http://schemas.openxmlformats.org/spreadsheetml/2006/main">
  <authors>
    <author>Óscar Eduardo MEDINA ARANGO</author>
    <author>Jacqueline</author>
  </authors>
  <commentList>
    <comment ref="B28" authorId="0">
      <text>
        <r>
          <rPr>
            <sz val="8"/>
            <color indexed="81"/>
            <rFont val="Tahoma"/>
            <family val="2"/>
          </rPr>
          <t>Cambiar por Cifra Último Año</t>
        </r>
      </text>
    </comment>
    <comment ref="D28" authorId="1">
      <text>
        <r>
          <rPr>
            <b/>
            <sz val="9"/>
            <color indexed="81"/>
            <rFont val="Tahoma"/>
            <family val="2"/>
          </rPr>
          <t>Total acciones a 28 de abril de 2014; Tomado de la página oficial de Tablemac</t>
        </r>
        <r>
          <rPr>
            <sz val="9"/>
            <color indexed="81"/>
            <rFont val="Tahoma"/>
            <family val="2"/>
          </rPr>
          <t xml:space="preserve">
</t>
        </r>
      </text>
    </comment>
    <comment ref="D59" authorId="1">
      <text>
        <r>
          <rPr>
            <b/>
            <sz val="9"/>
            <color indexed="81"/>
            <rFont val="Tahoma"/>
            <family val="2"/>
          </rPr>
          <t>Total acciones a 28 de abril de 2014; Tomado de la página oficial de Tablemac</t>
        </r>
        <r>
          <rPr>
            <sz val="9"/>
            <color indexed="81"/>
            <rFont val="Tahoma"/>
            <family val="2"/>
          </rPr>
          <t xml:space="preserve">
</t>
        </r>
      </text>
    </comment>
  </commentList>
</comments>
</file>

<file path=xl/comments5.xml><?xml version="1.0" encoding="utf-8"?>
<comments xmlns="http://schemas.openxmlformats.org/spreadsheetml/2006/main">
  <authors>
    <author>A satisfied Microsoft Office user</author>
  </authors>
  <commentList>
    <comment ref="C20" authorId="0">
      <text>
        <r>
          <rPr>
            <sz val="8"/>
            <color indexed="81"/>
            <rFont val="Tahoma"/>
            <family val="2"/>
          </rPr>
          <t>Actualizar con valor del año anterior.</t>
        </r>
      </text>
    </comment>
    <comment ref="C23" authorId="0">
      <text>
        <r>
          <rPr>
            <sz val="8"/>
            <color indexed="81"/>
            <rFont val="Tahoma"/>
            <family val="2"/>
          </rPr>
          <t>Actualizar con valor del año anterior.</t>
        </r>
      </text>
    </comment>
  </commentList>
</comments>
</file>

<file path=xl/comments6.xml><?xml version="1.0" encoding="utf-8"?>
<comments xmlns="http://schemas.openxmlformats.org/spreadsheetml/2006/main">
  <authors>
    <author>Jacqueline</author>
    <author>A satisfied Microsoft Office user</author>
  </authors>
  <commentList>
    <comment ref="A8" authorId="0">
      <text>
        <r>
          <rPr>
            <b/>
            <sz val="9"/>
            <color indexed="81"/>
            <rFont val="Tahoma"/>
            <family val="2"/>
          </rPr>
          <t>Jacqueline:</t>
        </r>
        <r>
          <rPr>
            <sz val="9"/>
            <color indexed="81"/>
            <rFont val="Tahoma"/>
            <family val="2"/>
          </rPr>
          <t xml:space="preserve">
Fuente Bancolombia Marzo 2014</t>
        </r>
      </text>
    </comment>
    <comment ref="B15" authorId="1">
      <text>
        <r>
          <rPr>
            <sz val="8"/>
            <color indexed="81"/>
            <rFont val="Tahoma"/>
            <family val="2"/>
          </rPr>
          <t>Oscar Eduardo Medina Arango:
Cambiar por Dato Año Anterior.</t>
        </r>
      </text>
    </comment>
    <comment ref="B22" authorId="1">
      <text>
        <r>
          <rPr>
            <sz val="8"/>
            <color indexed="81"/>
            <rFont val="Tahoma"/>
            <family val="2"/>
          </rPr>
          <t>Oscar Eduardo Medina Arango:
Cambiar por Año Anterior.</t>
        </r>
      </text>
    </comment>
    <comment ref="C22" authorId="1">
      <text>
        <r>
          <rPr>
            <sz val="8"/>
            <color indexed="81"/>
            <rFont val="Tahoma"/>
            <family val="2"/>
          </rPr>
          <t>Oscar Eduardo Medina Arango:
Cambiar por Año Anterior.</t>
        </r>
      </text>
    </comment>
    <comment ref="B28" authorId="1">
      <text>
        <r>
          <rPr>
            <sz val="8"/>
            <color indexed="81"/>
            <rFont val="Tahoma"/>
            <family val="2"/>
          </rPr>
          <t>Oscar Eduardo Medina Arango:
Cambiar por Año Anterior.</t>
        </r>
      </text>
    </comment>
    <comment ref="C28" authorId="1">
      <text>
        <r>
          <rPr>
            <sz val="8"/>
            <color indexed="81"/>
            <rFont val="Tahoma"/>
            <family val="2"/>
          </rPr>
          <t>Oscar Eduardo Medina Arango:
Cambiar por Año Anterior.</t>
        </r>
      </text>
    </comment>
  </commentList>
</comments>
</file>

<file path=xl/comments7.xml><?xml version="1.0" encoding="utf-8"?>
<comments xmlns="http://schemas.openxmlformats.org/spreadsheetml/2006/main">
  <authors>
    <author>Jacqueline</author>
  </authors>
  <commentList>
    <comment ref="C33" authorId="0">
      <text>
        <r>
          <rPr>
            <b/>
            <sz val="9"/>
            <color indexed="81"/>
            <rFont val="Tahoma"/>
            <family val="2"/>
          </rPr>
          <t>Jacqueline:buscar creciminrto 2009 respecto a 2008</t>
        </r>
      </text>
    </comment>
  </commentList>
</comments>
</file>

<file path=xl/comments8.xml><?xml version="1.0" encoding="utf-8"?>
<comments xmlns="http://schemas.openxmlformats.org/spreadsheetml/2006/main">
  <authors>
    <author>Jacqueline</author>
  </authors>
  <commentList>
    <comment ref="B9" authorId="0">
      <text>
        <r>
          <rPr>
            <b/>
            <sz val="9"/>
            <color indexed="81"/>
            <rFont val="Tahoma"/>
            <family val="2"/>
          </rPr>
          <t>Jacqueline:</t>
        </r>
        <r>
          <rPr>
            <sz val="9"/>
            <color indexed="81"/>
            <rFont val="Tahoma"/>
            <family val="2"/>
          </rPr>
          <t xml:space="preserve">
Beta Damodarán Enero 2014</t>
        </r>
      </text>
    </comment>
    <comment ref="C9" authorId="0">
      <text>
        <r>
          <rPr>
            <b/>
            <sz val="9"/>
            <color indexed="81"/>
            <rFont val="Tahoma"/>
            <family val="2"/>
          </rPr>
          <t>Jacqueline:</t>
        </r>
        <r>
          <rPr>
            <sz val="9"/>
            <color indexed="81"/>
            <rFont val="Tahoma"/>
            <family val="2"/>
          </rPr>
          <t xml:space="preserve">
Beta Damodarán Enero 2014</t>
        </r>
      </text>
    </comment>
    <comment ref="D9" authorId="0">
      <text>
        <r>
          <rPr>
            <b/>
            <sz val="9"/>
            <color indexed="81"/>
            <rFont val="Tahoma"/>
            <family val="2"/>
          </rPr>
          <t>Jacqueline:</t>
        </r>
        <r>
          <rPr>
            <sz val="9"/>
            <color indexed="81"/>
            <rFont val="Tahoma"/>
            <family val="2"/>
          </rPr>
          <t xml:space="preserve">
Beta Damodarán Enero 2014</t>
        </r>
      </text>
    </comment>
    <comment ref="E9" authorId="0">
      <text>
        <r>
          <rPr>
            <b/>
            <sz val="9"/>
            <color indexed="81"/>
            <rFont val="Tahoma"/>
            <family val="2"/>
          </rPr>
          <t>Jacqueline:</t>
        </r>
        <r>
          <rPr>
            <sz val="9"/>
            <color indexed="81"/>
            <rFont val="Tahoma"/>
            <family val="2"/>
          </rPr>
          <t xml:space="preserve">
Beta Damodarán Enero 2014</t>
        </r>
      </text>
    </comment>
    <comment ref="F9" authorId="0">
      <text>
        <r>
          <rPr>
            <b/>
            <sz val="9"/>
            <color indexed="81"/>
            <rFont val="Tahoma"/>
            <family val="2"/>
          </rPr>
          <t>Jacqueline:</t>
        </r>
        <r>
          <rPr>
            <sz val="9"/>
            <color indexed="81"/>
            <rFont val="Tahoma"/>
            <family val="2"/>
          </rPr>
          <t xml:space="preserve">
Beta Damodarán Enero 2014</t>
        </r>
      </text>
    </comment>
    <comment ref="G9" authorId="0">
      <text>
        <r>
          <rPr>
            <b/>
            <sz val="9"/>
            <color indexed="81"/>
            <rFont val="Tahoma"/>
            <family val="2"/>
          </rPr>
          <t>Jacqueline:</t>
        </r>
        <r>
          <rPr>
            <sz val="9"/>
            <color indexed="81"/>
            <rFont val="Tahoma"/>
            <family val="2"/>
          </rPr>
          <t xml:space="preserve">
Beta Damodarán Enero 2014</t>
        </r>
      </text>
    </comment>
    <comment ref="H9" authorId="0">
      <text>
        <r>
          <rPr>
            <b/>
            <sz val="9"/>
            <color indexed="81"/>
            <rFont val="Tahoma"/>
            <family val="2"/>
          </rPr>
          <t>Jacqueline:</t>
        </r>
        <r>
          <rPr>
            <sz val="9"/>
            <color indexed="81"/>
            <rFont val="Tahoma"/>
            <family val="2"/>
          </rPr>
          <t xml:space="preserve">
Beta Damodarán Enero 2014</t>
        </r>
      </text>
    </comment>
  </commentList>
</comments>
</file>

<file path=xl/comments9.xml><?xml version="1.0" encoding="utf-8"?>
<comments xmlns="http://schemas.openxmlformats.org/spreadsheetml/2006/main">
  <authors>
    <author>Jacqueline</author>
  </authors>
  <commentList>
    <comment ref="F23" authorId="0">
      <text>
        <r>
          <rPr>
            <b/>
            <sz val="9"/>
            <color indexed="81"/>
            <rFont val="Tahoma"/>
            <family val="2"/>
          </rPr>
          <t>Jacqueline:</t>
        </r>
        <r>
          <rPr>
            <sz val="9"/>
            <color indexed="81"/>
            <rFont val="Tahoma"/>
            <family val="2"/>
          </rPr>
          <t xml:space="preserve">
Datos tomados del informe anual 2013 Tablemac, pág 97.</t>
        </r>
      </text>
    </comment>
    <comment ref="D24" authorId="0">
      <text>
        <r>
          <rPr>
            <b/>
            <sz val="9"/>
            <color indexed="81"/>
            <rFont val="Tahoma"/>
            <family val="2"/>
          </rPr>
          <t>Jacqueline:</t>
        </r>
        <r>
          <rPr>
            <sz val="9"/>
            <color indexed="81"/>
            <rFont val="Tahoma"/>
            <family val="2"/>
          </rPr>
          <t xml:space="preserve">
promedio de libor anual 2013</t>
        </r>
      </text>
    </comment>
    <comment ref="D26" authorId="0">
      <text>
        <r>
          <rPr>
            <b/>
            <sz val="9"/>
            <color indexed="81"/>
            <rFont val="Tahoma"/>
            <family val="2"/>
          </rPr>
          <t>Jacqueline:</t>
        </r>
        <r>
          <rPr>
            <sz val="9"/>
            <color indexed="81"/>
            <rFont val="Tahoma"/>
            <family val="2"/>
          </rPr>
          <t xml:space="preserve">
promedio de DTF semanales 2013
</t>
        </r>
      </text>
    </comment>
    <comment ref="C32" authorId="0">
      <text>
        <r>
          <rPr>
            <sz val="9"/>
            <color indexed="81"/>
            <rFont val="Tahoma"/>
            <family val="2"/>
          </rPr>
          <t>Tomado de estado de cambios en el patrimonio, del informe anual Tablemac 2014</t>
        </r>
      </text>
    </comment>
    <comment ref="C33" authorId="0">
      <text>
        <r>
          <rPr>
            <sz val="9"/>
            <color indexed="81"/>
            <rFont val="Tahoma"/>
            <family val="2"/>
          </rPr>
          <t>Tablemac: Precio de Cierre. Fuente: Bolsa de Valores de Colombia (BVC).05/may/2014</t>
        </r>
      </text>
    </comment>
    <comment ref="B35" authorId="0">
      <text>
        <r>
          <rPr>
            <b/>
            <sz val="9"/>
            <color indexed="81"/>
            <rFont val="Tahoma"/>
            <family val="2"/>
          </rPr>
          <t>Jacqueline:</t>
        </r>
        <r>
          <rPr>
            <sz val="9"/>
            <color indexed="81"/>
            <rFont val="Tahoma"/>
            <family val="2"/>
          </rPr>
          <t xml:space="preserve">
homebuilding </t>
        </r>
      </text>
    </comment>
    <comment ref="C35" authorId="0">
      <text>
        <r>
          <rPr>
            <b/>
            <sz val="9"/>
            <color indexed="81"/>
            <rFont val="Tahoma"/>
            <family val="2"/>
          </rPr>
          <t>Jacqueline:</t>
        </r>
        <r>
          <rPr>
            <sz val="9"/>
            <color indexed="81"/>
            <rFont val="Tahoma"/>
            <family val="2"/>
          </rPr>
          <t xml:space="preserve">
Beta Damodarán Enero 2014</t>
        </r>
      </text>
    </comment>
    <comment ref="C48" authorId="0">
      <text>
        <r>
          <rPr>
            <b/>
            <sz val="9"/>
            <color indexed="81"/>
            <rFont val="Tahoma"/>
            <family val="2"/>
          </rPr>
          <t xml:space="preserve">Jacqueline
</t>
        </r>
        <r>
          <rPr>
            <sz val="9"/>
            <color indexed="81"/>
            <rFont val="Tahoma"/>
            <family val="2"/>
          </rPr>
          <t>Se restaron las valorizaciones de activos</t>
        </r>
      </text>
    </comment>
  </commentList>
</comments>
</file>

<file path=xl/sharedStrings.xml><?xml version="1.0" encoding="utf-8"?>
<sst xmlns="http://schemas.openxmlformats.org/spreadsheetml/2006/main" count="1788" uniqueCount="1145">
  <si>
    <t>Compañía Modelo - EVA</t>
  </si>
  <si>
    <t>Balance General</t>
  </si>
  <si>
    <t>ACTIVOS</t>
  </si>
  <si>
    <t>Activo Corriente</t>
  </si>
  <si>
    <t>Efectivo</t>
  </si>
  <si>
    <t>Deudores Comerciales</t>
  </si>
  <si>
    <t>Inventarios</t>
  </si>
  <si>
    <t>Total Activos Corrientes</t>
  </si>
  <si>
    <t>Activo No Corriente</t>
  </si>
  <si>
    <t>Propiedad Planta y Eq.</t>
  </si>
  <si>
    <t>Depreciación Acumulada</t>
  </si>
  <si>
    <t>Total Activo No Corriente</t>
  </si>
  <si>
    <t>TOTAL ACTIVOS</t>
  </si>
  <si>
    <t>PASIVOS</t>
  </si>
  <si>
    <t>Pasivo Corriente</t>
  </si>
  <si>
    <t>Obligaciones Moneda Nacional</t>
  </si>
  <si>
    <t>Obligaciones Moneda Extranjera</t>
  </si>
  <si>
    <t>Proveedores</t>
  </si>
  <si>
    <t>Cuentas y Gastos por Pagar</t>
  </si>
  <si>
    <t>Cesantías Consolidadas</t>
  </si>
  <si>
    <t>Impuesto Sobre la Renta</t>
  </si>
  <si>
    <t>Total Pasivo Corriente</t>
  </si>
  <si>
    <t>Pasivos Largo Plazo</t>
  </si>
  <si>
    <t>Pensiones de Jubilación</t>
  </si>
  <si>
    <t>Otros Pasivos a Largo Plazo</t>
  </si>
  <si>
    <t>Total Pasivos a Largo Plazo</t>
  </si>
  <si>
    <t>TOTAL PASIVOS</t>
  </si>
  <si>
    <t>PATRIMONIO</t>
  </si>
  <si>
    <t>Capital</t>
  </si>
  <si>
    <t>Ganancias Apropiadas</t>
  </si>
  <si>
    <t>Utilidad del Ejercicio</t>
  </si>
  <si>
    <t>TOTAL PATRIMONIO</t>
  </si>
  <si>
    <t>TOTAL PASIVO + PATRIMONIO</t>
  </si>
  <si>
    <t>Estado de Resultados</t>
  </si>
  <si>
    <t>Ventas Netas</t>
  </si>
  <si>
    <t>Gasto Mercancía Vendida</t>
  </si>
  <si>
    <t>Utilidad Bruta</t>
  </si>
  <si>
    <t>GastosOperacionales:</t>
  </si>
  <si>
    <t>de Ventas</t>
  </si>
  <si>
    <t>de Administración</t>
  </si>
  <si>
    <t>Utilidad Operacional</t>
  </si>
  <si>
    <t>Financieros:</t>
  </si>
  <si>
    <t>Intereses Recibidos</t>
  </si>
  <si>
    <t>Intereses Pagados</t>
  </si>
  <si>
    <t>Diferencia en Cambio</t>
  </si>
  <si>
    <t>Total Financieros</t>
  </si>
  <si>
    <t>Otros Ingresos</t>
  </si>
  <si>
    <t>Otros Egresos</t>
  </si>
  <si>
    <t>Utilidad Antes de Impuestos</t>
  </si>
  <si>
    <t>Impuesto de Renta</t>
  </si>
  <si>
    <t>Utilidad Neta</t>
  </si>
  <si>
    <t>Estado de Resultados en Porcentaje</t>
  </si>
  <si>
    <t>Capital de Trabajo Operacional</t>
  </si>
  <si>
    <t>ACTIVOS CORRIENTES</t>
  </si>
  <si>
    <t>TOTAL ACTIVOS CORRIENTES</t>
  </si>
  <si>
    <t>PASIVOS OPERACIONALES</t>
  </si>
  <si>
    <t>TOTAL PASIVOS OPERACIONALES</t>
  </si>
  <si>
    <t>SIN IMPUESTOS</t>
  </si>
  <si>
    <t>CAPITAL DE TRABAJO OPERACIONAL</t>
  </si>
  <si>
    <t>Porcentaje Sobre Ventas</t>
  </si>
  <si>
    <t>VARIACIÓN ANUAL</t>
  </si>
  <si>
    <t>Incremento en Ventas</t>
  </si>
  <si>
    <t>Variación Neta:</t>
  </si>
  <si>
    <t>Por Variación en Ventas</t>
  </si>
  <si>
    <t>Por Cambio en Estructura</t>
  </si>
  <si>
    <t>Capital de Trabajo Operacional en Porcentaje</t>
  </si>
  <si>
    <t>ACTIVOS OPERACIONAL</t>
  </si>
  <si>
    <t>TOTAL ACTIVOS OPERACIONALES</t>
  </si>
  <si>
    <t>Inversión en Capital Fijo Operacional</t>
  </si>
  <si>
    <t>Propiedad, Planta y Equipo Bruto</t>
  </si>
  <si>
    <t>Total Neto</t>
  </si>
  <si>
    <t>Variación Neta</t>
  </si>
  <si>
    <t>+ Depreciación</t>
  </si>
  <si>
    <t>Inversión Bruta</t>
  </si>
  <si>
    <t>Propiedad, Planta y Equipo/Ventas</t>
  </si>
  <si>
    <t>Inversión Bruta/Ventas</t>
  </si>
  <si>
    <t>Depreciación/PPyEq. Bruto</t>
  </si>
  <si>
    <t>Cálculo de Impuestos</t>
  </si>
  <si>
    <t>Utilidad Operacional del ER</t>
  </si>
  <si>
    <t>+ Otros Ingresos Operacionales</t>
  </si>
  <si>
    <t>- Otros Egresos Operacionales</t>
  </si>
  <si>
    <t>RENOAI</t>
  </si>
  <si>
    <t>- Neto Financieros</t>
  </si>
  <si>
    <t>Utilidad en Venta de Inversiones</t>
  </si>
  <si>
    <t>BASE GRAVABLE</t>
  </si>
  <si>
    <t>RECONCILIACIÓN IMPUESTOS</t>
  </si>
  <si>
    <t>Impuestos por Pagar:</t>
  </si>
  <si>
    <t xml:space="preserve">   Saldo Inicial</t>
  </si>
  <si>
    <t xml:space="preserve">   Saldo Final</t>
  </si>
  <si>
    <t xml:space="preserve">  Variación</t>
  </si>
  <si>
    <t>Provisión de Impuestos:</t>
  </si>
  <si>
    <t xml:space="preserve">   Corriente</t>
  </si>
  <si>
    <t xml:space="preserve">   Diferida</t>
  </si>
  <si>
    <t xml:space="preserve">  Total Impuestos</t>
  </si>
  <si>
    <t>EGRESO POR IMPUESTOS</t>
  </si>
  <si>
    <t>Tasa Nominal</t>
  </si>
  <si>
    <t>TASA EFECTIVA DE TRIBUTACIÓN</t>
  </si>
  <si>
    <t>Causación</t>
  </si>
  <si>
    <t>Caja</t>
  </si>
  <si>
    <t>COMPOSICIÓN DEL IMPUESTO</t>
  </si>
  <si>
    <t>Impuesto Operacional</t>
  </si>
  <si>
    <t>Impuesto Egresos Financieros</t>
  </si>
  <si>
    <t>Total Impuestos</t>
  </si>
  <si>
    <t>Movimiento Pasivo Financiero</t>
  </si>
  <si>
    <t>Total Pasivo Largo Plazo</t>
  </si>
  <si>
    <t>Total Pasivos Financieros</t>
  </si>
  <si>
    <t>Composición Pasivos Financieros</t>
  </si>
  <si>
    <t>Movimiento Moneda Extranjera</t>
  </si>
  <si>
    <t>Variación en Cuantía</t>
  </si>
  <si>
    <t>Movimiento Neto Pasivos Financieros</t>
  </si>
  <si>
    <t>Movimiento en Moneda Nacional</t>
  </si>
  <si>
    <t>Movimiento en Moneda Extranjera</t>
  </si>
  <si>
    <t>Movimiento Bruto Pasivos Financieros</t>
  </si>
  <si>
    <t>Diferencia en Cambio a:</t>
  </si>
  <si>
    <t>Activos Fijos</t>
  </si>
  <si>
    <t>Tasas de Interés Antes de Impuestos</t>
  </si>
  <si>
    <t>Moneda Nacional</t>
  </si>
  <si>
    <t>Moneda Extranjera</t>
  </si>
  <si>
    <t>Devaluación</t>
  </si>
  <si>
    <t>Flujo de Caja Libre</t>
  </si>
  <si>
    <t>FLUJO DE CAJA LIBRE OPERACIONAL</t>
  </si>
  <si>
    <t>1. GENERACIÓN FONDOS OPERACIONALES:</t>
  </si>
  <si>
    <t>RENOAI (sin Ajustes)</t>
  </si>
  <si>
    <t>Depreciaciones y Amortizaciones</t>
  </si>
  <si>
    <t>Sub-Total Fondos Operacionales</t>
  </si>
  <si>
    <t>2. MOVIMIENTO DE KWOp.</t>
  </si>
  <si>
    <t>Sin Pasivo por Impuesto de Renta</t>
  </si>
  <si>
    <t>Flujo de Caja Operacional</t>
  </si>
  <si>
    <t>3. EGRESO POR IMPUESTO OPERACIONAL</t>
  </si>
  <si>
    <t>Impuesto Operacional Pagado</t>
  </si>
  <si>
    <t>Flujo de Caja Antes de Inversión en</t>
  </si>
  <si>
    <t xml:space="preserve">   Activos Fijos</t>
  </si>
  <si>
    <t>4. INVERSIÓN EN ACTIVOS FIJOS NETOS</t>
  </si>
  <si>
    <t>FLUJO DE CAJA FINANCIERO</t>
  </si>
  <si>
    <t>1. PASIVOS FINANCIEROS</t>
  </si>
  <si>
    <t>Egresos por Gastos Financieros</t>
  </si>
  <si>
    <t>Ahorro en Impuestos por Gastos Fcieros.</t>
  </si>
  <si>
    <t>Neto Gastos Financieros</t>
  </si>
  <si>
    <t>Variación Principal de Obligaciones</t>
  </si>
  <si>
    <t>Movimiento Pasivo Neto Financiero</t>
  </si>
  <si>
    <t>2. INVERSIONES TEMPORALES</t>
  </si>
  <si>
    <t>Inversiones Temporales</t>
  </si>
  <si>
    <t>3. PATRIMONIO</t>
  </si>
  <si>
    <t>Variación Capital y Superávit</t>
  </si>
  <si>
    <t>Pago de Dividendos</t>
  </si>
  <si>
    <t>Neto Patrimonio</t>
  </si>
  <si>
    <t>4. INVERSIONES EN SOCIEDADES</t>
  </si>
  <si>
    <t>Inversiones en Moneda Nacional</t>
  </si>
  <si>
    <t>Inversión Neta</t>
  </si>
  <si>
    <t>Análisis de Valor</t>
  </si>
  <si>
    <t>Capital Operacional Invertido</t>
  </si>
  <si>
    <t>Activos Fijos Operacionales</t>
  </si>
  <si>
    <t>Valorizaciones</t>
  </si>
  <si>
    <t>Total Capital Operacional</t>
  </si>
  <si>
    <t>Financiero</t>
  </si>
  <si>
    <t>Sub-Total Financiero</t>
  </si>
  <si>
    <t>Accionistas</t>
  </si>
  <si>
    <t>Patrimonio</t>
  </si>
  <si>
    <t>Sub-Total Accionistas</t>
  </si>
  <si>
    <t>Total Capital Financiero</t>
  </si>
  <si>
    <t>Crecimiento Capital Financiero</t>
  </si>
  <si>
    <t>RENODI</t>
  </si>
  <si>
    <t>Capital Operacional Invertido Inicial</t>
  </si>
  <si>
    <t>Rentabilidad del Capital Invertido</t>
  </si>
  <si>
    <t>Creación de Valor</t>
  </si>
  <si>
    <t>Capital Invertido Inicial</t>
  </si>
  <si>
    <t>Crecimiento del RENODI</t>
  </si>
  <si>
    <t>Crecimiento del RENOAI</t>
  </si>
  <si>
    <t>WACC</t>
  </si>
  <si>
    <t>Spread de Rentabilidad</t>
  </si>
  <si>
    <t>Valor Económico Agregado</t>
  </si>
  <si>
    <t>Tasa de Impuestos en Efectivo</t>
  </si>
  <si>
    <t>Rentabilidad Antes de Impuestos</t>
  </si>
  <si>
    <t>Rotación del Capital Invertido</t>
  </si>
  <si>
    <t>Rotación del Capital de Trabajo</t>
  </si>
  <si>
    <t>Rotación del Capital Fijo</t>
  </si>
  <si>
    <t>Gasto Mercancía Vendida/Ventas</t>
  </si>
  <si>
    <t>Gastos/Ventas</t>
  </si>
  <si>
    <t>Margen Operacional</t>
  </si>
  <si>
    <t>Generadores de Valor</t>
  </si>
  <si>
    <t>Promedios</t>
  </si>
  <si>
    <t>Desviación</t>
  </si>
  <si>
    <t>Coef. Var.</t>
  </si>
  <si>
    <t>Inflación</t>
  </si>
  <si>
    <t>Crecimiento Nominal</t>
  </si>
  <si>
    <t>Crecimiento Real</t>
  </si>
  <si>
    <t>RENOAI/Ventas</t>
  </si>
  <si>
    <t>Capital de Trabajo Bruto/Ventas</t>
  </si>
  <si>
    <t>Capital de Trabajo Neto/Ventas</t>
  </si>
  <si>
    <t>Propiedad, Planta y Eq./Ventas</t>
  </si>
  <si>
    <t>Depreciación/P.P. y Eq Final</t>
  </si>
  <si>
    <t>Pasivo MN/Capital Invertido</t>
  </si>
  <si>
    <t>Pasivo MEx./Capital Invertido</t>
  </si>
  <si>
    <t>Patrimonio/Capital Invertido</t>
  </si>
  <si>
    <t>DTF</t>
  </si>
  <si>
    <t>Spread DFT</t>
  </si>
  <si>
    <t>Costo Pasivo MN después Im.</t>
  </si>
  <si>
    <t>Spread Moneda Extranjera</t>
  </si>
  <si>
    <t>Costo Pasivo MEx. después Im.</t>
  </si>
  <si>
    <t>Spread para Accionistas</t>
  </si>
  <si>
    <t>Retorno Esperado Patrimonio</t>
  </si>
  <si>
    <t>Crecimiento Utilidades Netas</t>
  </si>
  <si>
    <t>Crecimiento Dividendos</t>
  </si>
  <si>
    <t>Proyección de Cifras</t>
  </si>
  <si>
    <t>Ventas</t>
  </si>
  <si>
    <t>Impuestos</t>
  </si>
  <si>
    <t>Capital de Trabajo Op. Neto</t>
  </si>
  <si>
    <t>Inversión Incremental en Activos Fijos:</t>
  </si>
  <si>
    <t xml:space="preserve">  Saldo Inicial</t>
  </si>
  <si>
    <t xml:space="preserve">  Inversión Bruta</t>
  </si>
  <si>
    <t xml:space="preserve">  Saldo Final</t>
  </si>
  <si>
    <t xml:space="preserve">  Depreciación Anual</t>
  </si>
  <si>
    <t xml:space="preserve">  Inversión Incremental Efectiva</t>
  </si>
  <si>
    <t xml:space="preserve">  Depreciación Acumulada</t>
  </si>
  <si>
    <t>Análisis de Valor Proyectado</t>
  </si>
  <si>
    <t>Capital Operacional Invertido Final</t>
  </si>
  <si>
    <t>Pasivo Moneda Nacional</t>
  </si>
  <si>
    <t>Pasivo Moneda Extranjera</t>
  </si>
  <si>
    <t>Total Financiero</t>
  </si>
  <si>
    <t>Tasa Crecimiento Capital Invertido</t>
  </si>
  <si>
    <t>Egresos Financieros Netos</t>
  </si>
  <si>
    <t>Utilidad Neta Proyectada</t>
  </si>
  <si>
    <t>Incremento de Capital Requerido</t>
  </si>
  <si>
    <t>Dividendos Máximos a Repartir</t>
  </si>
  <si>
    <t>Proyección FCL</t>
  </si>
  <si>
    <t>1. Generación Fondos Operacionales</t>
  </si>
  <si>
    <t>+ Depreciación y Amortizaciones</t>
  </si>
  <si>
    <t>2.  Inversion en Capital de Trabajo</t>
  </si>
  <si>
    <t>3.  Impuestos Operacionales</t>
  </si>
  <si>
    <t>4.  Inversión en Capital Fijo</t>
  </si>
  <si>
    <t>Egresos por Gastos Financieros MN</t>
  </si>
  <si>
    <t>Egresos por Gastos Financieros MEx.</t>
  </si>
  <si>
    <t xml:space="preserve">    En Moneda Nacional</t>
  </si>
  <si>
    <t xml:space="preserve">    En Moneda Extranjera</t>
  </si>
  <si>
    <t>Política de Dividendos</t>
  </si>
  <si>
    <t>Valoraciones</t>
  </si>
  <si>
    <t>VALORACIÓN PATRIMONIAL</t>
  </si>
  <si>
    <t>FCL</t>
  </si>
  <si>
    <t>Crecimiento del FCL</t>
  </si>
  <si>
    <t>Crecimiento Ponderado FCL</t>
  </si>
  <si>
    <t>WACC cada Período</t>
  </si>
  <si>
    <t>WACC Ponderado</t>
  </si>
  <si>
    <t>Tasa de Crecimiento</t>
  </si>
  <si>
    <t>VPN del FCL @ WACC  Ponderado</t>
  </si>
  <si>
    <t>VPN del FCL @ WACC  c/Período</t>
  </si>
  <si>
    <t>Valor Terminal (WACC Ponderado)</t>
  </si>
  <si>
    <t>VPN del Valor Terminal @ WACC Ponderado</t>
  </si>
  <si>
    <t>Valor Terminal (WACC c/Período)</t>
  </si>
  <si>
    <t>VPN del Valor Terminal @ WACC c/Período</t>
  </si>
  <si>
    <t>Valor de la Operación @ WACC Ponderado</t>
  </si>
  <si>
    <t>Valor de la Operación @ WACC c/Período</t>
  </si>
  <si>
    <t>-  Pasivos Financieros</t>
  </si>
  <si>
    <t>Valor de la Empresa @ WACC Ponderado</t>
  </si>
  <si>
    <t>Valor de la Empresa @ WACC c/Período</t>
  </si>
  <si>
    <t>VALORACIÓN POR EVA</t>
  </si>
  <si>
    <t>Costo de Capital</t>
  </si>
  <si>
    <t>EVA del Año</t>
  </si>
  <si>
    <t>VPN del EVA @ WACC  Ponderado</t>
  </si>
  <si>
    <t>VPN del EVA @ WACC  c/Período</t>
  </si>
  <si>
    <t>Capital Inicial Invertido</t>
  </si>
  <si>
    <t>Porcentaje Cambio Estructura</t>
  </si>
  <si>
    <t>Tabla Comparación</t>
  </si>
  <si>
    <t>NPV of FCF</t>
  </si>
  <si>
    <t>PV of Terminal Value</t>
  </si>
  <si>
    <t>Total Value of Co.</t>
  </si>
  <si>
    <t>% of FCF</t>
  </si>
  <si>
    <t>% of TValue</t>
  </si>
  <si>
    <t>g = Nominal</t>
  </si>
  <si>
    <t>g = Inf%</t>
  </si>
  <si>
    <t>g = FCF
Growth</t>
  </si>
  <si>
    <t>g = 0%</t>
  </si>
  <si>
    <t>Análisis de Riesgo</t>
  </si>
  <si>
    <t>Pi</t>
  </si>
  <si>
    <t>Valor
Cía.</t>
  </si>
  <si>
    <t>Best</t>
  </si>
  <si>
    <t>Base</t>
  </si>
  <si>
    <t>Worst</t>
  </si>
  <si>
    <t>FCL Esperado</t>
  </si>
  <si>
    <t>VPN Esperado</t>
  </si>
  <si>
    <t>Desviación Estándar</t>
  </si>
  <si>
    <t>VPN Desviación</t>
  </si>
  <si>
    <t>z</t>
  </si>
  <si>
    <t>Probabilidad NPV &lt; 0</t>
  </si>
  <si>
    <t>g</t>
  </si>
  <si>
    <t>Valoración/Vr. Libros</t>
  </si>
  <si>
    <t>Veces EBITDA</t>
  </si>
  <si>
    <t>Vr. Acción/UPA</t>
  </si>
  <si>
    <t>Miles de pesos</t>
  </si>
  <si>
    <t>Deudores</t>
  </si>
  <si>
    <t>Inversiones permanente, neto</t>
  </si>
  <si>
    <t>Cultivos en desarrollo</t>
  </si>
  <si>
    <t>Intangibles, neto</t>
  </si>
  <si>
    <t>Cargos diferido, neto</t>
  </si>
  <si>
    <t>Otros activos, neto</t>
  </si>
  <si>
    <t xml:space="preserve">Valorizaciones de activos </t>
  </si>
  <si>
    <t>Dividendos por pagar</t>
  </si>
  <si>
    <t>Compañías vinculadas</t>
  </si>
  <si>
    <t>Ingresos recibidos por aticipado</t>
  </si>
  <si>
    <t>Impuestos, gravámenes y tasas</t>
  </si>
  <si>
    <t>Método de participación</t>
  </si>
  <si>
    <t>Gastos pagados por anticipado</t>
  </si>
  <si>
    <t>Otros pasivos</t>
  </si>
  <si>
    <t>SUPUESTOS DE PROYECCIÓN</t>
  </si>
  <si>
    <t>Crecimiento poblacional</t>
  </si>
  <si>
    <t>Fuentes</t>
  </si>
  <si>
    <t>Monto Histórico</t>
  </si>
  <si>
    <t>Total Patrimonio</t>
  </si>
  <si>
    <t>ea</t>
  </si>
  <si>
    <t>Libor+3,95% a 6,43%</t>
  </si>
  <si>
    <t>Bancos en el exterior</t>
  </si>
  <si>
    <t>Compañías de leasing</t>
  </si>
  <si>
    <t>DTF+4,65%</t>
  </si>
  <si>
    <t>Coporacion financiera del exterior</t>
  </si>
  <si>
    <t>compañías de financiamiento</t>
  </si>
  <si>
    <t>Bancos CP y LP</t>
  </si>
  <si>
    <t>Beta (unlevered)</t>
  </si>
  <si>
    <t>Beta apalancado</t>
  </si>
  <si>
    <t>Relación D/P</t>
  </si>
  <si>
    <t>tasa libre de riesgo Rf</t>
  </si>
  <si>
    <t>Fecha</t>
  </si>
  <si>
    <t>Tasa de interés externa - LIBOR</t>
  </si>
  <si>
    <t>Serie histórica LIBOR a 1 mes / 2 meses / 3 meses / 6 meses / 12 meses</t>
  </si>
  <si>
    <t>Información disponible desde el 2 de enero de 2007</t>
  </si>
  <si>
    <t>Libor a 1 mes</t>
  </si>
  <si>
    <t>Libor a 2 meses</t>
  </si>
  <si>
    <t>Libor a 3 meses</t>
  </si>
  <si>
    <t>Libor a 6 meses</t>
  </si>
  <si>
    <t>Libor a 12 meses</t>
  </si>
  <si>
    <r>
      <t>Fuente:</t>
    </r>
    <r>
      <rPr>
        <sz val="10"/>
        <color indexed="8"/>
        <rFont val="Arial"/>
        <family val="2"/>
      </rPr>
      <t xml:space="preserve"> British Banking Association.</t>
    </r>
  </si>
  <si>
    <t>Tasas de captación semanales - DTF, CDT 180 días, CDT 360 días y TCC</t>
  </si>
  <si>
    <t>Serie histórica</t>
  </si>
  <si>
    <t>Información disponible a partir de enero de 1984 para DTF y TCC, y para CDT 180 y CDT 360 desde julio de 1993</t>
  </si>
  <si>
    <t>Tasa de interés - efectiva anual</t>
  </si>
  <si>
    <t>Vigencia desde</t>
  </si>
  <si>
    <t>Vigencia hasta</t>
  </si>
  <si>
    <t>CDT 180</t>
  </si>
  <si>
    <t>CDT 360</t>
  </si>
  <si>
    <t>TCC</t>
  </si>
  <si>
    <t>Fuente: cálculos Banco de la República con información proveniente de la Superintendencia Financiera (http://www.superfinanciera.gov.co/).</t>
  </si>
  <si>
    <r>
      <t>Nota:</t>
    </r>
    <r>
      <rPr>
        <sz val="8"/>
        <color indexed="8"/>
        <rFont val="Arial"/>
        <family val="2"/>
      </rPr>
      <t xml:space="preserve"> la tasa DTF se refiere a la tasa promedio ponderada por monto de las captaciones por CDT a 90 días para los Bancos, corporaciones y compañías de financiamiento comercial. El cálculo se realiza con información diaria de las captaciones realizadas el viernes de la semana anterior y de lunes a jueves de la semana vigente.</t>
    </r>
  </si>
  <si>
    <t>Hasta diciembre de 1988 los cálculos se realizan con base en la encuesta a bancos y corporaciones financieras Oficina Principal de Santafé de Bogotá. A partir de enero de 1989 los cálculos se realizan con base en la información de la encuesta diaria a bancos y corporaciones financieras de todo el país, según circulares 022 y 042 de 1988 de la Asociación Bancaria. A partir del 6 de marzo de 1995 los cálculos se realizan con base en la encuesta diaria que efectúa la Superintendencia Financiera a bancos, corporaciones, compañías de financiamiento comercial y corporaciones de ahorro y vivienda del país. Desde mayo 3 de 2002 hasta marzo 31 de 2008 los cálculos se realizan con base en la información del Formato 133 (Tasas de Interés de Captación y Operaciones de Mercado Monetario), y a partir de abril 1 de 2008 con información del Formato 441 (Tasas de Interés de Captación y Operaciones de Mercado Monetario). La fuente de la información de ambos formatos, formato 133 y formato 441, es la Superintendencia Financiera de Colombia.</t>
  </si>
  <si>
    <t>Ventas netas</t>
  </si>
  <si>
    <t>2014P</t>
  </si>
  <si>
    <t>2015P</t>
  </si>
  <si>
    <t>2016P</t>
  </si>
  <si>
    <t>2017P</t>
  </si>
  <si>
    <t>2018P</t>
  </si>
  <si>
    <t>2019P</t>
  </si>
  <si>
    <t>Año</t>
  </si>
  <si>
    <t>Valor</t>
  </si>
  <si>
    <t>Supuesto de incremento en exportaciones</t>
  </si>
  <si>
    <t>Supuesto de incremento en ventas</t>
  </si>
  <si>
    <t>Libor Nominal</t>
  </si>
  <si>
    <t>Spread Nominal</t>
  </si>
  <si>
    <t>TASA EA</t>
  </si>
  <si>
    <t>DTF Nominal</t>
  </si>
  <si>
    <t>Compañías de financiamineto</t>
  </si>
  <si>
    <t>TASA</t>
  </si>
  <si>
    <t>Índice</t>
  </si>
  <si>
    <t>Sector Construcción</t>
  </si>
  <si>
    <t>Diferencia</t>
  </si>
  <si>
    <t>Total obligaciones</t>
  </si>
  <si>
    <t>Ventas nacionales TABLEROS</t>
  </si>
  <si>
    <t>Ventas nacionales MDF</t>
  </si>
  <si>
    <t>Ventas exportación TABLEROS</t>
  </si>
  <si>
    <t>Ventas exportación MDF</t>
  </si>
  <si>
    <t>VARIABLES PARA CÁLCULO DEL WACC</t>
  </si>
  <si>
    <t>Acciones en circulacion a 31/dic/13</t>
  </si>
  <si>
    <t xml:space="preserve"> TRM proyectada</t>
  </si>
  <si>
    <t>Total</t>
  </si>
  <si>
    <t>Hombres</t>
  </si>
  <si>
    <t>Mujeres</t>
  </si>
  <si>
    <t>Fuente: https://www.dane.gov.co/index.php/poblacion-y-demografia/proyecciones-de-poblacion</t>
  </si>
  <si>
    <t>Crecimiento %</t>
  </si>
  <si>
    <t>impuesto de renta</t>
  </si>
  <si>
    <t>Impuesto de la equidad hasta 2015</t>
  </si>
  <si>
    <t>Impuesto de la equidad desde 2016</t>
  </si>
  <si>
    <t>impuesto + cree hasta 2015</t>
  </si>
  <si>
    <t>impuesto + cree desde 2016</t>
  </si>
  <si>
    <t>Betas by Sector</t>
  </si>
  <si>
    <r>
      <t>Data Used</t>
    </r>
    <r>
      <rPr>
        <sz val="12"/>
        <rFont val="Arial"/>
        <family val="2"/>
      </rPr>
      <t>: S&amp;P Capital IQ, Bloomberg and the Fed (US companies)</t>
    </r>
  </si>
  <si>
    <r>
      <t>Date of Analysis</t>
    </r>
    <r>
      <rPr>
        <sz val="12"/>
        <rFont val="Arial"/>
        <family val="2"/>
      </rPr>
      <t>: Data used is as of January 2014</t>
    </r>
  </si>
  <si>
    <t>Download as an excel file instead: http://www.stern.nyu.edu/~adamodar/pc/datasets/betas.xls</t>
  </si>
  <si>
    <t>can be obtained by clicking here</t>
  </si>
  <si>
    <t>on which companies are included in each industry</t>
  </si>
  <si>
    <t>Industry Name</t>
  </si>
  <si>
    <t>Number of firms</t>
  </si>
  <si>
    <t>Beta</t>
  </si>
  <si>
    <t>D/E Ratio</t>
  </si>
  <si>
    <t>Tax rate</t>
  </si>
  <si>
    <t>Unlevered beta</t>
  </si>
  <si>
    <t>Cash/Firm value</t>
  </si>
  <si>
    <t>Unlevered beta corrected for cash</t>
  </si>
  <si>
    <t>Advertising</t>
  </si>
  <si>
    <t>1.03</t>
  </si>
  <si>
    <t>52.57%</t>
  </si>
  <si>
    <t>6.04%</t>
  </si>
  <si>
    <t>0.69</t>
  </si>
  <si>
    <t>5.91%</t>
  </si>
  <si>
    <t>0.73</t>
  </si>
  <si>
    <t>Aerospace/Defense</t>
  </si>
  <si>
    <t>1.01</t>
  </si>
  <si>
    <t>18.99%</t>
  </si>
  <si>
    <t>15.03%</t>
  </si>
  <si>
    <t>0.87</t>
  </si>
  <si>
    <t>6.24%</t>
  </si>
  <si>
    <t>0.92</t>
  </si>
  <si>
    <t>Air Transport</t>
  </si>
  <si>
    <t>0.94</t>
  </si>
  <si>
    <t>109.48%</t>
  </si>
  <si>
    <t>13.79%</t>
  </si>
  <si>
    <t>0.48</t>
  </si>
  <si>
    <t>6.92%</t>
  </si>
  <si>
    <t>0.52</t>
  </si>
  <si>
    <t>Apparel</t>
  </si>
  <si>
    <t>1.15</t>
  </si>
  <si>
    <t>21.33%</t>
  </si>
  <si>
    <t>10.29%</t>
  </si>
  <si>
    <t>0.96</t>
  </si>
  <si>
    <t>2.99%</t>
  </si>
  <si>
    <t>0.99</t>
  </si>
  <si>
    <t>Auto &amp; Truck</t>
  </si>
  <si>
    <t>1.28</t>
  </si>
  <si>
    <t>97.56%</t>
  </si>
  <si>
    <t>4.71%</t>
  </si>
  <si>
    <t>0.66</t>
  </si>
  <si>
    <t>8.48%</t>
  </si>
  <si>
    <t>0.72</t>
  </si>
  <si>
    <t>Auto Parts</t>
  </si>
  <si>
    <t>1.46</t>
  </si>
  <si>
    <t>32.00%</t>
  </si>
  <si>
    <t>9.43%</t>
  </si>
  <si>
    <t>1.13</t>
  </si>
  <si>
    <t>8.04%</t>
  </si>
  <si>
    <t>1.23</t>
  </si>
  <si>
    <t>Bank</t>
  </si>
  <si>
    <t>84.19%</t>
  </si>
  <si>
    <t>22.17%</t>
  </si>
  <si>
    <t>0.43</t>
  </si>
  <si>
    <t>10.94%</t>
  </si>
  <si>
    <t>0.49</t>
  </si>
  <si>
    <t>Banks (Regional)</t>
  </si>
  <si>
    <t>0.58</t>
  </si>
  <si>
    <t>72.00%</t>
  </si>
  <si>
    <t>18.00%</t>
  </si>
  <si>
    <t>0.37</t>
  </si>
  <si>
    <t>13.80%</t>
  </si>
  <si>
    <t>Beverage</t>
  </si>
  <si>
    <t>1.42</t>
  </si>
  <si>
    <t>22.16%</t>
  </si>
  <si>
    <t>3.95%</t>
  </si>
  <si>
    <t>1.17</t>
  </si>
  <si>
    <t>5.06%</t>
  </si>
  <si>
    <t>1.24</t>
  </si>
  <si>
    <t>Beverage (Alcoholic)</t>
  </si>
  <si>
    <t>1.14</t>
  </si>
  <si>
    <t>27.56%</t>
  </si>
  <si>
    <t>10.72%</t>
  </si>
  <si>
    <t>0.91</t>
  </si>
  <si>
    <t>1.38%</t>
  </si>
  <si>
    <t>0.93</t>
  </si>
  <si>
    <t>Biotechnology</t>
  </si>
  <si>
    <t>1.12</t>
  </si>
  <si>
    <t>9.15%</t>
  </si>
  <si>
    <t>1.13%</t>
  </si>
  <si>
    <t>1.02</t>
  </si>
  <si>
    <t>4.39%</t>
  </si>
  <si>
    <t>1.07</t>
  </si>
  <si>
    <t>Broadcasting</t>
  </si>
  <si>
    <t>1.53</t>
  </si>
  <si>
    <t>48.49%</t>
  </si>
  <si>
    <t>13.21%</t>
  </si>
  <si>
    <t>1.08</t>
  </si>
  <si>
    <t>2.31%</t>
  </si>
  <si>
    <t>1.10</t>
  </si>
  <si>
    <t>Brokerage &amp; Investment Banking</t>
  </si>
  <si>
    <t>1.11</t>
  </si>
  <si>
    <t>400.56%</t>
  </si>
  <si>
    <t>13.44%</t>
  </si>
  <si>
    <t>0.25</t>
  </si>
  <si>
    <t>24.39%</t>
  </si>
  <si>
    <t>0.33</t>
  </si>
  <si>
    <t>Building Materials</t>
  </si>
  <si>
    <t>1.27</t>
  </si>
  <si>
    <t>30.05%</t>
  </si>
  <si>
    <t>16.33%</t>
  </si>
  <si>
    <t>5.04%</t>
  </si>
  <si>
    <t>Business &amp; Consumer Services</t>
  </si>
  <si>
    <t>0.90</t>
  </si>
  <si>
    <t>29.23%</t>
  </si>
  <si>
    <t>13.41%</t>
  </si>
  <si>
    <t>4.33%</t>
  </si>
  <si>
    <t>0.75</t>
  </si>
  <si>
    <t>Cable TV</t>
  </si>
  <si>
    <t>0.97</t>
  </si>
  <si>
    <t>49.23%</t>
  </si>
  <si>
    <t>15.00%</t>
  </si>
  <si>
    <t>2.58%</t>
  </si>
  <si>
    <t>0.71</t>
  </si>
  <si>
    <t>Chemical (Basic)</t>
  </si>
  <si>
    <t>29.67%</t>
  </si>
  <si>
    <t>6.27%</t>
  </si>
  <si>
    <t>0.79</t>
  </si>
  <si>
    <t>7.19%</t>
  </si>
  <si>
    <t>0.85</t>
  </si>
  <si>
    <t>Chemical (Diversified) [1]</t>
  </si>
  <si>
    <t>33.39%</t>
  </si>
  <si>
    <t>25.03%</t>
  </si>
  <si>
    <t>6.82%</t>
  </si>
  <si>
    <t>1.22</t>
  </si>
  <si>
    <t>Chemical (Specialty)</t>
  </si>
  <si>
    <t>16.30%</t>
  </si>
  <si>
    <t>12.74%</t>
  </si>
  <si>
    <t>0.89</t>
  </si>
  <si>
    <t>6.25%</t>
  </si>
  <si>
    <t>0.95</t>
  </si>
  <si>
    <t>Coal &amp; Related Energy</t>
  </si>
  <si>
    <t>86.63%</t>
  </si>
  <si>
    <t>2.44%</t>
  </si>
  <si>
    <t>5.86%</t>
  </si>
  <si>
    <t>Computer Services</t>
  </si>
  <si>
    <t>20.48%</t>
  </si>
  <si>
    <t>9.94%</t>
  </si>
  <si>
    <t>0.78</t>
  </si>
  <si>
    <t>5.48%</t>
  </si>
  <si>
    <t>0.82</t>
  </si>
  <si>
    <t>Computer Software</t>
  </si>
  <si>
    <t>8.68%</t>
  </si>
  <si>
    <t>6.16%</t>
  </si>
  <si>
    <t>5.50%</t>
  </si>
  <si>
    <t>1.04</t>
  </si>
  <si>
    <t>Computers/Peripherals</t>
  </si>
  <si>
    <t>8.83%</t>
  </si>
  <si>
    <t>5.66%</t>
  </si>
  <si>
    <t>1.06</t>
  </si>
  <si>
    <t>5.92%</t>
  </si>
  <si>
    <t>Construction</t>
  </si>
  <si>
    <t>30.47%</t>
  </si>
  <si>
    <t>9.82%</t>
  </si>
  <si>
    <t>1.89%</t>
  </si>
  <si>
    <t>0.77</t>
  </si>
  <si>
    <t>Diversified</t>
  </si>
  <si>
    <t>94.47%</t>
  </si>
  <si>
    <t>12.60%</t>
  </si>
  <si>
    <t>0.42</t>
  </si>
  <si>
    <t>2.27%</t>
  </si>
  <si>
    <t>Educational Services</t>
  </si>
  <si>
    <t>39.03%</t>
  </si>
  <si>
    <t>11.84%</t>
  </si>
  <si>
    <t>11.98%</t>
  </si>
  <si>
    <t>Electrical Equipment</t>
  </si>
  <si>
    <t>13.74%</t>
  </si>
  <si>
    <t>7.49%</t>
  </si>
  <si>
    <t>5.37%</t>
  </si>
  <si>
    <t>Electronics</t>
  </si>
  <si>
    <t>16.01%</t>
  </si>
  <si>
    <t>7.52%</t>
  </si>
  <si>
    <t>10.69%</t>
  </si>
  <si>
    <t>1.00</t>
  </si>
  <si>
    <t>Electronics (Consumer &amp; Office)</t>
  </si>
  <si>
    <t>1.37</t>
  </si>
  <si>
    <t>40.30%</t>
  </si>
  <si>
    <t>8.97%</t>
  </si>
  <si>
    <t>6.97%</t>
  </si>
  <si>
    <t>Engineering</t>
  </si>
  <si>
    <t>1.20</t>
  </si>
  <si>
    <t>22.72%</t>
  </si>
  <si>
    <t>14.86%</t>
  </si>
  <si>
    <t>11.21%</t>
  </si>
  <si>
    <t>Entertainment</t>
  </si>
  <si>
    <t>1.19</t>
  </si>
  <si>
    <t>25.98%</t>
  </si>
  <si>
    <t>4.85%</t>
  </si>
  <si>
    <t>4.05%</t>
  </si>
  <si>
    <t>Environmental &amp; Waste Services</t>
  </si>
  <si>
    <t>43.59%</t>
  </si>
  <si>
    <t>5.02%</t>
  </si>
  <si>
    <t>0.80</t>
  </si>
  <si>
    <t>1.42%</t>
  </si>
  <si>
    <t>0.81</t>
  </si>
  <si>
    <t>Farming/Agriculture</t>
  </si>
  <si>
    <t>41.12%</t>
  </si>
  <si>
    <t>9.01%</t>
  </si>
  <si>
    <t>7.63%</t>
  </si>
  <si>
    <t>0.63</t>
  </si>
  <si>
    <t>Financial Svcs.</t>
  </si>
  <si>
    <t>102.12%</t>
  </si>
  <si>
    <t>18.37%</t>
  </si>
  <si>
    <t>0.54</t>
  </si>
  <si>
    <t>7.22%</t>
  </si>
  <si>
    <t>Financial Svcs. (Non-bank &amp; Insurance)</t>
  </si>
  <si>
    <t>1.05</t>
  </si>
  <si>
    <t>331.47%</t>
  </si>
  <si>
    <t>9.77%</t>
  </si>
  <si>
    <t>0.26</t>
  </si>
  <si>
    <t>7.85%</t>
  </si>
  <si>
    <t>0.29</t>
  </si>
  <si>
    <t>Food Processing</t>
  </si>
  <si>
    <t>27.92%</t>
  </si>
  <si>
    <t>14.00%</t>
  </si>
  <si>
    <t>3.10%</t>
  </si>
  <si>
    <t>Food Wholesalers</t>
  </si>
  <si>
    <t>1.18</t>
  </si>
  <si>
    <t>16.79%</t>
  </si>
  <si>
    <t>1.71%</t>
  </si>
  <si>
    <t>Furn/Home Furnishings</t>
  </si>
  <si>
    <t>27.66%</t>
  </si>
  <si>
    <t>10.03%</t>
  </si>
  <si>
    <t>3.88%</t>
  </si>
  <si>
    <t>Healthcare Equipment</t>
  </si>
  <si>
    <t>17.26%</t>
  </si>
  <si>
    <t>5.80%</t>
  </si>
  <si>
    <t>5.20%</t>
  </si>
  <si>
    <t>Healthcare Facilities</t>
  </si>
  <si>
    <t>120.90%</t>
  </si>
  <si>
    <t>13.49%</t>
  </si>
  <si>
    <t>0.55</t>
  </si>
  <si>
    <t>1.22%</t>
  </si>
  <si>
    <t>0.56</t>
  </si>
  <si>
    <t>Healthcare Products</t>
  </si>
  <si>
    <t>19.80%</t>
  </si>
  <si>
    <t>8.76%</t>
  </si>
  <si>
    <t>4.28%</t>
  </si>
  <si>
    <t>Healthcare Services</t>
  </si>
  <si>
    <t>0.83</t>
  </si>
  <si>
    <t>27.93%</t>
  </si>
  <si>
    <t>13.77%</t>
  </si>
  <si>
    <t>0.67</t>
  </si>
  <si>
    <t>6.54%</t>
  </si>
  <si>
    <t>Heathcare Information and Technology</t>
  </si>
  <si>
    <t>14.52%</t>
  </si>
  <si>
    <t>6.09%</t>
  </si>
  <si>
    <t>4.88%</t>
  </si>
  <si>
    <t>Heavy Construction</t>
  </si>
  <si>
    <t>1.67</t>
  </si>
  <si>
    <t>56.30%</t>
  </si>
  <si>
    <t>19.40%</t>
  </si>
  <si>
    <t>5.54%</t>
  </si>
  <si>
    <t>Homebuilding</t>
  </si>
  <si>
    <t>1.71</t>
  </si>
  <si>
    <t>56.61%</t>
  </si>
  <si>
    <t>6.68%</t>
  </si>
  <si>
    <t>Hotel/Gaming</t>
  </si>
  <si>
    <t>52.33%</t>
  </si>
  <si>
    <t>10.48%</t>
  </si>
  <si>
    <t>3.84%</t>
  </si>
  <si>
    <t>Household Products</t>
  </si>
  <si>
    <t>19.33%</t>
  </si>
  <si>
    <t>9.51%</t>
  </si>
  <si>
    <t>0.86</t>
  </si>
  <si>
    <t>3.52%</t>
  </si>
  <si>
    <t>Information Services</t>
  </si>
  <si>
    <t>0.84</t>
  </si>
  <si>
    <t>10.63%</t>
  </si>
  <si>
    <t>17.05%</t>
  </si>
  <si>
    <t>Insurance (General)</t>
  </si>
  <si>
    <t>46.14%</t>
  </si>
  <si>
    <t>19.19%</t>
  </si>
  <si>
    <t>Insurance (Life)</t>
  </si>
  <si>
    <t>1.21</t>
  </si>
  <si>
    <t>66.67%</t>
  </si>
  <si>
    <t>17.82%</t>
  </si>
  <si>
    <t>10.41%</t>
  </si>
  <si>
    <t>Insurance (Prop/Cas.)</t>
  </si>
  <si>
    <t>0.76</t>
  </si>
  <si>
    <t>34.98%</t>
  </si>
  <si>
    <t>19.42%</t>
  </si>
  <si>
    <t>0.60</t>
  </si>
  <si>
    <t>5.47%</t>
  </si>
  <si>
    <t>Internet software and services</t>
  </si>
  <si>
    <t>4.16%</t>
  </si>
  <si>
    <t>4.59%</t>
  </si>
  <si>
    <t>3.98%</t>
  </si>
  <si>
    <t>Investment Co.</t>
  </si>
  <si>
    <t>104.40%</t>
  </si>
  <si>
    <t>6.62%</t>
  </si>
  <si>
    <t>0.41</t>
  </si>
  <si>
    <t>11.38%</t>
  </si>
  <si>
    <t>0.47</t>
  </si>
  <si>
    <t>Machinery</t>
  </si>
  <si>
    <t>17.50%</t>
  </si>
  <si>
    <t>13.02%</t>
  </si>
  <si>
    <t>5.90%</t>
  </si>
  <si>
    <t>Metals &amp; Mining</t>
  </si>
  <si>
    <t>1.26</t>
  </si>
  <si>
    <t>48.21%</t>
  </si>
  <si>
    <t>1.90%</t>
  </si>
  <si>
    <t>Office Equipment &amp; Services</t>
  </si>
  <si>
    <t>55.08%</t>
  </si>
  <si>
    <t>12.81%</t>
  </si>
  <si>
    <t>5.45%</t>
  </si>
  <si>
    <t>Oil/Gas (Integrated)</t>
  </si>
  <si>
    <t>8.54%</t>
  </si>
  <si>
    <t>20.55%</t>
  </si>
  <si>
    <t>3.09%</t>
  </si>
  <si>
    <t>Oil/Gas (Production and Exploration)</t>
  </si>
  <si>
    <t>156.15%</t>
  </si>
  <si>
    <t>6.29%</t>
  </si>
  <si>
    <t>0.50</t>
  </si>
  <si>
    <t>1.76%</t>
  </si>
  <si>
    <t>0.51</t>
  </si>
  <si>
    <t>Oil/Gas Distribution</t>
  </si>
  <si>
    <t>51.93%</t>
  </si>
  <si>
    <t>4.18%</t>
  </si>
  <si>
    <t>1.12%</t>
  </si>
  <si>
    <t>Oilfield Svcs/Equip.</t>
  </si>
  <si>
    <t>1.30</t>
  </si>
  <si>
    <t>20.29%</t>
  </si>
  <si>
    <t>10.73%</t>
  </si>
  <si>
    <t>5.69%</t>
  </si>
  <si>
    <t>Packaging &amp; Container</t>
  </si>
  <si>
    <t>49.19%</t>
  </si>
  <si>
    <t>21.28%</t>
  </si>
  <si>
    <t>3.31%</t>
  </si>
  <si>
    <t>Paper/Forest Products</t>
  </si>
  <si>
    <t>1.34</t>
  </si>
  <si>
    <t>51.99%</t>
  </si>
  <si>
    <t>8.20%</t>
  </si>
  <si>
    <t>3.12%</t>
  </si>
  <si>
    <t>Pharma &amp; Drugs</t>
  </si>
  <si>
    <t>13.87%</t>
  </si>
  <si>
    <t>4.30%</t>
  </si>
  <si>
    <t>5.15%</t>
  </si>
  <si>
    <t>Power</t>
  </si>
  <si>
    <t>0.68</t>
  </si>
  <si>
    <t>85.11%</t>
  </si>
  <si>
    <t>16.03%</t>
  </si>
  <si>
    <t>0.40</t>
  </si>
  <si>
    <t>2.05%</t>
  </si>
  <si>
    <t>Precious Metals</t>
  </si>
  <si>
    <t>1.33</t>
  </si>
  <si>
    <t>37.02%</t>
  </si>
  <si>
    <t>0.82%</t>
  </si>
  <si>
    <t>0.98</t>
  </si>
  <si>
    <t>10.57%</t>
  </si>
  <si>
    <t>1.09</t>
  </si>
  <si>
    <t>Publshing &amp; Newspapers</t>
  </si>
  <si>
    <t>36.82%</t>
  </si>
  <si>
    <t>13.92%</t>
  </si>
  <si>
    <t>6.06%</t>
  </si>
  <si>
    <t>R.E.I.T.</t>
  </si>
  <si>
    <t>569.79%</t>
  </si>
  <si>
    <t>2.48%</t>
  </si>
  <si>
    <t>0.12</t>
  </si>
  <si>
    <t>2.40%</t>
  </si>
  <si>
    <t>Railroad</t>
  </si>
  <si>
    <t>23.69%</t>
  </si>
  <si>
    <t>20.51%</t>
  </si>
  <si>
    <t>1.61%</t>
  </si>
  <si>
    <t>Real Estate (Development)</t>
  </si>
  <si>
    <t>24.90%</t>
  </si>
  <si>
    <t>3.00%</t>
  </si>
  <si>
    <t>Real Estate (General/Diversified)</t>
  </si>
  <si>
    <t>17.30%</t>
  </si>
  <si>
    <t>8.72%</t>
  </si>
  <si>
    <t>0.62</t>
  </si>
  <si>
    <t>0.69%</t>
  </si>
  <si>
    <t>Real Estate (Operations &amp; Services)</t>
  </si>
  <si>
    <t>1.40</t>
  </si>
  <si>
    <t>59.57%</t>
  </si>
  <si>
    <t>8.56%</t>
  </si>
  <si>
    <t>3.25%</t>
  </si>
  <si>
    <t>Recreation</t>
  </si>
  <si>
    <t>25.13%</t>
  </si>
  <si>
    <t>8.81%</t>
  </si>
  <si>
    <t>4.22%</t>
  </si>
  <si>
    <t>Reinsurance</t>
  </si>
  <si>
    <t>38.50%</t>
  </si>
  <si>
    <t>13.34%</t>
  </si>
  <si>
    <t>10.46%</t>
  </si>
  <si>
    <t>Restaurant</t>
  </si>
  <si>
    <t>27.57%</t>
  </si>
  <si>
    <t>15.17%</t>
  </si>
  <si>
    <t>2.56%</t>
  </si>
  <si>
    <t>Retail (Automotive)</t>
  </si>
  <si>
    <t>57.51%</t>
  </si>
  <si>
    <t>19.23%</t>
  </si>
  <si>
    <t>2.25%</t>
  </si>
  <si>
    <t>Retail (Building Supply)</t>
  </si>
  <si>
    <t>22.18%</t>
  </si>
  <si>
    <t>21.97%</t>
  </si>
  <si>
    <t>2.89%</t>
  </si>
  <si>
    <t>Retail (Distributors)</t>
  </si>
  <si>
    <t>43.82%</t>
  </si>
  <si>
    <t>16.18%</t>
  </si>
  <si>
    <t>1.86%</t>
  </si>
  <si>
    <t>0.74</t>
  </si>
  <si>
    <t>Retail (General)</t>
  </si>
  <si>
    <t>35.62%</t>
  </si>
  <si>
    <t>3.19%</t>
  </si>
  <si>
    <t>Retail (Grocery and Food)</t>
  </si>
  <si>
    <t>56.86%</t>
  </si>
  <si>
    <t>22.83%</t>
  </si>
  <si>
    <t>0.57</t>
  </si>
  <si>
    <t>1.72%</t>
  </si>
  <si>
    <t>Retail (Internet)</t>
  </si>
  <si>
    <t>9.80%</t>
  </si>
  <si>
    <t>3.03%</t>
  </si>
  <si>
    <t>Retail (Special Lines)</t>
  </si>
  <si>
    <t>37.80%</t>
  </si>
  <si>
    <t>18.90%</t>
  </si>
  <si>
    <t>3.20%</t>
  </si>
  <si>
    <t>Rubber&amp; Tires</t>
  </si>
  <si>
    <t>109.78%</t>
  </si>
  <si>
    <t>15.21%</t>
  </si>
  <si>
    <t>Semiconductor</t>
  </si>
  <si>
    <t>7.30%</t>
  </si>
  <si>
    <t>6.34%</t>
  </si>
  <si>
    <t>Semiconductor Equip</t>
  </si>
  <si>
    <t>1.25</t>
  </si>
  <si>
    <t>16.97%</t>
  </si>
  <si>
    <t>5.13%</t>
  </si>
  <si>
    <t>10.97%</t>
  </si>
  <si>
    <t>Shipbuilding &amp; Marine</t>
  </si>
  <si>
    <t>1.50</t>
  </si>
  <si>
    <t>65.35%</t>
  </si>
  <si>
    <t>4.99%</t>
  </si>
  <si>
    <t>2.28%</t>
  </si>
  <si>
    <t>Shoe</t>
  </si>
  <si>
    <t>7.89%</t>
  </si>
  <si>
    <t>19.82%</t>
  </si>
  <si>
    <t>3.53%</t>
  </si>
  <si>
    <t>Steel</t>
  </si>
  <si>
    <t>45.91%</t>
  </si>
  <si>
    <t>14.13%</t>
  </si>
  <si>
    <t>6.31%</t>
  </si>
  <si>
    <t>Telecom (Wireless)</t>
  </si>
  <si>
    <t>105.14%</t>
  </si>
  <si>
    <t>11.54%</t>
  </si>
  <si>
    <t>0.35</t>
  </si>
  <si>
    <t>Telecom. Equipment</t>
  </si>
  <si>
    <t>10.77%</t>
  </si>
  <si>
    <t>6.90%</t>
  </si>
  <si>
    <t>6.36%</t>
  </si>
  <si>
    <t>Telecom. Services</t>
  </si>
  <si>
    <t>71.23%</t>
  </si>
  <si>
    <t>8.40%</t>
  </si>
  <si>
    <t>9.63%</t>
  </si>
  <si>
    <t>Thrift</t>
  </si>
  <si>
    <t>0.53</t>
  </si>
  <si>
    <t>NA</t>
  </si>
  <si>
    <t>18.93%</t>
  </si>
  <si>
    <t>0.01</t>
  </si>
  <si>
    <t>1.88%</t>
  </si>
  <si>
    <t>Tobacco</t>
  </si>
  <si>
    <t>20.83%</t>
  </si>
  <si>
    <t>14.23%</t>
  </si>
  <si>
    <t>3.80%</t>
  </si>
  <si>
    <t>Transportation</t>
  </si>
  <si>
    <t>20.75%</t>
  </si>
  <si>
    <t>21.21%</t>
  </si>
  <si>
    <t>5.60%</t>
  </si>
  <si>
    <t>Trucking</t>
  </si>
  <si>
    <t>78.48%</t>
  </si>
  <si>
    <t>2.92%</t>
  </si>
  <si>
    <t>Utility (General)</t>
  </si>
  <si>
    <t>69.35%</t>
  </si>
  <si>
    <t>29.93%</t>
  </si>
  <si>
    <t>0.38</t>
  </si>
  <si>
    <t>0.97%</t>
  </si>
  <si>
    <t>Utility (Water)</t>
  </si>
  <si>
    <t>57.90%</t>
  </si>
  <si>
    <t>0.55%</t>
  </si>
  <si>
    <t>Total Market</t>
  </si>
  <si>
    <t>74.28%</t>
  </si>
  <si>
    <t>10.32%</t>
  </si>
  <si>
    <t>5.24%</t>
  </si>
  <si>
    <t>0.64</t>
  </si>
  <si>
    <t>Beta Desapalancada ENKA [1]</t>
  </si>
  <si>
    <t>BALANCE GENERAL</t>
  </si>
  <si>
    <t>Miles de pesos Colombianos</t>
  </si>
  <si>
    <t>31 de Diciembre de</t>
  </si>
  <si>
    <t>TABLEMAC</t>
  </si>
  <si>
    <t>TABLEMAC MDF</t>
  </si>
  <si>
    <t>Activo</t>
  </si>
  <si>
    <t>Notas</t>
  </si>
  <si>
    <t xml:space="preserve">  Activos corrientes</t>
  </si>
  <si>
    <t xml:space="preserve">      Disponible e inversiones temporales</t>
  </si>
  <si>
    <t xml:space="preserve">      Deudores, neto</t>
  </si>
  <si>
    <t xml:space="preserve">      Deudores, vinculados económicos</t>
  </si>
  <si>
    <t>Cultivos en desarrollo corto plazo</t>
  </si>
  <si>
    <t xml:space="preserve">      Inventarios, neto</t>
  </si>
  <si>
    <t xml:space="preserve">      Gastos pagados por anticipado</t>
  </si>
  <si>
    <t xml:space="preserve">           Total de los Activos Corrientes</t>
  </si>
  <si>
    <t xml:space="preserve">  Activos no corrientes</t>
  </si>
  <si>
    <t xml:space="preserve">      Inversiones permanente, neto</t>
  </si>
  <si>
    <t xml:space="preserve">      Cultivos en desarrollo</t>
  </si>
  <si>
    <t xml:space="preserve">      Propiedades, planta y equipo, neto</t>
  </si>
  <si>
    <t xml:space="preserve">      Intangibles, neto</t>
  </si>
  <si>
    <t xml:space="preserve">      Cargos diferido, neto</t>
  </si>
  <si>
    <t xml:space="preserve">      Otros activos, neto</t>
  </si>
  <si>
    <t xml:space="preserve">      Valorizaciones de activos </t>
  </si>
  <si>
    <t xml:space="preserve">            Total de los activos no corrientes</t>
  </si>
  <si>
    <t xml:space="preserve">      Total de los activos </t>
  </si>
  <si>
    <t xml:space="preserve">             Pasivos y Patrimonio de los Accionistas</t>
  </si>
  <si>
    <t xml:space="preserve">  Pasivos corrientes</t>
  </si>
  <si>
    <t xml:space="preserve">      Obligaciones financieras</t>
  </si>
  <si>
    <t xml:space="preserve">      Proveedores</t>
  </si>
  <si>
    <t xml:space="preserve">      Cuentas por pagar</t>
  </si>
  <si>
    <t xml:space="preserve">      Impuestos, gravámenes y tasas</t>
  </si>
  <si>
    <t xml:space="preserve">      Obligaciones laborales</t>
  </si>
  <si>
    <t xml:space="preserve">      Dividendos por pagar</t>
  </si>
  <si>
    <t>Pasivos estimados y provisiones</t>
  </si>
  <si>
    <t xml:space="preserve">      Compañías vinculadas</t>
  </si>
  <si>
    <t xml:space="preserve">      Ingresos recibidos por anticipado</t>
  </si>
  <si>
    <t xml:space="preserve">            Total de los pasivos corrientes</t>
  </si>
  <si>
    <t xml:space="preserve">  Pasivos no corrientes</t>
  </si>
  <si>
    <t xml:space="preserve">            Total de los pasivos no corrientes</t>
  </si>
  <si>
    <t xml:space="preserve">      Total de los pasivos</t>
  </si>
  <si>
    <t>Patrimonio de los accionistas</t>
  </si>
  <si>
    <t>Total de los pasivos y patrimonio de los accionistas</t>
  </si>
  <si>
    <t>Cuentas en orden</t>
  </si>
  <si>
    <t>ESTADO DE RESULTADOS</t>
  </si>
  <si>
    <t>Miles de pesos colombianos</t>
  </si>
  <si>
    <t>Año terminado el 31 de Diciembre de</t>
  </si>
  <si>
    <t>Ingresos operacionales</t>
  </si>
  <si>
    <t>Ventas nacionales</t>
  </si>
  <si>
    <t>Ventas exportación</t>
  </si>
  <si>
    <t>Ventas a filial</t>
  </si>
  <si>
    <t>Costo de ventas</t>
  </si>
  <si>
    <t>Utilidad bruta</t>
  </si>
  <si>
    <t>Gastos operacionales</t>
  </si>
  <si>
    <t>De administración</t>
  </si>
  <si>
    <t>De venta</t>
  </si>
  <si>
    <t>Utilidad operacional</t>
  </si>
  <si>
    <t>Ingresos (egresos) no operacionales</t>
  </si>
  <si>
    <t>Ingresos financieros</t>
  </si>
  <si>
    <t>Gastos financieros</t>
  </si>
  <si>
    <t>Otros ingresos</t>
  </si>
  <si>
    <t>Otros egresos</t>
  </si>
  <si>
    <t>Utilidad antes de provisión para impuesto sobre la renta</t>
  </si>
  <si>
    <t>Provisión para impuesto sobre la renta</t>
  </si>
  <si>
    <t>(Pérdida) Utilidad neta</t>
  </si>
  <si>
    <t>(Pérdida) Utilidad neta por acción (*)</t>
  </si>
  <si>
    <t>(*) Expresada en pesos colombianos</t>
  </si>
  <si>
    <t>Valor pasivo</t>
  </si>
  <si>
    <t>AÑO</t>
  </si>
  <si>
    <t>VIDA ÚTIL ACTIVO</t>
  </si>
  <si>
    <t>Costo ajustado</t>
  </si>
  <si>
    <t>Depreciación acumulada ajustada</t>
  </si>
  <si>
    <t>Provisión</t>
  </si>
  <si>
    <t>Costo neto ajustado</t>
  </si>
  <si>
    <t>Terrenos</t>
  </si>
  <si>
    <t>Construcciones en curso</t>
  </si>
  <si>
    <t>Cosntrucciones y edificaciones</t>
  </si>
  <si>
    <t>Maquinaria y equipo de montaje</t>
  </si>
  <si>
    <t>Maquinaria y equipo</t>
  </si>
  <si>
    <t>Equipo de oficina</t>
  </si>
  <si>
    <t>Equipo de computo y comunicación</t>
  </si>
  <si>
    <t>Flota y equipo de transporte</t>
  </si>
  <si>
    <t>Acueductos, plantas y redes</t>
  </si>
  <si>
    <t>Propiedades, planta y equipo en tránsito</t>
  </si>
  <si>
    <t>%Depreciación</t>
  </si>
  <si>
    <t>DTF+3,4% DTF 4,4%</t>
  </si>
  <si>
    <t>Wi</t>
  </si>
  <si>
    <t xml:space="preserve">Obligaciones </t>
  </si>
  <si>
    <t>Precio de la acción 05/may/14</t>
  </si>
  <si>
    <t>Obligaciones Moneda Nacional Corriente</t>
  </si>
  <si>
    <t>Obligaciones Moneda Nacional No Corriente</t>
  </si>
  <si>
    <t>Obligaciones Moneda Extranjera Corriente</t>
  </si>
  <si>
    <t>Obligaciones Moneda Extranjera No Corriente</t>
  </si>
  <si>
    <t>Deuda a 31 dic/13 Miles de pesos</t>
  </si>
  <si>
    <t>Saldo de la deuda por año</t>
  </si>
  <si>
    <t>Porcentajes de distribución de la deuda nacional y extranjera corriente y no corriente, similar a la distribución del año 2013.</t>
  </si>
  <si>
    <t>Corporación financiera en el exterior</t>
  </si>
  <si>
    <t>Libor+3,95 y tasa fija hasta 5,36</t>
  </si>
  <si>
    <t>EA</t>
  </si>
  <si>
    <t>inversion</t>
  </si>
  <si>
    <t>interes</t>
  </si>
  <si>
    <t>capital</t>
  </si>
  <si>
    <t>cuota</t>
  </si>
  <si>
    <t>intereses anuales</t>
  </si>
  <si>
    <t>capital abonado</t>
  </si>
  <si>
    <t>Período</t>
  </si>
  <si>
    <t>Otros gastos (diferencia en cambio+descuentos comerciales+comisiones) Miles de pesos</t>
  </si>
  <si>
    <t>Intereses pagados</t>
  </si>
  <si>
    <t>Intereses recibidos</t>
  </si>
  <si>
    <t>promedio 2009-2012</t>
  </si>
  <si>
    <t>Gastos Financieros</t>
  </si>
  <si>
    <t>Base Gravable</t>
  </si>
  <si>
    <t>ReteFte</t>
  </si>
  <si>
    <t>ReteCREE</t>
  </si>
  <si>
    <t>Deducibilidad 50%</t>
  </si>
  <si>
    <t>Impuestos 0.4%</t>
  </si>
  <si>
    <t>Otros No deducibles</t>
  </si>
  <si>
    <t>Utilidad Gravable</t>
  </si>
  <si>
    <t>Impuesto Causado</t>
  </si>
  <si>
    <t>Tasa Renta</t>
  </si>
  <si>
    <t>Tasa CREE</t>
  </si>
  <si>
    <t>Saldo a Pagar Renta</t>
  </si>
  <si>
    <t>Saldo a Pagar CREE</t>
  </si>
  <si>
    <t>Anticipo Impuestos</t>
  </si>
  <si>
    <t>Movimiento Impuestos</t>
  </si>
  <si>
    <t>Tasa Impuesto en Efectivo</t>
  </si>
  <si>
    <t>Activos Financieros</t>
  </si>
  <si>
    <t>Anticipos</t>
  </si>
  <si>
    <t>TRM</t>
  </si>
  <si>
    <t>Promedio de TRM año 2013</t>
  </si>
  <si>
    <t>Productoria de tasas</t>
  </si>
  <si>
    <t>https://www.grupoaval.com/wps/portal/grupo-aval/bienvenido/portal-financiero-web/</t>
  </si>
  <si>
    <t>Indice de precios al productor</t>
  </si>
  <si>
    <t>Ventas exportación TABLEROS miles de USD</t>
  </si>
  <si>
    <t>Ventas exportación MDF miles de USD</t>
  </si>
  <si>
    <t>Año MILES USD</t>
  </si>
  <si>
    <t>Año MILES COP</t>
  </si>
  <si>
    <t>Deuda CON amortización de pagos.</t>
  </si>
  <si>
    <t>Reducción de costos</t>
  </si>
  <si>
    <t>WACC Período Proyección:</t>
  </si>
  <si>
    <t>Inversión</t>
  </si>
  <si>
    <t>Rendimiento de la Inversión</t>
  </si>
  <si>
    <t>Recuperación de Inversión</t>
  </si>
  <si>
    <t>Flujo Neto Esperado</t>
  </si>
  <si>
    <t>WACC Período de Proyección</t>
  </si>
  <si>
    <t>Sensibilidad WACC</t>
  </si>
  <si>
    <t>DEUDA</t>
  </si>
  <si>
    <t>Deuda a 31 dic/13 miles de pesos</t>
  </si>
  <si>
    <t>Amortización de deuda nueva</t>
  </si>
  <si>
    <t>Amortización de deuda actual</t>
  </si>
  <si>
    <t>Driver de distribución de la deuda</t>
  </si>
  <si>
    <t>Mensual</t>
  </si>
  <si>
    <t>Compañías de financiamiento</t>
  </si>
  <si>
    <t>Corporación financiera exterior</t>
  </si>
  <si>
    <t>Pasivo en Moneda Nacional y extranjera</t>
  </si>
  <si>
    <t>Inflación Colombia</t>
  </si>
  <si>
    <t>PIB América Central</t>
  </si>
  <si>
    <t>PIB Ecuador</t>
  </si>
  <si>
    <t>La proyección de las ventas nacionales se hicieron teniendo en cuenta el crecimiento poblacional, la proyección del sector de la construcción y el IPP; el mercado principal de Tablemac es el mercado nacional, el cual proyecta un crecimiento favorable para la empresa, sin embargo para el caso de las ventas al extranjero se maneja un escenario conservador afectado sólo por el IPP para cubrir los costos de producción, la proyección consiste en mantener constantes las exportaciones, la proyeccion de la TRM  es al alza, lo cual beneficia a la empresa, ya que recibirá más pesos por el mismo volúmen exportado.</t>
  </si>
  <si>
    <t>A 31 de diciembre de 2013, la deuda de Tablemac ascendía a 52.140 millones de pesos; para proyectar la deuda de los proximos años suponemos que no hará una inversión estratégica de 15.000 milones en el año 2016.</t>
  </si>
  <si>
    <t>La proyección de los proveedores, cuentas y gastos por pagar  se estiman teniendo en cuenta el crecimiento poblacional, la proyección del sector de la construcción y el IPP.</t>
  </si>
  <si>
    <t>Pensiones de jubilacion  y otros activos largo plazo se mantienen en 0.</t>
  </si>
  <si>
    <t>Otros pasivos e ingresos recibidos por anticipado se mantuvieron constantes a partir del 2013 aplicando un incremento del IPP ya que con la entrada de la planta MDF se deben realizar coberturas por las transacciones en moneda extranjera.</t>
  </si>
  <si>
    <t>El crecimiento poblacional fue tomado de la proyección de la población de la página del DANE, para el total nacional.</t>
  </si>
  <si>
    <t>La proyección de los activos corrientes y no corrientes se estimo teniendo en cuenta el crecimiento poblacional, la proyección del sector de la construcción y el IPP, dado que con la entrada de MDF la operación se estibilizó.</t>
  </si>
  <si>
    <t>El gasto de la mercancía vendida, gastos de ventas y de administración también fueron proyectados teniendo en cuenta el crecimiento poblacional, la proyección del sector de la construcción y el IPP.</t>
  </si>
  <si>
    <t>Las cifras de las obligaciones en moneda nacional y extranjera, tanto corriente como no corriente fueron tomados del informe anual 2013 Tablemac, pág 97.</t>
  </si>
  <si>
    <t>Se asume que no van a haber dividendos por pagar, ya que este pago se reliza según politicas de dividendos en 2 pagos en el año, por lo tanto no hacen parte del pasivo.</t>
  </si>
  <si>
    <t>Tablemac tiene una politica de reduccion en los costos de produccion y logísticos por metro cubico, la cual estimamos en el 3% basados en el reporte Burkenroad de Tablemac del año 2010 (se aplicó la reduccion en el año 2014 ya que los años posteriores están formulados a partir de este).</t>
  </si>
  <si>
    <t>No contamos con información de si Tablemac va a hacer inversiones representativas en los próximos años, asumimos una inversión de 15.000 millones de pesos en el año 2016.</t>
  </si>
  <si>
    <t>En las hojas Deuda actual y Deuda nueva se incluyen las tablas de amortización para el cálculo de intereses y de capital abonado.</t>
  </si>
  <si>
    <t>Se asume un crecimiento del sector de la construcción de 1 punto por encima del PIB para el año 2015 e igual al PIB para los años 2016 a 2019 para manejar un escenario conservador; la información fue tomada de los Macroeconómicos Bancolombia de marzo de 2014 y del informe trimestral de actualización de proyecciones de Bancolombia de mayo de 2014.</t>
  </si>
  <si>
    <t>Para la proyección de las exportaciones se tuvi en cuenta el PIB de Ecuador que es el principal pais al que Tablemac exporta y también el PIB de América Central.</t>
  </si>
  <si>
    <t>Crecimiento Exportaciones en ventas 2013 a 2014</t>
  </si>
  <si>
    <t xml:space="preserve"> MDF</t>
  </si>
  <si>
    <t>Crecimiento Exportaciones</t>
  </si>
  <si>
    <t>Otros productos</t>
  </si>
  <si>
    <t>Total acciones en circulación</t>
  </si>
  <si>
    <t>Precio por acción</t>
  </si>
  <si>
    <t>Verificación</t>
  </si>
  <si>
    <t>Estrucutra de capital</t>
  </si>
  <si>
    <t>Inicio de operaciones de maquinaria tipo Skipper (Aumento de capacidad de producción del 25%).</t>
  </si>
  <si>
    <t xml:space="preserve"> </t>
  </si>
  <si>
    <t>Tablemac en los últimos años ha invertido en fortalecer su plan de integración vertical y en la innovación tecnológica, logrando una eficiencia en sus procesos, lo que permite mantener su política de reducción y control de costos.</t>
  </si>
  <si>
    <t>Inicio de operación Planta de resinas (Reducción entre el 3% y 5% de los costos totales de producción de tableros).</t>
  </si>
  <si>
    <t>Inicio de operaciones Planta MDF, ahorro en costos de importación ya que se fabrican diretamente.</t>
  </si>
  <si>
    <t>Entrada en operación de prensa para laminación de tableros con recubrimiento melamínico (Amplió mas de tres veces la capacidad, mayor volúmen, menores costos de producción).</t>
  </si>
  <si>
    <t>Dado lo anterior se aumen un % de disminución de costos del 3%</t>
  </si>
  <si>
    <t>WACC (incremento del 5%)</t>
  </si>
  <si>
    <t>Sensibilidad Vtas. Nal</t>
  </si>
  <si>
    <t>Sensibilidad Vtas. Exp</t>
  </si>
  <si>
    <t xml:space="preserve"> Sensibilidad Costos</t>
  </si>
  <si>
    <t>Sensibilidad TRM</t>
  </si>
  <si>
    <t>Variaciòn en Vtas. Exp 
(-10%)</t>
  </si>
  <si>
    <t>Gasto de Mcia. Vendida (+5%)</t>
  </si>
  <si>
    <t>TRM
 (-10%)</t>
  </si>
  <si>
    <t>Sensibilidad Capex</t>
  </si>
  <si>
    <t>Capex (+10%)</t>
  </si>
  <si>
    <t>Sensibilidad Inflacion</t>
  </si>
  <si>
    <t>Inf% (+5%)</t>
  </si>
  <si>
    <t>Variaciòn en Vtas. Nal 
(-10%)</t>
  </si>
  <si>
    <t>Proyección WACC por CAPM</t>
  </si>
  <si>
    <t xml:space="preserve">Total </t>
  </si>
  <si>
    <t>Estructura de Pasivos</t>
  </si>
  <si>
    <t>% Pasivos</t>
  </si>
  <si>
    <t>% Patrimonio</t>
  </si>
  <si>
    <t>Costos del Equity Ke</t>
  </si>
  <si>
    <t>Costo de la Deuda</t>
  </si>
  <si>
    <t>Total Pasivos</t>
  </si>
  <si>
    <t>Costo de la deuda</t>
  </si>
  <si>
    <t>Impuesto para la equidad</t>
  </si>
  <si>
    <t>Impuesto a la renta + CREE</t>
  </si>
  <si>
    <t>Otros activos</t>
  </si>
  <si>
    <t>Rotación de cartera e inventarios</t>
  </si>
  <si>
    <t>Del Balance general, algunas partidas fueron proyectadas con la inflación, dado que se estima que no tendrán un incremento representativo, sólo se reconoce el incremento del IPC.</t>
  </si>
  <si>
    <t>Las partidas que tienen una relación directa con las ventas fueron proyectas con la productoria de tasas con que fueron proyectadas dichas ventas.</t>
  </si>
  <si>
    <t>CONVERSIÓN DE TASAS</t>
  </si>
  <si>
    <t>Impuesto sobre la Renta</t>
  </si>
  <si>
    <t>Depreciación Acumulada (esta es la depreciación del periodo)</t>
  </si>
  <si>
    <t>VALORIZACION</t>
  </si>
  <si>
    <r>
      <rPr>
        <b/>
        <sz val="16"/>
        <rFont val="Calibri"/>
        <family val="2"/>
      </rPr>
      <t>Nota:</t>
    </r>
    <r>
      <rPr>
        <sz val="16"/>
        <rFont val="Calibri"/>
        <family val="2"/>
      </rPr>
      <t xml:space="preserve"> Fuente Decreto No. 2029 de 2013, artículo 2 - ajuste del costo de los activos.</t>
    </r>
  </si>
  <si>
    <t>Deudores comerciales</t>
  </si>
  <si>
    <t>La estrategia en tema de rotación de cartera es bajarla de 60 a 50 días.</t>
  </si>
  <si>
    <t>La estrategia es bajar la rotación de inventarios de 83 a 65 días.</t>
  </si>
  <si>
    <t>5. OTROS MOVIMIENTOS</t>
  </si>
  <si>
    <t>Ingresos Financieros</t>
  </si>
  <si>
    <t>INDICADOR</t>
  </si>
  <si>
    <t>EBITDA</t>
  </si>
  <si>
    <t>ROE</t>
  </si>
  <si>
    <t>ROA</t>
  </si>
  <si>
    <t>ROI</t>
  </si>
  <si>
    <t>Rotación cartera</t>
  </si>
  <si>
    <t>Rotación inventarios</t>
  </si>
  <si>
    <t>UNIDAD</t>
  </si>
  <si>
    <t>días</t>
  </si>
  <si>
    <t>%</t>
  </si>
  <si>
    <t>Utilidad neta</t>
  </si>
  <si>
    <t>Margen EBITDA</t>
  </si>
  <si>
    <t>EV/EBITDA</t>
  </si>
  <si>
    <t>años</t>
  </si>
  <si>
    <t>Las partidas menos respresentativas en cuanto a valor fueron proyectadas como el promedio de los últimos a 5 años.</t>
  </si>
  <si>
    <t>Se realizó una optimización en la rotación de inventarios a partir del 2014, pasando de 83 días a 65 días y se realizó un optimización de la política de de deudores comerciales, pasando de 60 días a 55. ver hoja KWOP%</t>
  </si>
  <si>
    <t>Estructura de Capital</t>
  </si>
  <si>
    <t>Updated on</t>
  </si>
  <si>
    <t>Customixed Geometric risk premium estimator</t>
  </si>
  <si>
    <t>What is your riskfree rate?</t>
  </si>
  <si>
    <t>LT</t>
    <phoneticPr fontId="12" type="noConversion"/>
  </si>
  <si>
    <t>Estimates of risk premiums from 1928, over the last 40 years and over the last 10 years</t>
  </si>
  <si>
    <t>Enter your starting year</t>
  </si>
  <si>
    <t>are provided at the bottom of this table.</t>
  </si>
  <si>
    <t>Value of stocks in starting year:</t>
  </si>
  <si>
    <t>Value of T.Bills in starting year:</t>
    <phoneticPr fontId="12" type="noConversion"/>
  </si>
  <si>
    <t>Value of T.bonds in starting year:</t>
  </si>
  <si>
    <t>Estimate of risk premium based on your inputs:</t>
  </si>
  <si>
    <t>Annual Returns on Investments in</t>
  </si>
  <si>
    <t>Compounded Value of $ 100</t>
  </si>
  <si>
    <t>Year</t>
  </si>
  <si>
    <t>S&amp;P 500</t>
  </si>
  <si>
    <t>3-month T.Bill</t>
  </si>
  <si>
    <t>10-year T. Bond</t>
  </si>
  <si>
    <t>Stocks</t>
  </si>
  <si>
    <t>T.Bills</t>
  </si>
  <si>
    <t>T.Bonds</t>
  </si>
  <si>
    <t>Stocks - Bills</t>
    <phoneticPr fontId="12" type="noConversion"/>
  </si>
  <si>
    <t>Stocks - Bonds</t>
    <phoneticPr fontId="12" type="noConversion"/>
  </si>
  <si>
    <t>Historical risk premium</t>
  </si>
  <si>
    <t>Risk Premium</t>
  </si>
  <si>
    <t>Standard Error</t>
    <phoneticPr fontId="12" type="noConversion"/>
  </si>
  <si>
    <t>Arithmetic Average</t>
  </si>
  <si>
    <t>Stocks - T.Bills</t>
  </si>
  <si>
    <t>Stocks - T.Bonds</t>
  </si>
  <si>
    <t>1928-2013</t>
  </si>
  <si>
    <t>1964-2013</t>
  </si>
  <si>
    <t>2004-2013</t>
  </si>
  <si>
    <t>Geometric Average</t>
  </si>
  <si>
    <t>Precio estimado de la acción HOY</t>
  </si>
  <si>
    <t>Precio actual de la acción junio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</si>
</sst>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3" formatCode="_(* #,##0.00_);_(* \(#,##0.00\);_(* &quot;-&quot;??_);_(@_)"/>
    <numFmt numFmtId="164" formatCode="&quot;$&quot;#,##0_);[Red]\(&quot;$&quot;#,##0\)"/>
    <numFmt numFmtId="165" formatCode="&quot;$&quot;#,##0;[Red]\-&quot;$&quot;#,##0"/>
    <numFmt numFmtId="166" formatCode="&quot;$&quot;#,##0.00;[Red]\-&quot;$&quot;#,##0.00"/>
    <numFmt numFmtId="167" formatCode="0_)"/>
    <numFmt numFmtId="168" formatCode="0.0%"/>
    <numFmt numFmtId="169" formatCode="0.00_)"/>
    <numFmt numFmtId="170" formatCode="#,##0.00_ ;[Red]\-#,##0.00\ "/>
    <numFmt numFmtId="171" formatCode="0.000%"/>
    <numFmt numFmtId="172" formatCode="#,##0_ ;[Red]\-#,##0\ "/>
    <numFmt numFmtId="173" formatCode="&quot;FCL Año &quot;\ #"/>
    <numFmt numFmtId="174" formatCode="&quot;EVA Año &quot;\ #"/>
    <numFmt numFmtId="175" formatCode="_(* #,##0_);_(* \(#,##0\);_(* &quot;-&quot;??_);_(@_)"/>
    <numFmt numFmtId="176" formatCode="_(&quot;$&quot;\ * #,##0_);_(&quot;$&quot;\ * \(#,##0\);_(&quot;$&quot;\ * &quot;-&quot;??_);_(@_)"/>
    <numFmt numFmtId="177" formatCode="_(* #,##0.000_);_(* \(#,##0.000\);_(* &quot;-&quot;??_);_(@_)"/>
    <numFmt numFmtId="178" formatCode="d/mm/yyyy;@"/>
    <numFmt numFmtId="179" formatCode="_(&quot;$&quot;* #,##0.00_);_(&quot;$&quot;* \(#,##0.00\);_(&quot;$&quot;* &quot;-&quot;??_);_(@_)"/>
  </numFmts>
  <fonts count="86">
    <font>
      <sz val="12"/>
      <name val="Arial"/>
    </font>
    <font>
      <sz val="11"/>
      <color indexed="8"/>
      <name val="Calibri"/>
      <family val="2"/>
    </font>
    <font>
      <sz val="11"/>
      <color indexed="8"/>
      <name val="Calibri"/>
      <family val="2"/>
    </font>
    <font>
      <b/>
      <sz val="12"/>
      <name val="Arial"/>
      <family val="2"/>
    </font>
    <font>
      <sz val="12"/>
      <name val="Arial"/>
      <family val="2"/>
    </font>
    <font>
      <b/>
      <sz val="12"/>
      <color indexed="8"/>
      <name val="Arial"/>
      <family val="2"/>
    </font>
    <font>
      <sz val="12"/>
      <color indexed="8"/>
      <name val="Arial"/>
      <family val="2"/>
    </font>
    <font>
      <b/>
      <u/>
      <sz val="12"/>
      <color indexed="8"/>
      <name val="Arial"/>
      <family val="2"/>
    </font>
    <font>
      <b/>
      <sz val="12"/>
      <color indexed="8"/>
      <name val="Arial"/>
      <family val="2"/>
    </font>
    <font>
      <sz val="8"/>
      <color indexed="81"/>
      <name val="Tahoma"/>
      <family val="2"/>
    </font>
    <font>
      <b/>
      <sz val="12"/>
      <name val="Arial"/>
      <family val="2"/>
    </font>
    <font>
      <sz val="8"/>
      <name val="Arial"/>
      <family val="2"/>
    </font>
    <font>
      <sz val="9"/>
      <color indexed="81"/>
      <name val="Tahoma"/>
      <family val="2"/>
    </font>
    <font>
      <b/>
      <sz val="9"/>
      <color indexed="81"/>
      <name val="Tahoma"/>
      <family val="2"/>
    </font>
    <font>
      <sz val="12"/>
      <color indexed="10"/>
      <name val="Arial"/>
      <family val="2"/>
    </font>
    <font>
      <sz val="10"/>
      <color indexed="8"/>
      <name val="Arial"/>
      <family val="2"/>
    </font>
    <font>
      <b/>
      <sz val="11"/>
      <color indexed="8"/>
      <name val="Calibri"/>
      <family val="2"/>
    </font>
    <font>
      <sz val="8"/>
      <color indexed="56"/>
      <name val="Tahoma"/>
      <family val="2"/>
    </font>
    <font>
      <b/>
      <sz val="10"/>
      <color indexed="62"/>
      <name val="Arial"/>
      <family val="2"/>
    </font>
    <font>
      <sz val="8"/>
      <color indexed="8"/>
      <name val="Arial"/>
      <family val="2"/>
    </font>
    <font>
      <sz val="8"/>
      <color indexed="62"/>
      <name val="Arial"/>
      <family val="2"/>
    </font>
    <font>
      <b/>
      <sz val="8"/>
      <color indexed="56"/>
      <name val="Arial"/>
      <family val="2"/>
    </font>
    <font>
      <b/>
      <sz val="8"/>
      <color indexed="8"/>
      <name val="Arial"/>
      <family val="2"/>
    </font>
    <font>
      <sz val="8"/>
      <color indexed="8"/>
      <name val="Arial"/>
      <family val="2"/>
    </font>
    <font>
      <b/>
      <sz val="10"/>
      <color indexed="8"/>
      <name val="Arial"/>
      <family val="2"/>
    </font>
    <font>
      <b/>
      <sz val="9"/>
      <color indexed="62"/>
      <name val="Arial"/>
      <family val="2"/>
    </font>
    <font>
      <strike/>
      <sz val="8"/>
      <color indexed="8"/>
      <name val="Arial"/>
      <family val="2"/>
    </font>
    <font>
      <b/>
      <sz val="8"/>
      <color indexed="8"/>
      <name val="Arial"/>
      <family val="2"/>
    </font>
    <font>
      <sz val="12"/>
      <name val="Calibri Light"/>
      <family val="2"/>
    </font>
    <font>
      <b/>
      <u/>
      <sz val="12"/>
      <name val="Arial"/>
      <family val="2"/>
    </font>
    <font>
      <sz val="10"/>
      <name val="Geneva"/>
    </font>
    <font>
      <b/>
      <sz val="24"/>
      <name val="Geneva"/>
    </font>
    <font>
      <b/>
      <sz val="10"/>
      <name val="Geneva"/>
    </font>
    <font>
      <u/>
      <sz val="10"/>
      <color indexed="12"/>
      <name val="Geneva"/>
    </font>
    <font>
      <i/>
      <sz val="10"/>
      <name val="Verdana"/>
      <family val="2"/>
    </font>
    <font>
      <sz val="10"/>
      <name val="Verdana"/>
      <family val="2"/>
    </font>
    <font>
      <b/>
      <sz val="10"/>
      <name val="Verdana"/>
      <family val="2"/>
    </font>
    <font>
      <b/>
      <sz val="12"/>
      <color indexed="10"/>
      <name val="Arial"/>
      <family val="2"/>
    </font>
    <font>
      <b/>
      <sz val="14"/>
      <color indexed="56"/>
      <name val="Calibri"/>
      <family val="2"/>
    </font>
    <font>
      <i/>
      <sz val="11"/>
      <color indexed="8"/>
      <name val="Calibri"/>
      <family val="2"/>
    </font>
    <font>
      <sz val="11"/>
      <name val="Calibri"/>
      <family val="2"/>
    </font>
    <font>
      <b/>
      <sz val="10"/>
      <name val="Arial"/>
      <family val="2"/>
    </font>
    <font>
      <sz val="10"/>
      <name val="Arial"/>
      <family val="2"/>
    </font>
    <font>
      <sz val="10"/>
      <name val="Calibri"/>
      <family val="2"/>
    </font>
    <font>
      <b/>
      <sz val="10"/>
      <name val="Calibri"/>
      <family val="2"/>
    </font>
    <font>
      <b/>
      <sz val="11"/>
      <name val="Arial"/>
      <family val="2"/>
    </font>
    <font>
      <b/>
      <sz val="12"/>
      <name val="Calibri"/>
      <family val="2"/>
    </font>
    <font>
      <b/>
      <sz val="10"/>
      <color indexed="9"/>
      <name val="Calibri"/>
      <family val="2"/>
    </font>
    <font>
      <sz val="10"/>
      <color indexed="9"/>
      <name val="Arial"/>
      <family val="2"/>
    </font>
    <font>
      <sz val="12"/>
      <color indexed="9"/>
      <name val="Arial"/>
      <family val="2"/>
    </font>
    <font>
      <sz val="12"/>
      <color indexed="8"/>
      <name val="Arial"/>
      <family val="2"/>
    </font>
    <font>
      <b/>
      <sz val="12"/>
      <color indexed="8"/>
      <name val="Arial"/>
      <family val="2"/>
    </font>
    <font>
      <sz val="11"/>
      <color indexed="81"/>
      <name val="Tahoma"/>
      <family val="2"/>
    </font>
    <font>
      <b/>
      <sz val="12"/>
      <color indexed="21"/>
      <name val="Calibri Light"/>
      <family val="2"/>
    </font>
    <font>
      <sz val="12"/>
      <color indexed="21"/>
      <name val="Arial"/>
      <family val="2"/>
    </font>
    <font>
      <sz val="12"/>
      <color indexed="21"/>
      <name val="Calibri Light"/>
      <family val="2"/>
    </font>
    <font>
      <b/>
      <sz val="12"/>
      <color indexed="21"/>
      <name val="Arial"/>
      <family val="2"/>
    </font>
    <font>
      <i/>
      <sz val="12"/>
      <color indexed="21"/>
      <name val="Calibri Light"/>
      <family val="2"/>
    </font>
    <font>
      <i/>
      <sz val="11"/>
      <color indexed="21"/>
      <name val="Calibri Light"/>
      <family val="2"/>
    </font>
    <font>
      <b/>
      <sz val="14"/>
      <color indexed="21"/>
      <name val="Calibri Light"/>
      <family val="2"/>
    </font>
    <font>
      <u/>
      <sz val="11"/>
      <color indexed="12"/>
      <name val="Calibri"/>
      <family val="2"/>
    </font>
    <font>
      <b/>
      <i/>
      <u/>
      <sz val="12"/>
      <name val="Arial"/>
      <family val="2"/>
    </font>
    <font>
      <b/>
      <i/>
      <sz val="12"/>
      <name val="Arial"/>
      <family val="2"/>
    </font>
    <font>
      <b/>
      <sz val="12"/>
      <color indexed="9"/>
      <name val="Arial"/>
      <family val="2"/>
    </font>
    <font>
      <sz val="12"/>
      <color indexed="23"/>
      <name val="Arial"/>
      <family val="2"/>
    </font>
    <font>
      <sz val="16"/>
      <name val="Calibri"/>
      <family val="2"/>
    </font>
    <font>
      <b/>
      <sz val="16"/>
      <name val="Calibri"/>
      <family val="2"/>
    </font>
    <font>
      <sz val="8"/>
      <name val="Arial"/>
      <family val="2"/>
    </font>
    <font>
      <sz val="11"/>
      <color theme="1"/>
      <name val="Calibri"/>
      <family val="2"/>
      <scheme val="minor"/>
    </font>
    <font>
      <u/>
      <sz val="8"/>
      <color rgb="FF0000FF"/>
      <name val="Calibri"/>
      <family val="2"/>
      <scheme val="minor"/>
    </font>
    <font>
      <sz val="12"/>
      <color rgb="FFFF0000"/>
      <name val="Arial"/>
      <family val="2"/>
    </font>
    <font>
      <b/>
      <sz val="12"/>
      <color rgb="FFFF0000"/>
      <name val="Arial"/>
      <family val="2"/>
    </font>
    <font>
      <b/>
      <sz val="12"/>
      <color theme="8" tint="-0.249977111117893"/>
      <name val="Arial"/>
      <family val="2"/>
    </font>
    <font>
      <b/>
      <sz val="12"/>
      <color theme="8" tint="-0.249977111117893"/>
      <name val="Tahoma"/>
      <family val="2"/>
    </font>
    <font>
      <sz val="12"/>
      <name val="Times New Roman"/>
      <family val="1"/>
    </font>
    <font>
      <b/>
      <sz val="12"/>
      <color theme="0"/>
      <name val="Times New Roman"/>
      <family val="1"/>
    </font>
    <font>
      <b/>
      <sz val="12"/>
      <color theme="0"/>
      <name val="Arial"/>
      <family val="2"/>
    </font>
    <font>
      <sz val="12"/>
      <name val="Times"/>
    </font>
    <font>
      <sz val="14"/>
      <color indexed="10"/>
      <name val="Times"/>
    </font>
    <font>
      <sz val="14"/>
      <color indexed="10"/>
      <name val="Geneva"/>
    </font>
    <font>
      <b/>
      <sz val="12"/>
      <name val="Times"/>
    </font>
    <font>
      <i/>
      <sz val="12"/>
      <name val="Calibri"/>
      <family val="2"/>
      <scheme val="minor"/>
    </font>
    <font>
      <sz val="12"/>
      <name val="Calibri"/>
      <family val="2"/>
      <scheme val="minor"/>
    </font>
    <font>
      <b/>
      <i/>
      <sz val="12"/>
      <name val="Times"/>
    </font>
    <font>
      <b/>
      <sz val="9"/>
      <color indexed="81"/>
      <name val="Geneva"/>
    </font>
    <font>
      <sz val="9"/>
      <color indexed="81"/>
      <name val="Geneva"/>
    </font>
  </fonts>
  <fills count="24">
    <fill>
      <patternFill patternType="none"/>
    </fill>
    <fill>
      <patternFill patternType="gray125"/>
    </fill>
    <fill>
      <patternFill patternType="solid">
        <fgColor indexed="22"/>
      </patternFill>
    </fill>
    <fill>
      <patternFill patternType="solid">
        <fgColor indexed="22"/>
        <bgColor indexed="22"/>
      </patternFill>
    </fill>
    <fill>
      <patternFill patternType="solid">
        <fgColor indexed="13"/>
        <bgColor indexed="64"/>
      </patternFill>
    </fill>
    <fill>
      <patternFill patternType="solid">
        <fgColor indexed="9"/>
        <bgColor indexed="64"/>
      </patternFill>
    </fill>
    <fill>
      <patternFill patternType="solid">
        <fgColor indexed="31"/>
        <bgColor indexed="64"/>
      </patternFill>
    </fill>
    <fill>
      <patternFill patternType="solid">
        <fgColor indexed="42"/>
        <bgColor indexed="64"/>
      </patternFill>
    </fill>
    <fill>
      <patternFill patternType="solid">
        <fgColor indexed="56"/>
        <bgColor indexed="64"/>
      </patternFill>
    </fill>
    <fill>
      <patternFill patternType="solid">
        <fgColor indexed="11"/>
        <bgColor indexed="64"/>
      </patternFill>
    </fill>
    <fill>
      <patternFill patternType="solid">
        <fgColor indexed="22"/>
        <bgColor indexed="64"/>
      </patternFill>
    </fill>
    <fill>
      <patternFill patternType="solid">
        <fgColor indexed="44"/>
        <bgColor indexed="64"/>
      </patternFill>
    </fill>
    <fill>
      <patternFill patternType="solid">
        <fgColor indexed="49"/>
        <bgColor indexed="64"/>
      </patternFill>
    </fill>
    <fill>
      <patternFill patternType="solid">
        <fgColor indexed="55"/>
        <bgColor indexed="64"/>
      </patternFill>
    </fill>
    <fill>
      <patternFill patternType="solid">
        <fgColor indexed="9"/>
        <bgColor indexed="22"/>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0000CC"/>
        <bgColor indexed="64"/>
      </patternFill>
    </fill>
    <fill>
      <patternFill patternType="solid">
        <fgColor theme="3" tint="0.79998168889431442"/>
        <bgColor indexed="64"/>
      </patternFill>
    </fill>
    <fill>
      <patternFill patternType="solid">
        <fgColor rgb="FFCCFFCC"/>
        <bgColor indexed="64"/>
      </patternFill>
    </fill>
    <fill>
      <patternFill patternType="solid">
        <fgColor indexed="41"/>
        <bgColor indexed="64"/>
      </patternFill>
    </fill>
    <fill>
      <patternFill patternType="solid">
        <fgColor theme="8" tint="0.59999389629810485"/>
        <bgColor indexed="64"/>
      </patternFill>
    </fill>
    <fill>
      <patternFill patternType="solid">
        <fgColor theme="4" tint="0.59999389629810485"/>
        <bgColor indexed="64"/>
      </patternFill>
    </fill>
  </fills>
  <borders count="91">
    <border>
      <left/>
      <right/>
      <top/>
      <bottom/>
      <diagonal/>
    </border>
    <border>
      <left style="thin">
        <color indexed="22"/>
      </left>
      <right style="thin">
        <color indexed="22"/>
      </right>
      <top style="thin">
        <color indexed="22"/>
      </top>
      <bottom style="thin">
        <color indexed="22"/>
      </bottom>
      <diagonal/>
    </border>
    <border>
      <left/>
      <right/>
      <top/>
      <bottom style="medium">
        <color indexed="8"/>
      </bottom>
      <diagonal/>
    </border>
    <border>
      <left/>
      <right/>
      <top style="medium">
        <color indexed="8"/>
      </top>
      <bottom/>
      <diagonal/>
    </border>
    <border>
      <left/>
      <right/>
      <top style="double">
        <color indexed="8"/>
      </top>
      <bottom style="double">
        <color indexed="8"/>
      </bottom>
      <diagonal/>
    </border>
    <border>
      <left/>
      <right/>
      <top style="double">
        <color indexed="8"/>
      </top>
      <bottom/>
      <diagonal/>
    </border>
    <border>
      <left/>
      <right/>
      <top/>
      <bottom style="double">
        <color indexed="8"/>
      </bottom>
      <diagonal/>
    </border>
    <border>
      <left style="medium">
        <color indexed="9"/>
      </left>
      <right style="medium">
        <color indexed="9"/>
      </right>
      <top style="medium">
        <color indexed="9"/>
      </top>
      <bottom style="medium">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bottom style="double">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top style="medium">
        <color indexed="64"/>
      </top>
      <bottom style="double">
        <color indexed="64"/>
      </bottom>
      <diagonal/>
    </border>
    <border>
      <left style="thin">
        <color indexed="8"/>
      </left>
      <right style="thin">
        <color indexed="22"/>
      </right>
      <top style="thin">
        <color indexed="22"/>
      </top>
      <bottom style="thin">
        <color indexed="22"/>
      </bottom>
      <diagonal/>
    </border>
    <border>
      <left style="medium">
        <color indexed="22"/>
      </left>
      <right/>
      <top/>
      <bottom style="medium">
        <color indexed="22"/>
      </bottom>
      <diagonal/>
    </border>
    <border>
      <left style="medium">
        <color indexed="22"/>
      </left>
      <right style="thin">
        <color indexed="8"/>
      </right>
      <top/>
      <bottom style="medium">
        <color indexed="22"/>
      </bottom>
      <diagonal/>
    </border>
    <border>
      <left style="thin">
        <color indexed="8"/>
      </left>
      <right style="medium">
        <color indexed="22"/>
      </right>
      <top/>
      <bottom style="medium">
        <color indexed="22"/>
      </bottom>
      <diagonal/>
    </border>
    <border>
      <left/>
      <right/>
      <top/>
      <bottom style="medium">
        <color indexed="22"/>
      </bottom>
      <diagonal/>
    </border>
    <border>
      <left style="thin">
        <color indexed="22"/>
      </left>
      <right style="thin">
        <color indexed="8"/>
      </right>
      <top style="thin">
        <color indexed="22"/>
      </top>
      <bottom style="thin">
        <color indexed="22"/>
      </bottom>
      <diagonal/>
    </border>
    <border>
      <left style="thin">
        <color indexed="8"/>
      </left>
      <right style="medium">
        <color indexed="22"/>
      </right>
      <top/>
      <bottom style="thin">
        <color indexed="8"/>
      </bottom>
      <diagonal/>
    </border>
    <border>
      <left/>
      <right/>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medium">
        <color indexed="9"/>
      </left>
      <right style="medium">
        <color indexed="9"/>
      </right>
      <top style="thin">
        <color indexed="64"/>
      </top>
      <bottom style="medium">
        <color indexed="9"/>
      </bottom>
      <diagonal/>
    </border>
    <border>
      <left style="double">
        <color indexed="64"/>
      </left>
      <right/>
      <top/>
      <bottom style="medium">
        <color indexed="64"/>
      </bottom>
      <diagonal/>
    </border>
    <border>
      <left style="double">
        <color indexed="64"/>
      </left>
      <right/>
      <top/>
      <bottom/>
      <diagonal/>
    </border>
    <border>
      <left style="medium">
        <color indexed="8"/>
      </left>
      <right/>
      <top/>
      <bottom style="medium">
        <color indexed="8"/>
      </bottom>
      <diagonal/>
    </border>
    <border>
      <left style="medium">
        <color indexed="8"/>
      </left>
      <right/>
      <top/>
      <bottom/>
      <diagonal/>
    </border>
    <border>
      <left style="medium">
        <color indexed="8"/>
      </left>
      <right/>
      <top style="medium">
        <color indexed="8"/>
      </top>
      <bottom/>
      <diagonal/>
    </border>
    <border>
      <left style="medium">
        <color indexed="8"/>
      </left>
      <right/>
      <top style="double">
        <color indexed="8"/>
      </top>
      <bottom/>
      <diagonal/>
    </border>
    <border>
      <left style="medium">
        <color indexed="8"/>
      </left>
      <right/>
      <top/>
      <bottom style="double">
        <color indexed="8"/>
      </bottom>
      <diagonal/>
    </border>
    <border>
      <left style="medium">
        <color indexed="8"/>
      </left>
      <right/>
      <top style="double">
        <color indexed="8"/>
      </top>
      <bottom style="double">
        <color indexed="8"/>
      </bottom>
      <diagonal/>
    </border>
    <border>
      <left style="medium">
        <color indexed="9"/>
      </left>
      <right style="medium">
        <color indexed="22"/>
      </right>
      <top style="medium">
        <color indexed="22"/>
      </top>
      <bottom style="medium">
        <color indexed="22"/>
      </bottom>
      <diagonal/>
    </border>
    <border>
      <left style="medium">
        <color indexed="9"/>
      </left>
      <right/>
      <top style="medium">
        <color indexed="9"/>
      </top>
      <bottom style="medium">
        <color indexed="9"/>
      </bottom>
      <diagonal/>
    </border>
    <border>
      <left/>
      <right/>
      <top style="double">
        <color indexed="64"/>
      </top>
      <bottom style="double">
        <color indexed="64"/>
      </bottom>
      <diagonal/>
    </border>
    <border>
      <left/>
      <right/>
      <top style="medium">
        <color indexed="64"/>
      </top>
      <bottom/>
      <diagonal/>
    </border>
    <border>
      <left/>
      <right style="medium">
        <color indexed="64"/>
      </right>
      <top style="medium">
        <color indexed="64"/>
      </top>
      <bottom/>
      <diagonal/>
    </border>
    <border>
      <left/>
      <right/>
      <top style="medium">
        <color indexed="18"/>
      </top>
      <bottom/>
      <diagonal/>
    </border>
    <border>
      <left style="thin">
        <color indexed="8"/>
      </left>
      <right style="thin">
        <color indexed="8"/>
      </right>
      <top style="thin">
        <color indexed="8"/>
      </top>
      <bottom style="thin">
        <color indexed="8"/>
      </bottom>
      <diagonal/>
    </border>
    <border>
      <left style="thin">
        <color indexed="8"/>
      </left>
      <right/>
      <top style="thin">
        <color indexed="22"/>
      </top>
      <bottom style="thin">
        <color indexed="22"/>
      </bottom>
      <diagonal/>
    </border>
    <border>
      <left style="thin">
        <color indexed="8"/>
      </left>
      <right/>
      <top/>
      <bottom style="medium">
        <color indexed="22"/>
      </bottom>
      <diagonal/>
    </border>
    <border>
      <left style="thin">
        <color indexed="8"/>
      </left>
      <right/>
      <top/>
      <bottom style="thin">
        <color indexed="8"/>
      </bottom>
      <diagonal/>
    </border>
    <border>
      <left style="medium">
        <color indexed="9"/>
      </left>
      <right/>
      <top style="thin">
        <color indexed="64"/>
      </top>
      <bottom style="medium">
        <color indexed="9"/>
      </bottom>
      <diagonal/>
    </border>
    <border>
      <left style="medium">
        <color indexed="64"/>
      </left>
      <right/>
      <top style="medium">
        <color indexed="64"/>
      </top>
      <bottom/>
      <diagonal/>
    </border>
    <border>
      <left style="medium">
        <color indexed="9"/>
      </left>
      <right style="medium">
        <color indexed="9"/>
      </right>
      <top style="medium">
        <color indexed="9"/>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8"/>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right style="medium">
        <color indexed="64"/>
      </right>
      <top style="medium">
        <color indexed="64"/>
      </top>
      <bottom style="medium">
        <color indexed="8"/>
      </bottom>
      <diagonal/>
    </border>
    <border>
      <left style="double">
        <color indexed="64"/>
      </left>
      <right/>
      <top style="medium">
        <color indexed="64"/>
      </top>
      <bottom/>
      <diagonal/>
    </border>
    <border>
      <left style="medium">
        <color indexed="64"/>
      </left>
      <right/>
      <top style="medium">
        <color indexed="64"/>
      </top>
      <bottom style="medium">
        <color indexed="64"/>
      </bottom>
      <diagonal/>
    </border>
    <border>
      <left/>
      <right/>
      <top style="medium">
        <color indexed="9"/>
      </top>
      <bottom style="medium">
        <color indexed="9"/>
      </bottom>
      <diagonal/>
    </border>
    <border>
      <left/>
      <right style="medium">
        <color indexed="9"/>
      </right>
      <top style="medium">
        <color indexed="9"/>
      </top>
      <bottom style="medium">
        <color indexed="9"/>
      </bottom>
      <diagonal/>
    </border>
    <border>
      <left/>
      <right/>
      <top style="medium">
        <color indexed="9"/>
      </top>
      <bottom/>
      <diagonal/>
    </border>
    <border>
      <left style="medium">
        <color indexed="9"/>
      </left>
      <right style="medium">
        <color indexed="9"/>
      </right>
      <top/>
      <bottom style="medium">
        <color indexed="9"/>
      </bottom>
      <diagonal/>
    </border>
    <border>
      <left/>
      <right/>
      <top style="thin">
        <color indexed="8"/>
      </top>
      <bottom/>
      <diagonal/>
    </border>
    <border>
      <left style="medium">
        <color indexed="22"/>
      </left>
      <right/>
      <top style="thin">
        <color indexed="8"/>
      </top>
      <bottom style="medium">
        <color indexed="22"/>
      </bottom>
      <diagonal/>
    </border>
    <border>
      <left/>
      <right/>
      <top style="thin">
        <color indexed="8"/>
      </top>
      <bottom style="medium">
        <color indexed="22"/>
      </bottom>
      <diagonal/>
    </border>
    <border>
      <left/>
      <right style="thin">
        <color indexed="8"/>
      </right>
      <top style="thin">
        <color indexed="8"/>
      </top>
      <bottom style="medium">
        <color indexed="22"/>
      </bottom>
      <diagonal/>
    </border>
    <border>
      <left/>
      <right/>
      <top/>
      <bottom style="thick">
        <color indexed="54"/>
      </bottom>
      <diagonal/>
    </border>
    <border>
      <left/>
      <right/>
      <top style="thick">
        <color indexed="54"/>
      </top>
      <bottom/>
      <diagonal/>
    </border>
    <border>
      <left style="thin">
        <color indexed="8"/>
      </left>
      <right style="medium">
        <color indexed="22"/>
      </right>
      <top style="medium">
        <color indexed="22"/>
      </top>
      <bottom/>
      <diagonal/>
    </border>
    <border>
      <left style="thin">
        <color indexed="8"/>
      </left>
      <right/>
      <top style="thin">
        <color indexed="8"/>
      </top>
      <bottom style="thin">
        <color indexed="8"/>
      </bottom>
      <diagonal/>
    </border>
    <border>
      <left/>
      <right style="medium">
        <color indexed="22"/>
      </right>
      <top style="thin">
        <color indexed="8"/>
      </top>
      <bottom style="thin">
        <color indexed="8"/>
      </bottom>
      <diagonal/>
    </border>
    <border>
      <left style="medium">
        <color indexed="22"/>
      </left>
      <right/>
      <top style="medium">
        <color indexed="22"/>
      </top>
      <bottom style="medium">
        <color indexed="22"/>
      </bottom>
      <diagonal/>
    </border>
    <border>
      <left/>
      <right style="medium">
        <color indexed="9"/>
      </right>
      <top style="medium">
        <color indexed="22"/>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0">
    <xf numFmtId="167" fontId="0" fillId="0" borderId="0"/>
    <xf numFmtId="0" fontId="69" fillId="0" borderId="0" applyNumberFormat="0" applyFill="0" applyBorder="0" applyAlignment="0" applyProtection="0"/>
    <xf numFmtId="0" fontId="33" fillId="0" borderId="0" applyNumberFormat="0" applyFill="0" applyBorder="0" applyAlignment="0" applyProtection="0">
      <alignment vertical="top"/>
      <protection locked="0"/>
    </xf>
    <xf numFmtId="170" fontId="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0" fontId="68" fillId="0" borderId="0"/>
    <xf numFmtId="0" fontId="68" fillId="0" borderId="0"/>
    <xf numFmtId="0" fontId="30" fillId="0" borderId="0"/>
    <xf numFmtId="167" fontId="4" fillId="0" borderId="0"/>
    <xf numFmtId="0" fontId="68" fillId="0" borderId="0"/>
    <xf numFmtId="0" fontId="68" fillId="0" borderId="0"/>
    <xf numFmtId="0" fontId="68" fillId="0" borderId="0"/>
    <xf numFmtId="0" fontId="68" fillId="0" borderId="0"/>
    <xf numFmtId="9" fontId="2"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179" fontId="30" fillId="0" borderId="0" applyFont="0" applyFill="0" applyBorder="0" applyAlignment="0" applyProtection="0"/>
    <xf numFmtId="9" fontId="30" fillId="0" borderId="0" applyFont="0" applyFill="0" applyBorder="0" applyAlignment="0" applyProtection="0"/>
  </cellStyleXfs>
  <cellXfs count="719">
    <xf numFmtId="167" fontId="0" fillId="0" borderId="0" xfId="0"/>
    <xf numFmtId="164" fontId="5" fillId="0" borderId="0" xfId="0" applyNumberFormat="1" applyFont="1" applyProtection="1"/>
    <xf numFmtId="164" fontId="6" fillId="0" borderId="0" xfId="0" applyNumberFormat="1" applyFont="1" applyProtection="1"/>
    <xf numFmtId="167" fontId="5" fillId="0" borderId="2" xfId="0" applyNumberFormat="1" applyFont="1" applyBorder="1" applyAlignment="1" applyProtection="1">
      <alignment horizontal="center"/>
    </xf>
    <xf numFmtId="164" fontId="5" fillId="0" borderId="3" xfId="0" applyNumberFormat="1" applyFont="1" applyBorder="1" applyProtection="1"/>
    <xf numFmtId="164" fontId="5" fillId="3" borderId="4" xfId="0" applyNumberFormat="1" applyFont="1" applyFill="1" applyBorder="1" applyProtection="1"/>
    <xf numFmtId="10" fontId="6" fillId="0" borderId="0" xfId="0" applyNumberFormat="1" applyFont="1" applyProtection="1"/>
    <xf numFmtId="10" fontId="5" fillId="0" borderId="3" xfId="0" applyNumberFormat="1" applyFont="1" applyBorder="1" applyProtection="1"/>
    <xf numFmtId="10" fontId="6" fillId="0" borderId="3" xfId="0" applyNumberFormat="1" applyFont="1" applyBorder="1" applyProtection="1"/>
    <xf numFmtId="10" fontId="5" fillId="3" borderId="4" xfId="0" applyNumberFormat="1" applyFont="1" applyFill="1" applyBorder="1" applyProtection="1"/>
    <xf numFmtId="164" fontId="7" fillId="0" borderId="0" xfId="0" applyNumberFormat="1" applyFont="1" applyProtection="1"/>
    <xf numFmtId="164" fontId="6" fillId="3" borderId="4" xfId="0" applyNumberFormat="1" applyFont="1" applyFill="1" applyBorder="1" applyProtection="1"/>
    <xf numFmtId="164" fontId="5" fillId="3" borderId="5" xfId="0" applyNumberFormat="1" applyFont="1" applyFill="1" applyBorder="1" applyProtection="1"/>
    <xf numFmtId="164" fontId="6" fillId="3" borderId="5" xfId="0" applyNumberFormat="1" applyFont="1" applyFill="1" applyBorder="1" applyProtection="1"/>
    <xf numFmtId="164" fontId="5" fillId="3" borderId="6" xfId="0" applyNumberFormat="1" applyFont="1" applyFill="1" applyBorder="1" applyProtection="1"/>
    <xf numFmtId="10" fontId="5" fillId="3" borderId="5" xfId="0" applyNumberFormat="1" applyFont="1" applyFill="1" applyBorder="1" applyProtection="1"/>
    <xf numFmtId="10" fontId="5" fillId="3" borderId="6" xfId="0" applyNumberFormat="1" applyFont="1" applyFill="1" applyBorder="1" applyProtection="1"/>
    <xf numFmtId="164" fontId="6" fillId="0" borderId="2" xfId="0" applyNumberFormat="1" applyFont="1" applyBorder="1" applyProtection="1"/>
    <xf numFmtId="164" fontId="8" fillId="0" borderId="0" xfId="0" applyNumberFormat="1" applyFont="1" applyProtection="1"/>
    <xf numFmtId="10" fontId="6" fillId="0" borderId="2" xfId="0" applyNumberFormat="1" applyFont="1" applyBorder="1" applyProtection="1"/>
    <xf numFmtId="10" fontId="8" fillId="0" borderId="0" xfId="0" applyNumberFormat="1" applyFont="1" applyProtection="1"/>
    <xf numFmtId="164" fontId="5" fillId="2" borderId="0" xfId="0" applyNumberFormat="1" applyFont="1" applyFill="1" applyProtection="1"/>
    <xf numFmtId="164" fontId="5" fillId="2" borderId="4" xfId="0" applyNumberFormat="1" applyFont="1" applyFill="1" applyBorder="1" applyProtection="1"/>
    <xf numFmtId="164" fontId="8" fillId="2" borderId="0" xfId="0" applyNumberFormat="1" applyFont="1" applyFill="1" applyProtection="1"/>
    <xf numFmtId="167" fontId="8" fillId="0" borderId="0" xfId="0" applyNumberFormat="1" applyFont="1" applyProtection="1"/>
    <xf numFmtId="167" fontId="6" fillId="0" borderId="0" xfId="0" applyNumberFormat="1" applyFont="1" applyProtection="1"/>
    <xf numFmtId="167" fontId="8" fillId="3" borderId="4" xfId="0" applyNumberFormat="1" applyFont="1" applyFill="1" applyBorder="1" applyProtection="1"/>
    <xf numFmtId="167" fontId="6" fillId="3" borderId="4" xfId="0" applyNumberFormat="1" applyFont="1" applyFill="1" applyBorder="1" applyProtection="1"/>
    <xf numFmtId="165" fontId="6" fillId="0" borderId="0" xfId="0" applyNumberFormat="1" applyFont="1" applyProtection="1"/>
    <xf numFmtId="165" fontId="8" fillId="3" borderId="4" xfId="0" applyNumberFormat="1" applyFont="1" applyFill="1" applyBorder="1" applyProtection="1"/>
    <xf numFmtId="165" fontId="0" fillId="0" borderId="0" xfId="0" applyNumberFormat="1"/>
    <xf numFmtId="165" fontId="5" fillId="0" borderId="3" xfId="0" applyNumberFormat="1" applyFont="1" applyBorder="1" applyProtection="1"/>
    <xf numFmtId="165" fontId="0" fillId="0" borderId="0" xfId="6" applyNumberFormat="1" applyFont="1"/>
    <xf numFmtId="164" fontId="5" fillId="0" borderId="0" xfId="0" applyNumberFormat="1" applyFont="1" applyBorder="1" applyProtection="1"/>
    <xf numFmtId="10" fontId="0" fillId="0" borderId="0" xfId="17" applyNumberFormat="1" applyFont="1"/>
    <xf numFmtId="10" fontId="6" fillId="0" borderId="0" xfId="17" applyNumberFormat="1" applyFont="1" applyProtection="1"/>
    <xf numFmtId="10" fontId="8" fillId="3" borderId="4" xfId="17" applyNumberFormat="1" applyFont="1" applyFill="1" applyBorder="1" applyProtection="1"/>
    <xf numFmtId="167" fontId="3" fillId="0" borderId="0" xfId="0" applyFont="1"/>
    <xf numFmtId="167" fontId="4" fillId="0" borderId="0" xfId="0" applyFont="1"/>
    <xf numFmtId="168" fontId="0" fillId="0" borderId="0" xfId="17" applyNumberFormat="1" applyFont="1"/>
    <xf numFmtId="9" fontId="6" fillId="0" borderId="0" xfId="17" applyFont="1" applyProtection="1"/>
    <xf numFmtId="164" fontId="6" fillId="0" borderId="0" xfId="17" applyNumberFormat="1" applyFont="1" applyProtection="1"/>
    <xf numFmtId="167" fontId="10" fillId="0" borderId="0" xfId="0" applyFont="1"/>
    <xf numFmtId="9" fontId="0" fillId="0" borderId="0" xfId="17" applyFont="1"/>
    <xf numFmtId="9" fontId="0" fillId="0" borderId="0" xfId="17" applyNumberFormat="1" applyFont="1"/>
    <xf numFmtId="170" fontId="6" fillId="0" borderId="0" xfId="3" applyFont="1" applyProtection="1"/>
    <xf numFmtId="172" fontId="0" fillId="0" borderId="0" xfId="3" applyNumberFormat="1" applyFont="1"/>
    <xf numFmtId="172" fontId="6" fillId="0" borderId="0" xfId="3" applyNumberFormat="1" applyFont="1" applyProtection="1"/>
    <xf numFmtId="167" fontId="10" fillId="0" borderId="0" xfId="0" applyFont="1" applyAlignment="1">
      <alignment horizontal="center"/>
    </xf>
    <xf numFmtId="167" fontId="3" fillId="0" borderId="0" xfId="0" applyFont="1" applyAlignment="1">
      <alignment horizontal="center"/>
    </xf>
    <xf numFmtId="167" fontId="0" fillId="0" borderId="0" xfId="0" applyFill="1"/>
    <xf numFmtId="167" fontId="28" fillId="0" borderId="0" xfId="0" applyFont="1"/>
    <xf numFmtId="167" fontId="0" fillId="0" borderId="0" xfId="0" applyFill="1" applyBorder="1"/>
    <xf numFmtId="164" fontId="6" fillId="0" borderId="0" xfId="0" applyNumberFormat="1" applyFont="1" applyAlignment="1" applyProtection="1">
      <alignment horizontal="right"/>
    </xf>
    <xf numFmtId="167" fontId="4" fillId="0" borderId="0" xfId="10"/>
    <xf numFmtId="172" fontId="5" fillId="0" borderId="3" xfId="3" applyNumberFormat="1" applyFont="1" applyBorder="1" applyProtection="1"/>
    <xf numFmtId="172" fontId="14" fillId="0" borderId="0" xfId="3" applyNumberFormat="1" applyFont="1" applyProtection="1"/>
    <xf numFmtId="172" fontId="5" fillId="3" borderId="4" xfId="3" applyNumberFormat="1" applyFont="1" applyFill="1" applyBorder="1" applyProtection="1"/>
    <xf numFmtId="172" fontId="6" fillId="0" borderId="0" xfId="3" applyNumberFormat="1" applyFont="1" applyFill="1" applyProtection="1"/>
    <xf numFmtId="172" fontId="5" fillId="0" borderId="3" xfId="3" applyNumberFormat="1" applyFont="1" applyFill="1" applyBorder="1" applyProtection="1"/>
    <xf numFmtId="164" fontId="4" fillId="0" borderId="0" xfId="0" applyNumberFormat="1" applyFont="1" applyProtection="1"/>
    <xf numFmtId="0" fontId="31" fillId="0" borderId="0" xfId="9" applyFont="1" applyAlignment="1">
      <alignment horizontal="left"/>
    </xf>
    <xf numFmtId="0" fontId="30" fillId="0" borderId="0" xfId="9"/>
    <xf numFmtId="0" fontId="30" fillId="0" borderId="0" xfId="9" applyAlignment="1">
      <alignment horizontal="left"/>
    </xf>
    <xf numFmtId="0" fontId="32" fillId="0" borderId="0" xfId="9" applyFont="1" applyAlignment="1">
      <alignment horizontal="left"/>
    </xf>
    <xf numFmtId="0" fontId="33" fillId="0" borderId="0" xfId="2" applyAlignment="1" applyProtection="1">
      <alignment horizontal="left"/>
    </xf>
    <xf numFmtId="0" fontId="34" fillId="0" borderId="8" xfId="9" applyFont="1" applyBorder="1"/>
    <xf numFmtId="0" fontId="34" fillId="0" borderId="9" xfId="9" applyFont="1" applyBorder="1" applyAlignment="1">
      <alignment horizontal="center"/>
    </xf>
    <xf numFmtId="2" fontId="34" fillId="0" borderId="9" xfId="9" applyNumberFormat="1" applyFont="1" applyBorder="1" applyAlignment="1">
      <alignment horizontal="center"/>
    </xf>
    <xf numFmtId="0" fontId="35" fillId="0" borderId="10" xfId="9" applyFont="1" applyBorder="1"/>
    <xf numFmtId="0" fontId="35" fillId="0" borderId="11" xfId="9" applyFont="1" applyBorder="1" applyAlignment="1">
      <alignment horizontal="center"/>
    </xf>
    <xf numFmtId="2" fontId="35" fillId="0" borderId="11" xfId="9" applyNumberFormat="1" applyFont="1" applyBorder="1" applyAlignment="1">
      <alignment horizontal="center"/>
    </xf>
    <xf numFmtId="10" fontId="35" fillId="0" borderId="11" xfId="9" applyNumberFormat="1" applyFont="1" applyBorder="1" applyAlignment="1">
      <alignment horizontal="center"/>
    </xf>
    <xf numFmtId="0" fontId="35" fillId="0" borderId="10" xfId="9" applyFont="1" applyFill="1" applyBorder="1"/>
    <xf numFmtId="0" fontId="36" fillId="4" borderId="10" xfId="9" applyFont="1" applyFill="1" applyBorder="1"/>
    <xf numFmtId="0" fontId="35" fillId="4" borderId="11" xfId="9" applyFont="1" applyFill="1" applyBorder="1" applyAlignment="1">
      <alignment horizontal="center"/>
    </xf>
    <xf numFmtId="2" fontId="35" fillId="4" borderId="11" xfId="9" applyNumberFormat="1" applyFont="1" applyFill="1" applyBorder="1" applyAlignment="1">
      <alignment horizontal="center"/>
    </xf>
    <xf numFmtId="10" fontId="35" fillId="4" borderId="11" xfId="9" applyNumberFormat="1" applyFont="1" applyFill="1" applyBorder="1" applyAlignment="1">
      <alignment horizontal="center"/>
    </xf>
    <xf numFmtId="0" fontId="36" fillId="0" borderId="10" xfId="9" applyFont="1" applyBorder="1"/>
    <xf numFmtId="0" fontId="36" fillId="0" borderId="11" xfId="9" applyFont="1" applyBorder="1" applyAlignment="1">
      <alignment horizontal="center"/>
    </xf>
    <xf numFmtId="2" fontId="36" fillId="0" borderId="11" xfId="9" applyNumberFormat="1" applyFont="1" applyBorder="1" applyAlignment="1">
      <alignment horizontal="center"/>
    </xf>
    <xf numFmtId="10" fontId="36" fillId="0" borderId="11" xfId="9" applyNumberFormat="1" applyFont="1" applyBorder="1" applyAlignment="1">
      <alignment horizontal="center"/>
    </xf>
    <xf numFmtId="2" fontId="30" fillId="0" borderId="0" xfId="9" applyNumberFormat="1"/>
    <xf numFmtId="0" fontId="35" fillId="4" borderId="10" xfId="9" applyFont="1" applyFill="1" applyBorder="1"/>
    <xf numFmtId="167" fontId="4" fillId="0" borderId="0" xfId="0" applyFont="1" applyFill="1"/>
    <xf numFmtId="164" fontId="37" fillId="0" borderId="0" xfId="0" applyNumberFormat="1" applyFont="1" applyProtection="1"/>
    <xf numFmtId="167" fontId="14" fillId="0" borderId="0" xfId="0" applyFont="1"/>
    <xf numFmtId="167" fontId="14" fillId="0" borderId="0" xfId="0" applyFont="1" applyFill="1"/>
    <xf numFmtId="164" fontId="3" fillId="0" borderId="0" xfId="0" applyNumberFormat="1" applyFont="1" applyProtection="1"/>
    <xf numFmtId="172" fontId="4" fillId="0" borderId="0" xfId="3" applyNumberFormat="1" applyFont="1" applyProtection="1"/>
    <xf numFmtId="172" fontId="4" fillId="0" borderId="0" xfId="3" applyNumberFormat="1" applyFont="1" applyFill="1" applyProtection="1"/>
    <xf numFmtId="164" fontId="14" fillId="0" borderId="0" xfId="0" applyNumberFormat="1" applyFont="1" applyProtection="1"/>
    <xf numFmtId="164" fontId="14" fillId="0" borderId="0" xfId="0" applyNumberFormat="1" applyFont="1" applyFill="1" applyProtection="1"/>
    <xf numFmtId="164" fontId="3" fillId="0" borderId="3" xfId="0" applyNumberFormat="1" applyFont="1" applyBorder="1" applyProtection="1"/>
    <xf numFmtId="9" fontId="4" fillId="0" borderId="0" xfId="17" applyFont="1" applyProtection="1"/>
    <xf numFmtId="176" fontId="4" fillId="0" borderId="0" xfId="0" applyNumberFormat="1" applyFont="1" applyProtection="1"/>
    <xf numFmtId="175" fontId="38" fillId="0" borderId="0" xfId="4" applyNumberFormat="1" applyFont="1"/>
    <xf numFmtId="175" fontId="2" fillId="0" borderId="0" xfId="4" applyNumberFormat="1" applyFont="1"/>
    <xf numFmtId="0" fontId="68" fillId="0" borderId="0" xfId="11"/>
    <xf numFmtId="175" fontId="2" fillId="6" borderId="0" xfId="4" applyNumberFormat="1" applyFont="1" applyFill="1"/>
    <xf numFmtId="175" fontId="16" fillId="6" borderId="0" xfId="4" applyNumberFormat="1" applyFont="1" applyFill="1"/>
    <xf numFmtId="175" fontId="16" fillId="6" borderId="0" xfId="4" applyNumberFormat="1" applyFont="1" applyFill="1" applyAlignment="1">
      <alignment horizontal="center"/>
    </xf>
    <xf numFmtId="1" fontId="16" fillId="6" borderId="0" xfId="4" applyNumberFormat="1" applyFont="1" applyFill="1" applyAlignment="1">
      <alignment horizontal="center"/>
    </xf>
    <xf numFmtId="175" fontId="16" fillId="7" borderId="0" xfId="4" applyNumberFormat="1" applyFont="1" applyFill="1"/>
    <xf numFmtId="175" fontId="2" fillId="7" borderId="0" xfId="4" applyNumberFormat="1" applyFont="1" applyFill="1"/>
    <xf numFmtId="175" fontId="2" fillId="0" borderId="0" xfId="4" applyNumberFormat="1" applyFont="1" applyAlignment="1">
      <alignment horizontal="left" indent="2"/>
    </xf>
    <xf numFmtId="175" fontId="2" fillId="0" borderId="12" xfId="4" applyNumberFormat="1" applyFont="1" applyBorder="1"/>
    <xf numFmtId="175" fontId="2" fillId="0" borderId="13" xfId="4" applyNumberFormat="1" applyFont="1" applyBorder="1"/>
    <xf numFmtId="175" fontId="2" fillId="0" borderId="0" xfId="4" applyNumberFormat="1" applyFont="1" applyFill="1"/>
    <xf numFmtId="175" fontId="2" fillId="6" borderId="14" xfId="4" applyNumberFormat="1" applyFont="1" applyFill="1" applyBorder="1"/>
    <xf numFmtId="175" fontId="39" fillId="0" borderId="0" xfId="4" applyNumberFormat="1" applyFont="1"/>
    <xf numFmtId="9" fontId="2" fillId="0" borderId="0" xfId="15" applyFont="1" applyFill="1"/>
    <xf numFmtId="175" fontId="40" fillId="0" borderId="0" xfId="4" applyNumberFormat="1" applyFont="1" applyFill="1"/>
    <xf numFmtId="168" fontId="2" fillId="0" borderId="0" xfId="15" applyNumberFormat="1" applyFont="1" applyFill="1"/>
    <xf numFmtId="43" fontId="2" fillId="0" borderId="0" xfId="4" applyFont="1" applyFill="1"/>
    <xf numFmtId="175" fontId="2" fillId="0" borderId="13" xfId="4" applyNumberFormat="1" applyFont="1" applyFill="1" applyBorder="1"/>
    <xf numFmtId="175" fontId="2" fillId="0" borderId="15" xfId="4" applyNumberFormat="1" applyFont="1" applyBorder="1"/>
    <xf numFmtId="175" fontId="2" fillId="0" borderId="16" xfId="4" applyNumberFormat="1" applyFont="1" applyBorder="1"/>
    <xf numFmtId="0" fontId="68" fillId="0" borderId="0" xfId="11" applyAlignment="1">
      <alignment horizontal="left" indent="2"/>
    </xf>
    <xf numFmtId="9" fontId="2" fillId="0" borderId="0" xfId="15" applyFont="1"/>
    <xf numFmtId="175" fontId="68" fillId="0" borderId="0" xfId="11" applyNumberFormat="1"/>
    <xf numFmtId="175" fontId="2" fillId="4" borderId="12" xfId="4" applyNumberFormat="1" applyFont="1" applyFill="1" applyBorder="1"/>
    <xf numFmtId="0" fontId="68" fillId="0" borderId="0" xfId="11" applyAlignment="1">
      <alignment horizontal="left" indent="4"/>
    </xf>
    <xf numFmtId="175" fontId="2" fillId="0" borderId="17" xfId="4" applyNumberFormat="1" applyFont="1" applyBorder="1"/>
    <xf numFmtId="175" fontId="2" fillId="0" borderId="0" xfId="4" applyNumberFormat="1" applyFont="1" applyFill="1" applyBorder="1"/>
    <xf numFmtId="175" fontId="68" fillId="0" borderId="0" xfId="11" applyNumberFormat="1" applyBorder="1"/>
    <xf numFmtId="175" fontId="68" fillId="0" borderId="12" xfId="11" applyNumberFormat="1" applyBorder="1"/>
    <xf numFmtId="175" fontId="2" fillId="0" borderId="18" xfId="4" applyNumberFormat="1" applyFont="1" applyBorder="1"/>
    <xf numFmtId="177" fontId="2" fillId="0" borderId="19" xfId="4" applyNumberFormat="1" applyFont="1" applyFill="1" applyBorder="1"/>
    <xf numFmtId="3" fontId="68" fillId="0" borderId="0" xfId="11" applyNumberFormat="1"/>
    <xf numFmtId="9" fontId="4" fillId="0" borderId="0" xfId="17" applyFont="1"/>
    <xf numFmtId="9" fontId="14" fillId="0" borderId="0" xfId="17" applyFont="1" applyProtection="1"/>
    <xf numFmtId="172" fontId="5" fillId="0" borderId="0" xfId="3" applyNumberFormat="1" applyFont="1" applyProtection="1"/>
    <xf numFmtId="172" fontId="3" fillId="0" borderId="0" xfId="3" applyNumberFormat="1" applyFont="1"/>
    <xf numFmtId="164" fontId="4" fillId="0" borderId="0" xfId="0" applyNumberFormat="1" applyFont="1" applyFill="1" applyProtection="1"/>
    <xf numFmtId="164" fontId="3" fillId="0" borderId="3" xfId="0" applyNumberFormat="1" applyFont="1" applyFill="1" applyBorder="1" applyProtection="1"/>
    <xf numFmtId="167" fontId="42" fillId="0" borderId="0" xfId="0" applyFont="1"/>
    <xf numFmtId="9" fontId="42" fillId="0" borderId="0" xfId="17" applyFont="1"/>
    <xf numFmtId="167" fontId="43" fillId="0" borderId="20" xfId="0" applyFont="1" applyBorder="1"/>
    <xf numFmtId="9" fontId="43" fillId="0" borderId="20" xfId="17" applyFont="1" applyBorder="1" applyAlignment="1">
      <alignment horizontal="center"/>
    </xf>
    <xf numFmtId="9" fontId="43" fillId="0" borderId="20" xfId="17" applyFont="1" applyBorder="1"/>
    <xf numFmtId="171" fontId="43" fillId="0" borderId="20" xfId="17" applyNumberFormat="1" applyFont="1" applyBorder="1"/>
    <xf numFmtId="167" fontId="43" fillId="0" borderId="21" xfId="0" applyFont="1" applyBorder="1"/>
    <xf numFmtId="10" fontId="43" fillId="0" borderId="21" xfId="17" applyNumberFormat="1" applyFont="1" applyBorder="1"/>
    <xf numFmtId="171" fontId="43" fillId="0" borderId="21" xfId="17" applyNumberFormat="1" applyFont="1" applyBorder="1"/>
    <xf numFmtId="9" fontId="43" fillId="0" borderId="21" xfId="17" applyFont="1" applyBorder="1" applyAlignment="1">
      <alignment horizontal="center"/>
    </xf>
    <xf numFmtId="9" fontId="43" fillId="0" borderId="21" xfId="17" applyFont="1" applyBorder="1"/>
    <xf numFmtId="167" fontId="43" fillId="0" borderId="22" xfId="0" applyFont="1" applyBorder="1"/>
    <xf numFmtId="9" fontId="44" fillId="0" borderId="22" xfId="17" applyFont="1" applyBorder="1" applyAlignment="1">
      <alignment horizontal="center"/>
    </xf>
    <xf numFmtId="9" fontId="43" fillId="0" borderId="22" xfId="17" applyFont="1" applyBorder="1"/>
    <xf numFmtId="171" fontId="44" fillId="0" borderId="22" xfId="17" applyNumberFormat="1" applyFont="1" applyBorder="1"/>
    <xf numFmtId="10" fontId="43" fillId="0" borderId="0" xfId="17" applyNumberFormat="1" applyFont="1"/>
    <xf numFmtId="167" fontId="43" fillId="0" borderId="0" xfId="0" applyFont="1" applyAlignment="1">
      <alignment horizontal="center"/>
    </xf>
    <xf numFmtId="167" fontId="43" fillId="0" borderId="0" xfId="0" applyFont="1"/>
    <xf numFmtId="172" fontId="43" fillId="0" borderId="0" xfId="3" applyNumberFormat="1" applyFont="1"/>
    <xf numFmtId="9" fontId="43" fillId="0" borderId="0" xfId="17" applyFont="1" applyAlignment="1">
      <alignment horizontal="center"/>
    </xf>
    <xf numFmtId="9" fontId="43" fillId="0" borderId="0" xfId="17" applyFont="1"/>
    <xf numFmtId="10" fontId="43" fillId="0" borderId="0" xfId="0" applyNumberFormat="1" applyFont="1"/>
    <xf numFmtId="167" fontId="43" fillId="0" borderId="16" xfId="0" applyFont="1" applyBorder="1"/>
    <xf numFmtId="9" fontId="43" fillId="0" borderId="16" xfId="17" applyFont="1" applyBorder="1" applyAlignment="1">
      <alignment horizontal="center"/>
    </xf>
    <xf numFmtId="9" fontId="43" fillId="0" borderId="16" xfId="17" applyFont="1" applyBorder="1"/>
    <xf numFmtId="10" fontId="43" fillId="0" borderId="16" xfId="0" applyNumberFormat="1" applyFont="1" applyBorder="1"/>
    <xf numFmtId="172" fontId="43" fillId="0" borderId="16" xfId="3" applyNumberFormat="1" applyFont="1" applyBorder="1"/>
    <xf numFmtId="167" fontId="43" fillId="0" borderId="0" xfId="0" applyFont="1" applyBorder="1"/>
    <xf numFmtId="9" fontId="43" fillId="0" borderId="0" xfId="17" applyFont="1" applyBorder="1" applyAlignment="1">
      <alignment horizontal="center"/>
    </xf>
    <xf numFmtId="9" fontId="43" fillId="0" borderId="0" xfId="17" applyFont="1" applyBorder="1"/>
    <xf numFmtId="171" fontId="43" fillId="0" borderId="0" xfId="17" applyNumberFormat="1" applyFont="1" applyBorder="1"/>
    <xf numFmtId="167" fontId="41" fillId="0" borderId="0" xfId="0" applyFont="1"/>
    <xf numFmtId="10" fontId="45" fillId="6" borderId="0" xfId="17" applyNumberFormat="1" applyFont="1" applyFill="1"/>
    <xf numFmtId="167" fontId="42" fillId="0" borderId="8" xfId="0" applyFont="1" applyBorder="1"/>
    <xf numFmtId="172" fontId="42" fillId="0" borderId="8" xfId="3" applyNumberFormat="1" applyFont="1" applyBorder="1"/>
    <xf numFmtId="169" fontId="42" fillId="0" borderId="8" xfId="0" applyNumberFormat="1" applyFont="1" applyBorder="1"/>
    <xf numFmtId="10" fontId="42" fillId="0" borderId="8" xfId="17" applyNumberFormat="1" applyFont="1" applyFill="1" applyBorder="1"/>
    <xf numFmtId="169" fontId="42" fillId="0" borderId="8" xfId="0" applyNumberFormat="1" applyFont="1" applyFill="1" applyBorder="1"/>
    <xf numFmtId="9" fontId="42" fillId="0" borderId="8" xfId="17" applyFont="1" applyFill="1" applyBorder="1"/>
    <xf numFmtId="170" fontId="42" fillId="0" borderId="8" xfId="3" applyFont="1" applyFill="1" applyBorder="1"/>
    <xf numFmtId="170" fontId="42" fillId="0" borderId="0" xfId="3" applyFont="1"/>
    <xf numFmtId="43" fontId="42" fillId="0" borderId="8" xfId="3" applyNumberFormat="1" applyFont="1" applyBorder="1"/>
    <xf numFmtId="175" fontId="43" fillId="0" borderId="0" xfId="3" applyNumberFormat="1" applyFont="1" applyBorder="1"/>
    <xf numFmtId="175" fontId="43" fillId="0" borderId="16" xfId="3" applyNumberFormat="1" applyFont="1" applyBorder="1"/>
    <xf numFmtId="167" fontId="42" fillId="0" borderId="0" xfId="0" applyFont="1" applyBorder="1"/>
    <xf numFmtId="175" fontId="47" fillId="8" borderId="0" xfId="3" applyNumberFormat="1" applyFont="1" applyFill="1" applyBorder="1" applyAlignment="1">
      <alignment horizontal="center"/>
    </xf>
    <xf numFmtId="167" fontId="48" fillId="0" borderId="0" xfId="0" applyFont="1"/>
    <xf numFmtId="167" fontId="49" fillId="0" borderId="0" xfId="0" applyFont="1"/>
    <xf numFmtId="167" fontId="4" fillId="9" borderId="23" xfId="0" applyFont="1" applyFill="1" applyBorder="1" applyAlignment="1">
      <alignment horizontal="center"/>
    </xf>
    <xf numFmtId="167" fontId="3" fillId="9" borderId="24" xfId="0" applyFont="1" applyFill="1" applyBorder="1" applyAlignment="1">
      <alignment horizontal="center" vertical="center" wrapText="1"/>
    </xf>
    <xf numFmtId="167" fontId="3" fillId="9" borderId="25" xfId="0" applyFont="1" applyFill="1" applyBorder="1" applyAlignment="1">
      <alignment horizontal="center" vertical="center" wrapText="1"/>
    </xf>
    <xf numFmtId="167" fontId="3" fillId="9" borderId="26" xfId="0" applyFont="1" applyFill="1" applyBorder="1" applyAlignment="1">
      <alignment horizontal="center" vertical="center" wrapText="1"/>
    </xf>
    <xf numFmtId="167" fontId="3" fillId="9" borderId="27" xfId="0" applyFont="1" applyFill="1" applyBorder="1" applyAlignment="1">
      <alignment horizontal="center" vertical="center" wrapText="1"/>
    </xf>
    <xf numFmtId="167" fontId="0" fillId="0" borderId="28" xfId="0" applyFill="1" applyBorder="1"/>
    <xf numFmtId="10" fontId="0" fillId="0" borderId="28" xfId="17" applyNumberFormat="1" applyFont="1" applyFill="1" applyBorder="1"/>
    <xf numFmtId="172" fontId="0" fillId="0" borderId="29" xfId="3" applyNumberFormat="1" applyFont="1" applyFill="1" applyBorder="1"/>
    <xf numFmtId="172" fontId="0" fillId="0" borderId="30" xfId="3" applyNumberFormat="1" applyFont="1" applyFill="1" applyBorder="1"/>
    <xf numFmtId="172" fontId="0" fillId="0" borderId="0" xfId="3" applyNumberFormat="1" applyFont="1" applyFill="1" applyBorder="1"/>
    <xf numFmtId="0" fontId="0" fillId="0" borderId="28" xfId="17" applyNumberFormat="1" applyFont="1" applyFill="1" applyBorder="1"/>
    <xf numFmtId="172" fontId="0" fillId="0" borderId="28" xfId="3" applyNumberFormat="1" applyFont="1" applyFill="1" applyBorder="1"/>
    <xf numFmtId="167" fontId="3" fillId="0" borderId="24" xfId="0" applyFont="1" applyFill="1" applyBorder="1"/>
    <xf numFmtId="172" fontId="3" fillId="7" borderId="25" xfId="3" applyNumberFormat="1" applyFont="1" applyFill="1" applyBorder="1"/>
    <xf numFmtId="172" fontId="3" fillId="7" borderId="26" xfId="3" applyNumberFormat="1" applyFont="1" applyFill="1" applyBorder="1"/>
    <xf numFmtId="172" fontId="3" fillId="7" borderId="27" xfId="3" applyNumberFormat="1" applyFont="1" applyFill="1" applyBorder="1"/>
    <xf numFmtId="167" fontId="3" fillId="7" borderId="16" xfId="0" applyFont="1" applyFill="1" applyBorder="1"/>
    <xf numFmtId="172" fontId="3" fillId="7" borderId="16" xfId="3" applyNumberFormat="1" applyFont="1" applyFill="1" applyBorder="1"/>
    <xf numFmtId="172" fontId="3" fillId="7" borderId="31" xfId="3" applyNumberFormat="1" applyFont="1" applyFill="1" applyBorder="1"/>
    <xf numFmtId="167" fontId="3" fillId="7" borderId="31" xfId="0" applyFont="1" applyFill="1" applyBorder="1"/>
    <xf numFmtId="172" fontId="4" fillId="0" borderId="15" xfId="3" applyNumberFormat="1" applyFont="1" applyBorder="1"/>
    <xf numFmtId="172" fontId="0" fillId="0" borderId="15" xfId="3" applyNumberFormat="1" applyFont="1" applyBorder="1"/>
    <xf numFmtId="168" fontId="0" fillId="0" borderId="15" xfId="17" applyNumberFormat="1" applyFont="1" applyBorder="1"/>
    <xf numFmtId="168" fontId="0" fillId="0" borderId="15" xfId="0" applyNumberFormat="1" applyBorder="1"/>
    <xf numFmtId="167" fontId="3" fillId="9" borderId="0" xfId="0" applyFont="1" applyFill="1"/>
    <xf numFmtId="164" fontId="6" fillId="0" borderId="16" xfId="0" applyNumberFormat="1" applyFont="1" applyBorder="1" applyProtection="1"/>
    <xf numFmtId="172" fontId="0" fillId="0" borderId="16" xfId="3" applyNumberFormat="1" applyFont="1" applyBorder="1"/>
    <xf numFmtId="0" fontId="19" fillId="0" borderId="0" xfId="12" applyFont="1"/>
    <xf numFmtId="0" fontId="22" fillId="5" borderId="32" xfId="12" applyFont="1" applyFill="1" applyBorder="1" applyAlignment="1">
      <alignment horizontal="center" wrapText="1"/>
    </xf>
    <xf numFmtId="0" fontId="22" fillId="5" borderId="1" xfId="12" applyFont="1" applyFill="1" applyBorder="1" applyAlignment="1">
      <alignment horizontal="center" wrapText="1"/>
    </xf>
    <xf numFmtId="0" fontId="22" fillId="5" borderId="33" xfId="12" applyFont="1" applyFill="1" applyBorder="1" applyAlignment="1">
      <alignment horizontal="center" vertical="center" wrapText="1"/>
    </xf>
    <xf numFmtId="0" fontId="22" fillId="5" borderId="34" xfId="12" applyFont="1" applyFill="1" applyBorder="1" applyAlignment="1">
      <alignment horizontal="center" vertical="center" wrapText="1"/>
    </xf>
    <xf numFmtId="14" fontId="23" fillId="5" borderId="35" xfId="12" applyNumberFormat="1" applyFont="1" applyFill="1" applyBorder="1" applyAlignment="1">
      <alignment horizontal="left" vertical="center" wrapText="1"/>
    </xf>
    <xf numFmtId="14" fontId="23" fillId="5" borderId="36" xfId="12" applyNumberFormat="1" applyFont="1" applyFill="1" applyBorder="1" applyAlignment="1">
      <alignment horizontal="left" vertical="center" wrapText="1"/>
    </xf>
    <xf numFmtId="10" fontId="19" fillId="5" borderId="1" xfId="12" applyNumberFormat="1" applyFont="1" applyFill="1" applyBorder="1" applyAlignment="1">
      <alignment horizontal="right" wrapText="1"/>
    </xf>
    <xf numFmtId="10" fontId="19" fillId="5" borderId="37" xfId="12" applyNumberFormat="1" applyFont="1" applyFill="1" applyBorder="1" applyAlignment="1">
      <alignment horizontal="right" wrapText="1"/>
    </xf>
    <xf numFmtId="0" fontId="26" fillId="5" borderId="37" xfId="12" applyFont="1" applyFill="1" applyBorder="1" applyAlignment="1">
      <alignment horizontal="right" wrapText="1"/>
    </xf>
    <xf numFmtId="0" fontId="26" fillId="5" borderId="1" xfId="12" applyFont="1" applyFill="1" applyBorder="1" applyAlignment="1">
      <alignment horizontal="right" wrapText="1"/>
    </xf>
    <xf numFmtId="14" fontId="23" fillId="5" borderId="38" xfId="12" applyNumberFormat="1" applyFont="1" applyFill="1" applyBorder="1" applyAlignment="1">
      <alignment horizontal="left" vertical="center" wrapText="1"/>
    </xf>
    <xf numFmtId="14" fontId="23" fillId="5" borderId="39" xfId="12" applyNumberFormat="1" applyFont="1" applyFill="1" applyBorder="1" applyAlignment="1">
      <alignment horizontal="left" vertical="center" wrapText="1"/>
    </xf>
    <xf numFmtId="10" fontId="19" fillId="5" borderId="40" xfId="12" applyNumberFormat="1" applyFont="1" applyFill="1" applyBorder="1" applyAlignment="1">
      <alignment horizontal="right" wrapText="1"/>
    </xf>
    <xf numFmtId="0" fontId="26" fillId="5" borderId="40" xfId="12" applyFont="1" applyFill="1" applyBorder="1" applyAlignment="1">
      <alignment horizontal="right" wrapText="1"/>
    </xf>
    <xf numFmtId="10" fontId="19" fillId="5" borderId="41" xfId="12" applyNumberFormat="1" applyFont="1" applyFill="1" applyBorder="1" applyAlignment="1">
      <alignment horizontal="right" wrapText="1"/>
    </xf>
    <xf numFmtId="175" fontId="47" fillId="8" borderId="42" xfId="3" applyNumberFormat="1" applyFont="1" applyFill="1" applyBorder="1" applyAlignment="1">
      <alignment horizontal="center"/>
    </xf>
    <xf numFmtId="3" fontId="4" fillId="0" borderId="0" xfId="3" applyNumberFormat="1" applyFont="1" applyProtection="1"/>
    <xf numFmtId="3" fontId="4" fillId="0" borderId="0" xfId="3" applyNumberFormat="1" applyFont="1" applyFill="1" applyProtection="1"/>
    <xf numFmtId="3" fontId="4" fillId="0" borderId="0" xfId="3" applyNumberFormat="1" applyFont="1"/>
    <xf numFmtId="3" fontId="3" fillId="0" borderId="0" xfId="3" applyNumberFormat="1" applyFont="1" applyProtection="1"/>
    <xf numFmtId="3" fontId="3" fillId="0" borderId="3" xfId="3" applyNumberFormat="1" applyFont="1" applyFill="1" applyBorder="1" applyProtection="1"/>
    <xf numFmtId="3" fontId="3" fillId="0" borderId="3" xfId="3" applyNumberFormat="1" applyFont="1" applyBorder="1" applyProtection="1"/>
    <xf numFmtId="164" fontId="4" fillId="0" borderId="2" xfId="0" applyNumberFormat="1" applyFont="1" applyBorder="1" applyProtection="1"/>
    <xf numFmtId="3" fontId="4" fillId="0" borderId="0" xfId="0" applyNumberFormat="1" applyFont="1" applyProtection="1"/>
    <xf numFmtId="3" fontId="4" fillId="0" borderId="0" xfId="0" applyNumberFormat="1" applyFont="1"/>
    <xf numFmtId="3" fontId="4" fillId="0" borderId="2" xfId="0" applyNumberFormat="1" applyFont="1" applyBorder="1" applyProtection="1"/>
    <xf numFmtId="3" fontId="50" fillId="0" borderId="0" xfId="0" applyNumberFormat="1" applyFont="1" applyProtection="1"/>
    <xf numFmtId="3" fontId="51" fillId="2" borderId="3" xfId="0" applyNumberFormat="1" applyFont="1" applyFill="1" applyBorder="1" applyProtection="1"/>
    <xf numFmtId="3" fontId="50" fillId="0" borderId="0" xfId="0" applyNumberFormat="1" applyFont="1"/>
    <xf numFmtId="3" fontId="51" fillId="2" borderId="0" xfId="0" applyNumberFormat="1" applyFont="1" applyFill="1" applyProtection="1"/>
    <xf numFmtId="3" fontId="50" fillId="0" borderId="0" xfId="6" applyNumberFormat="1" applyFont="1" applyProtection="1"/>
    <xf numFmtId="3" fontId="51" fillId="2" borderId="4" xfId="0" applyNumberFormat="1" applyFont="1" applyFill="1" applyBorder="1" applyProtection="1"/>
    <xf numFmtId="3" fontId="50" fillId="2" borderId="0" xfId="0" applyNumberFormat="1" applyFont="1" applyFill="1" applyProtection="1"/>
    <xf numFmtId="167" fontId="37" fillId="0" borderId="0" xfId="0" applyNumberFormat="1" applyFont="1" applyProtection="1"/>
    <xf numFmtId="10" fontId="14" fillId="0" borderId="0" xfId="17" applyNumberFormat="1" applyFont="1"/>
    <xf numFmtId="168" fontId="14" fillId="0" borderId="0" xfId="17" applyNumberFormat="1" applyFont="1"/>
    <xf numFmtId="165" fontId="14" fillId="0" borderId="0" xfId="6" applyNumberFormat="1" applyFont="1"/>
    <xf numFmtId="167" fontId="37" fillId="0" borderId="27" xfId="0" applyFont="1" applyBorder="1" applyAlignment="1">
      <alignment horizontal="center"/>
    </xf>
    <xf numFmtId="167" fontId="37" fillId="0" borderId="43" xfId="0" applyFont="1" applyBorder="1" applyAlignment="1">
      <alignment horizontal="center" wrapText="1"/>
    </xf>
    <xf numFmtId="167" fontId="14" fillId="0" borderId="44" xfId="0" applyFont="1" applyBorder="1"/>
    <xf numFmtId="165" fontId="14" fillId="0" borderId="44" xfId="6" applyNumberFormat="1" applyFont="1" applyBorder="1"/>
    <xf numFmtId="170" fontId="14" fillId="0" borderId="0" xfId="3" applyFont="1"/>
    <xf numFmtId="172" fontId="4" fillId="0" borderId="0" xfId="3" applyNumberFormat="1" applyFont="1"/>
    <xf numFmtId="167" fontId="0" fillId="0" borderId="0" xfId="0" applyAlignment="1">
      <alignment wrapText="1"/>
    </xf>
    <xf numFmtId="164" fontId="51" fillId="0" borderId="0" xfId="0" applyNumberFormat="1" applyFont="1" applyProtection="1"/>
    <xf numFmtId="164" fontId="50" fillId="0" borderId="0" xfId="0" applyNumberFormat="1" applyFont="1" applyProtection="1"/>
    <xf numFmtId="164" fontId="50" fillId="0" borderId="0" xfId="0" applyNumberFormat="1" applyFont="1" applyFill="1" applyProtection="1"/>
    <xf numFmtId="167" fontId="50" fillId="0" borderId="0" xfId="0" applyFont="1"/>
    <xf numFmtId="170" fontId="0" fillId="0" borderId="0" xfId="3" applyFont="1"/>
    <xf numFmtId="3" fontId="4" fillId="0" borderId="0" xfId="0" applyNumberFormat="1" applyFont="1" applyFill="1" applyProtection="1"/>
    <xf numFmtId="3" fontId="50" fillId="0" borderId="0" xfId="0" applyNumberFormat="1" applyFont="1" applyFill="1" applyProtection="1"/>
    <xf numFmtId="167" fontId="50" fillId="0" borderId="0" xfId="0" applyFont="1" applyFill="1"/>
    <xf numFmtId="167" fontId="4" fillId="0" borderId="0" xfId="10" applyFont="1"/>
    <xf numFmtId="169" fontId="4" fillId="0" borderId="0" xfId="10" applyNumberFormat="1"/>
    <xf numFmtId="167" fontId="4" fillId="0" borderId="0" xfId="10" applyAlignment="1">
      <alignment wrapText="1"/>
    </xf>
    <xf numFmtId="167" fontId="4" fillId="0" borderId="8" xfId="10" applyBorder="1"/>
    <xf numFmtId="172" fontId="0" fillId="0" borderId="8" xfId="3" applyNumberFormat="1" applyFont="1" applyBorder="1"/>
    <xf numFmtId="172" fontId="0" fillId="4" borderId="8" xfId="3" applyNumberFormat="1" applyFont="1" applyFill="1" applyBorder="1"/>
    <xf numFmtId="167" fontId="3" fillId="10" borderId="8" xfId="10" applyFont="1" applyFill="1" applyBorder="1" applyAlignment="1">
      <alignment horizontal="center" vertical="center" wrapText="1"/>
    </xf>
    <xf numFmtId="167" fontId="4" fillId="0" borderId="0" xfId="10" applyFill="1"/>
    <xf numFmtId="169" fontId="4" fillId="0" borderId="0" xfId="10" applyNumberFormat="1" applyFill="1"/>
    <xf numFmtId="167" fontId="3" fillId="0" borderId="0" xfId="10" applyFont="1" applyFill="1" applyBorder="1" applyAlignment="1">
      <alignment horizontal="center" vertical="center" wrapText="1"/>
    </xf>
    <xf numFmtId="167" fontId="4" fillId="0" borderId="0" xfId="10" applyFill="1" applyBorder="1"/>
    <xf numFmtId="172" fontId="0" fillId="0" borderId="0" xfId="3" applyNumberFormat="1" applyFont="1" applyFill="1"/>
    <xf numFmtId="172" fontId="4" fillId="0" borderId="0" xfId="3" applyNumberFormat="1"/>
    <xf numFmtId="167" fontId="3" fillId="0" borderId="0" xfId="10" applyFont="1"/>
    <xf numFmtId="172" fontId="4" fillId="0" borderId="8" xfId="3" applyNumberFormat="1" applyBorder="1"/>
    <xf numFmtId="167" fontId="3" fillId="11" borderId="8" xfId="10" applyFont="1" applyFill="1" applyBorder="1" applyAlignment="1">
      <alignment horizontal="center"/>
    </xf>
    <xf numFmtId="164" fontId="50" fillId="0" borderId="0" xfId="0" applyNumberFormat="1" applyFont="1" applyBorder="1" applyProtection="1"/>
    <xf numFmtId="164" fontId="50" fillId="0" borderId="27" xfId="0" applyNumberFormat="1" applyFont="1" applyFill="1" applyBorder="1" applyProtection="1"/>
    <xf numFmtId="164" fontId="50" fillId="0" borderId="27" xfId="0" applyNumberFormat="1" applyFont="1" applyBorder="1" applyProtection="1"/>
    <xf numFmtId="164" fontId="3" fillId="0" borderId="0" xfId="0" applyNumberFormat="1" applyFont="1" applyFill="1" applyProtection="1"/>
    <xf numFmtId="167" fontId="5" fillId="0" borderId="45" xfId="0" applyNumberFormat="1" applyFont="1" applyBorder="1" applyAlignment="1" applyProtection="1">
      <alignment horizontal="center"/>
    </xf>
    <xf numFmtId="164" fontId="6" fillId="0" borderId="46" xfId="0" applyNumberFormat="1" applyFont="1" applyBorder="1" applyProtection="1"/>
    <xf numFmtId="10" fontId="6" fillId="0" borderId="46" xfId="0" applyNumberFormat="1" applyFont="1" applyBorder="1" applyProtection="1"/>
    <xf numFmtId="10" fontId="5" fillId="0" borderId="47" xfId="0" applyNumberFormat="1" applyFont="1" applyBorder="1" applyProtection="1"/>
    <xf numFmtId="10" fontId="5" fillId="3" borderId="48" xfId="0" applyNumberFormat="1" applyFont="1" applyFill="1" applyBorder="1" applyProtection="1"/>
    <xf numFmtId="10" fontId="5" fillId="3" borderId="49" xfId="0" applyNumberFormat="1" applyFont="1" applyFill="1" applyBorder="1" applyProtection="1"/>
    <xf numFmtId="10" fontId="5" fillId="3" borderId="50" xfId="0" applyNumberFormat="1" applyFont="1" applyFill="1" applyBorder="1" applyProtection="1"/>
    <xf numFmtId="178" fontId="0" fillId="0" borderId="0" xfId="0" applyNumberFormat="1"/>
    <xf numFmtId="178" fontId="17" fillId="5" borderId="7" xfId="0" applyNumberFormat="1" applyFont="1" applyFill="1" applyBorder="1" applyAlignment="1">
      <alignment horizontal="center" vertical="center" wrapText="1"/>
    </xf>
    <xf numFmtId="169" fontId="17" fillId="5" borderId="7" xfId="0" applyNumberFormat="1" applyFont="1" applyFill="1" applyBorder="1" applyAlignment="1">
      <alignment horizontal="center" vertical="center" wrapText="1"/>
    </xf>
    <xf numFmtId="167" fontId="53" fillId="0" borderId="0" xfId="0" applyFont="1" applyFill="1" applyBorder="1"/>
    <xf numFmtId="167" fontId="54" fillId="0" borderId="0" xfId="0" applyFont="1" applyFill="1"/>
    <xf numFmtId="167" fontId="53" fillId="0" borderId="0" xfId="0" applyFont="1" applyFill="1" applyAlignment="1">
      <alignment horizontal="center"/>
    </xf>
    <xf numFmtId="167" fontId="55" fillId="0" borderId="0" xfId="0" applyFont="1" applyFill="1"/>
    <xf numFmtId="167" fontId="53" fillId="0" borderId="0" xfId="0" applyFont="1" applyFill="1" applyBorder="1" applyAlignment="1">
      <alignment horizontal="center"/>
    </xf>
    <xf numFmtId="167" fontId="55" fillId="0" borderId="0" xfId="0" applyFont="1" applyFill="1" applyBorder="1"/>
    <xf numFmtId="167" fontId="56" fillId="0" borderId="0" xfId="0" applyFont="1" applyAlignment="1">
      <alignment horizontal="center"/>
    </xf>
    <xf numFmtId="167" fontId="53" fillId="11" borderId="7" xfId="0" applyFont="1" applyFill="1" applyBorder="1" applyAlignment="1">
      <alignment horizontal="center"/>
    </xf>
    <xf numFmtId="167" fontId="54" fillId="0" borderId="0" xfId="0" applyFont="1"/>
    <xf numFmtId="167" fontId="56" fillId="0" borderId="0" xfId="0" applyFont="1"/>
    <xf numFmtId="167" fontId="57" fillId="0" borderId="0" xfId="0" applyFont="1" applyFill="1" applyBorder="1" applyAlignment="1">
      <alignment horizontal="left" indent="1"/>
    </xf>
    <xf numFmtId="9" fontId="55" fillId="0" borderId="0" xfId="17" applyFont="1" applyFill="1" applyBorder="1" applyAlignment="1">
      <alignment horizontal="left" indent="1"/>
    </xf>
    <xf numFmtId="9" fontId="55" fillId="0" borderId="0" xfId="17" applyFont="1"/>
    <xf numFmtId="167" fontId="55" fillId="0" borderId="0" xfId="0" applyFont="1"/>
    <xf numFmtId="172" fontId="55" fillId="0" borderId="0" xfId="3" applyNumberFormat="1" applyFont="1"/>
    <xf numFmtId="167" fontId="54" fillId="0" borderId="0" xfId="0" applyFont="1" applyFill="1" applyBorder="1"/>
    <xf numFmtId="167" fontId="58" fillId="0" borderId="0" xfId="0" applyFont="1"/>
    <xf numFmtId="172" fontId="53" fillId="0" borderId="0" xfId="3" applyNumberFormat="1" applyFont="1"/>
    <xf numFmtId="168" fontId="55" fillId="0" borderId="0" xfId="17" applyNumberFormat="1" applyFont="1"/>
    <xf numFmtId="9" fontId="55" fillId="0" borderId="0" xfId="17" applyNumberFormat="1" applyFont="1"/>
    <xf numFmtId="170" fontId="55" fillId="0" borderId="0" xfId="3" applyFont="1"/>
    <xf numFmtId="167" fontId="54" fillId="0" borderId="0" xfId="0" applyFont="1" applyBorder="1"/>
    <xf numFmtId="172" fontId="55" fillId="0" borderId="0" xfId="3" applyNumberFormat="1" applyFont="1" applyBorder="1"/>
    <xf numFmtId="167" fontId="53" fillId="0" borderId="0" xfId="0" applyFont="1" applyBorder="1" applyAlignment="1">
      <alignment horizontal="center"/>
    </xf>
    <xf numFmtId="172" fontId="53" fillId="0" borderId="0" xfId="3" applyNumberFormat="1" applyFont="1" applyBorder="1"/>
    <xf numFmtId="167" fontId="54" fillId="0" borderId="0" xfId="0" applyFont="1" applyAlignment="1">
      <alignment wrapText="1"/>
    </xf>
    <xf numFmtId="10" fontId="54" fillId="0" borderId="0" xfId="17" applyNumberFormat="1" applyFont="1"/>
    <xf numFmtId="167" fontId="53" fillId="11" borderId="52" xfId="0" applyFont="1" applyFill="1" applyBorder="1" applyAlignment="1">
      <alignment horizontal="center"/>
    </xf>
    <xf numFmtId="167" fontId="60" fillId="0" borderId="0" xfId="1" applyNumberFormat="1" applyFont="1"/>
    <xf numFmtId="167" fontId="53" fillId="0" borderId="0" xfId="0" applyFont="1" applyBorder="1" applyAlignment="1">
      <alignment horizontal="left"/>
    </xf>
    <xf numFmtId="164" fontId="5" fillId="0" borderId="0" xfId="10" applyNumberFormat="1" applyFont="1" applyProtection="1"/>
    <xf numFmtId="167" fontId="5" fillId="0" borderId="0" xfId="10" applyNumberFormat="1" applyFont="1" applyProtection="1"/>
    <xf numFmtId="167" fontId="3" fillId="0" borderId="27" xfId="10" applyFont="1" applyBorder="1" applyAlignment="1">
      <alignment horizontal="center"/>
    </xf>
    <xf numFmtId="167" fontId="4" fillId="0" borderId="0" xfId="10" applyAlignment="1">
      <alignment horizontal="right"/>
    </xf>
    <xf numFmtId="167" fontId="62" fillId="10" borderId="53" xfId="10" applyFont="1" applyFill="1" applyBorder="1" applyAlignment="1">
      <alignment horizontal="right"/>
    </xf>
    <xf numFmtId="10" fontId="62" fillId="10" borderId="53" xfId="17" applyNumberFormat="1" applyFont="1" applyFill="1" applyBorder="1" applyAlignment="1">
      <alignment horizontal="right"/>
    </xf>
    <xf numFmtId="167" fontId="61" fillId="0" borderId="0" xfId="10" applyFont="1" applyFill="1" applyBorder="1" applyAlignment="1">
      <alignment horizontal="left"/>
    </xf>
    <xf numFmtId="166" fontId="0" fillId="0" borderId="0" xfId="6" applyFont="1"/>
    <xf numFmtId="167" fontId="3" fillId="0" borderId="0" xfId="10" applyFont="1" applyAlignment="1">
      <alignment horizontal="right"/>
    </xf>
    <xf numFmtId="166" fontId="3" fillId="0" borderId="54" xfId="6" applyFont="1" applyBorder="1"/>
    <xf numFmtId="10" fontId="42" fillId="0" borderId="0" xfId="17" applyNumberFormat="1" applyFont="1"/>
    <xf numFmtId="9" fontId="44" fillId="0" borderId="0" xfId="17" applyFont="1" applyBorder="1" applyAlignment="1">
      <alignment horizontal="center"/>
    </xf>
    <xf numFmtId="171" fontId="44" fillId="0" borderId="0" xfId="17" applyNumberFormat="1" applyFont="1" applyBorder="1"/>
    <xf numFmtId="167" fontId="42" fillId="0" borderId="0" xfId="0" applyFont="1" applyFill="1"/>
    <xf numFmtId="167" fontId="43" fillId="0" borderId="0" xfId="0" applyFont="1" applyFill="1"/>
    <xf numFmtId="171" fontId="43" fillId="0" borderId="0" xfId="17" applyNumberFormat="1" applyFont="1" applyFill="1"/>
    <xf numFmtId="0" fontId="19" fillId="0" borderId="0" xfId="14" applyFont="1"/>
    <xf numFmtId="0" fontId="21" fillId="0" borderId="56" xfId="14" applyFont="1" applyBorder="1" applyAlignment="1">
      <alignment horizontal="center" wrapText="1"/>
    </xf>
    <xf numFmtId="0" fontId="19" fillId="0" borderId="56" xfId="14" applyFont="1" applyBorder="1"/>
    <xf numFmtId="0" fontId="19" fillId="5" borderId="57" xfId="14" applyFont="1" applyFill="1" applyBorder="1" applyAlignment="1">
      <alignment wrapText="1"/>
    </xf>
    <xf numFmtId="0" fontId="22" fillId="5" borderId="58" xfId="14" applyFont="1" applyFill="1" applyBorder="1" applyAlignment="1">
      <alignment wrapText="1"/>
    </xf>
    <xf numFmtId="0" fontId="22" fillId="5" borderId="33" xfId="14" applyFont="1" applyFill="1" applyBorder="1" applyAlignment="1">
      <alignment horizontal="left" vertical="center" wrapText="1"/>
    </xf>
    <xf numFmtId="0" fontId="22" fillId="5" borderId="34" xfId="14" applyFont="1" applyFill="1" applyBorder="1" applyAlignment="1">
      <alignment horizontal="left" vertical="center" wrapText="1"/>
    </xf>
    <xf numFmtId="14" fontId="23" fillId="5" borderId="59" xfId="14" applyNumberFormat="1" applyFont="1" applyFill="1" applyBorder="1" applyAlignment="1">
      <alignment horizontal="left" vertical="center" wrapText="1"/>
    </xf>
    <xf numFmtId="10" fontId="19" fillId="5" borderId="1" xfId="14" applyNumberFormat="1" applyFont="1" applyFill="1" applyBorder="1" applyAlignment="1">
      <alignment horizontal="right" wrapText="1"/>
    </xf>
    <xf numFmtId="10" fontId="19" fillId="5" borderId="37" xfId="14" applyNumberFormat="1" applyFont="1" applyFill="1" applyBorder="1" applyAlignment="1">
      <alignment horizontal="right" wrapText="1"/>
    </xf>
    <xf numFmtId="14" fontId="23" fillId="5" borderId="60" xfId="14" applyNumberFormat="1" applyFont="1" applyFill="1" applyBorder="1" applyAlignment="1">
      <alignment horizontal="left" vertical="center" wrapText="1"/>
    </xf>
    <xf numFmtId="10" fontId="19" fillId="5" borderId="40" xfId="14" applyNumberFormat="1" applyFont="1" applyFill="1" applyBorder="1" applyAlignment="1">
      <alignment horizontal="right" wrapText="1"/>
    </xf>
    <xf numFmtId="10" fontId="19" fillId="5" borderId="41" xfId="14" applyNumberFormat="1" applyFont="1" applyFill="1" applyBorder="1" applyAlignment="1">
      <alignment horizontal="right" wrapText="1"/>
    </xf>
    <xf numFmtId="172" fontId="4" fillId="0" borderId="0" xfId="3" applyNumberFormat="1" applyFont="1" applyFill="1" applyBorder="1"/>
    <xf numFmtId="167" fontId="4" fillId="0" borderId="0" xfId="10" applyFont="1" applyFill="1" applyBorder="1"/>
    <xf numFmtId="164" fontId="6" fillId="0" borderId="0" xfId="0" applyNumberFormat="1" applyFont="1" applyFill="1" applyProtection="1"/>
    <xf numFmtId="168" fontId="4" fillId="0" borderId="0" xfId="17" applyNumberFormat="1" applyFont="1"/>
    <xf numFmtId="172" fontId="0" fillId="0" borderId="0" xfId="3" applyNumberFormat="1" applyFont="1" applyAlignment="1">
      <alignment horizontal="center"/>
    </xf>
    <xf numFmtId="167" fontId="0" fillId="0" borderId="15" xfId="0" applyBorder="1"/>
    <xf numFmtId="167" fontId="4" fillId="0" borderId="0" xfId="10" applyBorder="1"/>
    <xf numFmtId="172" fontId="0" fillId="0" borderId="0" xfId="3" applyNumberFormat="1" applyFont="1" applyBorder="1" applyAlignment="1">
      <alignment horizontal="center"/>
    </xf>
    <xf numFmtId="167" fontId="4" fillId="0" borderId="8" xfId="10" applyFill="1" applyBorder="1"/>
    <xf numFmtId="172" fontId="0" fillId="0" borderId="8" xfId="3" applyNumberFormat="1" applyFont="1" applyFill="1" applyBorder="1"/>
    <xf numFmtId="172" fontId="55" fillId="0" borderId="0" xfId="3" applyNumberFormat="1" applyFont="1" applyFill="1" applyBorder="1"/>
    <xf numFmtId="172" fontId="53" fillId="0" borderId="0" xfId="3" applyNumberFormat="1" applyFont="1" applyFill="1" applyBorder="1"/>
    <xf numFmtId="172" fontId="55" fillId="0" borderId="0" xfId="3" applyNumberFormat="1" applyFont="1" applyFill="1"/>
    <xf numFmtId="167" fontId="55" fillId="0" borderId="0" xfId="0" applyFont="1" applyAlignment="1">
      <alignment horizontal="left" vertical="center" wrapText="1"/>
    </xf>
    <xf numFmtId="176" fontId="50" fillId="0" borderId="0" xfId="0" applyNumberFormat="1" applyFont="1" applyFill="1" applyProtection="1"/>
    <xf numFmtId="10" fontId="4" fillId="0" borderId="0" xfId="17" applyNumberFormat="1" applyFont="1"/>
    <xf numFmtId="167" fontId="63" fillId="12" borderId="0" xfId="10" applyFont="1" applyFill="1"/>
    <xf numFmtId="167" fontId="49" fillId="12" borderId="0" xfId="10" applyFont="1" applyFill="1"/>
    <xf numFmtId="10" fontId="0" fillId="0" borderId="8" xfId="17" applyNumberFormat="1" applyFont="1" applyBorder="1"/>
    <xf numFmtId="167" fontId="4" fillId="0" borderId="8" xfId="10" applyFont="1" applyBorder="1"/>
    <xf numFmtId="10" fontId="4" fillId="0" borderId="8" xfId="10" applyNumberFormat="1" applyBorder="1"/>
    <xf numFmtId="10" fontId="4" fillId="0" borderId="8" xfId="17" applyNumberFormat="1" applyFont="1" applyBorder="1"/>
    <xf numFmtId="168" fontId="0" fillId="0" borderId="8" xfId="17" applyNumberFormat="1" applyFont="1" applyBorder="1"/>
    <xf numFmtId="168" fontId="64" fillId="0" borderId="0" xfId="17" applyNumberFormat="1" applyFont="1"/>
    <xf numFmtId="9" fontId="64" fillId="0" borderId="0" xfId="17" applyFont="1"/>
    <xf numFmtId="167" fontId="63" fillId="12" borderId="8" xfId="10" applyFont="1" applyFill="1" applyBorder="1"/>
    <xf numFmtId="167" fontId="29" fillId="0" borderId="0" xfId="0" applyFont="1" applyFill="1"/>
    <xf numFmtId="3" fontId="50" fillId="0" borderId="0" xfId="0" applyNumberFormat="1" applyFont="1" applyFill="1"/>
    <xf numFmtId="164" fontId="5" fillId="0" borderId="0" xfId="0" applyNumberFormat="1" applyFont="1" applyFill="1" applyProtection="1"/>
    <xf numFmtId="167" fontId="4" fillId="0" borderId="0" xfId="0" applyNumberFormat="1" applyFont="1" applyFill="1" applyProtection="1"/>
    <xf numFmtId="167" fontId="3" fillId="0" borderId="0" xfId="0" applyNumberFormat="1" applyFont="1" applyFill="1" applyProtection="1"/>
    <xf numFmtId="167" fontId="3" fillId="0" borderId="2" xfId="0" applyNumberFormat="1" applyFont="1" applyFill="1" applyBorder="1" applyAlignment="1" applyProtection="1">
      <alignment horizontal="center"/>
    </xf>
    <xf numFmtId="10" fontId="4" fillId="0" borderId="0" xfId="0" applyNumberFormat="1" applyFont="1" applyFill="1" applyProtection="1"/>
    <xf numFmtId="10" fontId="4" fillId="0" borderId="0" xfId="17" applyNumberFormat="1" applyFont="1" applyFill="1"/>
    <xf numFmtId="168" fontId="4" fillId="0" borderId="0" xfId="17" applyNumberFormat="1" applyFont="1" applyFill="1"/>
    <xf numFmtId="167" fontId="4" fillId="0" borderId="0" xfId="0" applyNumberFormat="1" applyFont="1" applyProtection="1"/>
    <xf numFmtId="167" fontId="3" fillId="0" borderId="0" xfId="0" applyNumberFormat="1" applyFont="1" applyProtection="1"/>
    <xf numFmtId="167" fontId="3" fillId="0" borderId="2" xfId="0" applyNumberFormat="1" applyFont="1" applyBorder="1" applyAlignment="1" applyProtection="1">
      <alignment horizontal="center"/>
    </xf>
    <xf numFmtId="10" fontId="4" fillId="0" borderId="0" xfId="0" applyNumberFormat="1" applyFont="1" applyProtection="1"/>
    <xf numFmtId="165" fontId="4" fillId="0" borderId="0" xfId="6" applyNumberFormat="1" applyFont="1" applyProtection="1"/>
    <xf numFmtId="165" fontId="4" fillId="0" borderId="0" xfId="6" applyNumberFormat="1" applyFont="1"/>
    <xf numFmtId="165" fontId="3" fillId="0" borderId="3" xfId="6" applyNumberFormat="1" applyFont="1" applyBorder="1" applyProtection="1"/>
    <xf numFmtId="49" fontId="4" fillId="0" borderId="0" xfId="0" applyNumberFormat="1" applyFont="1" applyProtection="1"/>
    <xf numFmtId="164" fontId="4" fillId="0" borderId="0" xfId="0" quotePrefix="1" applyNumberFormat="1" applyFont="1" applyProtection="1"/>
    <xf numFmtId="164" fontId="29" fillId="0" borderId="0" xfId="0" applyNumberFormat="1" applyFont="1" applyProtection="1"/>
    <xf numFmtId="164" fontId="3" fillId="3" borderId="4" xfId="0" applyNumberFormat="1" applyFont="1" applyFill="1" applyBorder="1" applyProtection="1"/>
    <xf numFmtId="164" fontId="4" fillId="3" borderId="4" xfId="0" applyNumberFormat="1" applyFont="1" applyFill="1" applyBorder="1" applyProtection="1"/>
    <xf numFmtId="167" fontId="4" fillId="0" borderId="0" xfId="0" quotePrefix="1" applyNumberFormat="1" applyFont="1" applyProtection="1"/>
    <xf numFmtId="167" fontId="3" fillId="10" borderId="0" xfId="0" applyNumberFormat="1" applyFont="1" applyFill="1" applyProtection="1"/>
    <xf numFmtId="165" fontId="3" fillId="10" borderId="3" xfId="6" applyNumberFormat="1" applyFont="1" applyFill="1" applyBorder="1" applyProtection="1"/>
    <xf numFmtId="164" fontId="3" fillId="2" borderId="4" xfId="0" applyNumberFormat="1" applyFont="1" applyFill="1" applyBorder="1" applyProtection="1"/>
    <xf numFmtId="165" fontId="3" fillId="2" borderId="4" xfId="6" applyNumberFormat="1" applyFont="1" applyFill="1" applyBorder="1" applyProtection="1"/>
    <xf numFmtId="164" fontId="3" fillId="2" borderId="0" xfId="0" applyNumberFormat="1" applyFont="1" applyFill="1" applyProtection="1"/>
    <xf numFmtId="165" fontId="3" fillId="10" borderId="54" xfId="6" applyNumberFormat="1" applyFont="1" applyFill="1" applyBorder="1"/>
    <xf numFmtId="3" fontId="4" fillId="0" borderId="0" xfId="6" applyNumberFormat="1" applyFont="1" applyProtection="1"/>
    <xf numFmtId="3" fontId="4" fillId="0" borderId="0" xfId="17" applyNumberFormat="1" applyFont="1" applyProtection="1"/>
    <xf numFmtId="167" fontId="3" fillId="3" borderId="4" xfId="0" applyNumberFormat="1" applyFont="1" applyFill="1" applyBorder="1" applyProtection="1"/>
    <xf numFmtId="3" fontId="3" fillId="3" borderId="4" xfId="6" applyNumberFormat="1" applyFont="1" applyFill="1" applyBorder="1" applyProtection="1"/>
    <xf numFmtId="165" fontId="4" fillId="0" borderId="0" xfId="0" applyNumberFormat="1" applyFont="1" applyProtection="1"/>
    <xf numFmtId="167" fontId="4" fillId="3" borderId="4" xfId="0" applyNumberFormat="1" applyFont="1" applyFill="1" applyBorder="1" applyProtection="1"/>
    <xf numFmtId="165" fontId="3" fillId="3" borderId="4" xfId="0" applyNumberFormat="1" applyFont="1" applyFill="1" applyBorder="1" applyProtection="1"/>
    <xf numFmtId="10" fontId="3" fillId="3" borderId="4" xfId="17" applyNumberFormat="1" applyFont="1" applyFill="1" applyBorder="1" applyProtection="1"/>
    <xf numFmtId="10" fontId="4" fillId="0" borderId="0" xfId="17" applyNumberFormat="1" applyFont="1" applyProtection="1"/>
    <xf numFmtId="166" fontId="3" fillId="3" borderId="4" xfId="6" applyFont="1" applyFill="1" applyBorder="1" applyProtection="1"/>
    <xf numFmtId="165" fontId="3" fillId="3" borderId="4" xfId="6" applyNumberFormat="1" applyFont="1" applyFill="1" applyBorder="1" applyProtection="1"/>
    <xf numFmtId="165" fontId="3" fillId="3" borderId="4" xfId="17" applyNumberFormat="1" applyFont="1" applyFill="1" applyBorder="1" applyProtection="1"/>
    <xf numFmtId="164" fontId="3" fillId="0" borderId="54" xfId="0" applyNumberFormat="1" applyFont="1" applyBorder="1"/>
    <xf numFmtId="168" fontId="3" fillId="0" borderId="0" xfId="17" applyNumberFormat="1" applyFont="1" applyBorder="1"/>
    <xf numFmtId="169" fontId="4" fillId="0" borderId="0" xfId="0" applyNumberFormat="1" applyFont="1"/>
    <xf numFmtId="167" fontId="4" fillId="0" borderId="0" xfId="0" applyFont="1" applyAlignment="1">
      <alignment horizontal="right"/>
    </xf>
    <xf numFmtId="164" fontId="4" fillId="0" borderId="0" xfId="0" applyNumberFormat="1" applyFont="1"/>
    <xf numFmtId="164" fontId="4" fillId="7" borderId="0" xfId="0" applyNumberFormat="1" applyFont="1" applyFill="1"/>
    <xf numFmtId="167" fontId="3" fillId="0" borderId="0" xfId="0" applyNumberFormat="1" applyFont="1" applyAlignment="1" applyProtection="1">
      <alignment horizontal="centerContinuous"/>
    </xf>
    <xf numFmtId="173" fontId="4" fillId="0" borderId="0" xfId="0" applyNumberFormat="1" applyFont="1"/>
    <xf numFmtId="174" fontId="4" fillId="0" borderId="0" xfId="0" applyNumberFormat="1" applyFont="1"/>
    <xf numFmtId="168" fontId="4" fillId="0" borderId="0" xfId="17" applyNumberFormat="1" applyFont="1" applyProtection="1"/>
    <xf numFmtId="165" fontId="3" fillId="0" borderId="0" xfId="6" applyNumberFormat="1" applyFont="1" applyProtection="1"/>
    <xf numFmtId="171" fontId="4" fillId="0" borderId="0" xfId="17" applyNumberFormat="1" applyFont="1" applyProtection="1"/>
    <xf numFmtId="167" fontId="3" fillId="3" borderId="4" xfId="0" quotePrefix="1" applyNumberFormat="1" applyFont="1" applyFill="1" applyBorder="1" applyProtection="1"/>
    <xf numFmtId="167" fontId="3" fillId="0" borderId="0" xfId="0" applyNumberFormat="1" applyFont="1" applyFill="1" applyBorder="1" applyProtection="1"/>
    <xf numFmtId="165" fontId="3" fillId="0" borderId="0" xfId="6" applyNumberFormat="1" applyFont="1" applyFill="1" applyBorder="1" applyProtection="1"/>
    <xf numFmtId="165" fontId="3" fillId="0" borderId="0" xfId="6" applyNumberFormat="1" applyFont="1" applyAlignment="1" applyProtection="1">
      <alignment horizontal="centerContinuous"/>
    </xf>
    <xf numFmtId="165" fontId="3" fillId="0" borderId="0" xfId="6" applyNumberFormat="1" applyFont="1"/>
    <xf numFmtId="165" fontId="3" fillId="0" borderId="0" xfId="6" applyNumberFormat="1" applyFont="1" applyFill="1" applyProtection="1"/>
    <xf numFmtId="3" fontId="50" fillId="0" borderId="2" xfId="0" applyNumberFormat="1" applyFont="1" applyFill="1" applyBorder="1" applyProtection="1"/>
    <xf numFmtId="9" fontId="53" fillId="0" borderId="0" xfId="17" applyFont="1"/>
    <xf numFmtId="167" fontId="28" fillId="0" borderId="0" xfId="0" applyFont="1" applyAlignment="1">
      <alignment horizontal="right"/>
    </xf>
    <xf numFmtId="167" fontId="55" fillId="0" borderId="0" xfId="0" applyFont="1" applyFill="1" applyAlignment="1">
      <alignment horizontal="right"/>
    </xf>
    <xf numFmtId="167" fontId="55" fillId="0" borderId="0" xfId="0" applyFont="1" applyAlignment="1">
      <alignment horizontal="right" vertical="center" wrapText="1"/>
    </xf>
    <xf numFmtId="167" fontId="55" fillId="0" borderId="0" xfId="0" applyFont="1" applyAlignment="1">
      <alignment horizontal="right"/>
    </xf>
    <xf numFmtId="167" fontId="53" fillId="0" borderId="0" xfId="0" applyFont="1" applyAlignment="1">
      <alignment horizontal="right"/>
    </xf>
    <xf numFmtId="10" fontId="55" fillId="0" borderId="0" xfId="17" applyNumberFormat="1" applyFont="1" applyAlignment="1">
      <alignment horizontal="right"/>
    </xf>
    <xf numFmtId="168" fontId="6" fillId="0" borderId="0" xfId="17" applyNumberFormat="1" applyFont="1" applyProtection="1"/>
    <xf numFmtId="166" fontId="3" fillId="3" borderId="4" xfId="6" applyNumberFormat="1" applyFont="1" applyFill="1" applyBorder="1" applyProtection="1"/>
    <xf numFmtId="175" fontId="47" fillId="8" borderId="61" xfId="3" applyNumberFormat="1" applyFont="1" applyFill="1" applyBorder="1" applyAlignment="1">
      <alignment horizontal="center"/>
    </xf>
    <xf numFmtId="167" fontId="42" fillId="0" borderId="0" xfId="0" applyFont="1" applyFill="1" applyBorder="1"/>
    <xf numFmtId="175" fontId="47" fillId="0" borderId="0" xfId="3" applyNumberFormat="1" applyFont="1" applyFill="1" applyBorder="1" applyAlignment="1">
      <alignment horizontal="center"/>
    </xf>
    <xf numFmtId="9" fontId="43" fillId="0" borderId="0" xfId="17" applyNumberFormat="1" applyFont="1" applyFill="1" applyBorder="1"/>
    <xf numFmtId="10" fontId="43" fillId="0" borderId="0" xfId="17" applyNumberFormat="1" applyFont="1" applyFill="1" applyBorder="1" applyAlignment="1">
      <alignment horizontal="center"/>
    </xf>
    <xf numFmtId="9" fontId="43" fillId="0" borderId="0" xfId="17" applyNumberFormat="1" applyFont="1" applyFill="1" applyBorder="1" applyAlignment="1">
      <alignment horizontal="right"/>
    </xf>
    <xf numFmtId="9" fontId="43" fillId="0" borderId="0" xfId="17" applyFont="1" applyFill="1" applyBorder="1"/>
    <xf numFmtId="175" fontId="43" fillId="0" borderId="0" xfId="3" applyNumberFormat="1" applyFont="1" applyFill="1" applyBorder="1"/>
    <xf numFmtId="10" fontId="46" fillId="0" borderId="0" xfId="17" applyNumberFormat="1" applyFont="1" applyFill="1" applyBorder="1" applyAlignment="1">
      <alignment horizontal="center"/>
    </xf>
    <xf numFmtId="9" fontId="43" fillId="10" borderId="21" xfId="17" applyFont="1" applyFill="1" applyBorder="1" applyAlignment="1">
      <alignment horizontal="center"/>
    </xf>
    <xf numFmtId="167" fontId="53" fillId="0" borderId="0" xfId="0" applyFont="1" applyAlignment="1">
      <alignment horizontal="center"/>
    </xf>
    <xf numFmtId="167" fontId="53" fillId="0" borderId="0" xfId="0" applyFont="1"/>
    <xf numFmtId="9" fontId="55" fillId="10" borderId="7" xfId="17" applyFont="1" applyFill="1" applyBorder="1"/>
    <xf numFmtId="168" fontId="53" fillId="0" borderId="0" xfId="17" applyNumberFormat="1" applyFont="1"/>
    <xf numFmtId="176" fontId="4" fillId="0" borderId="0" xfId="0" applyNumberFormat="1" applyFont="1" applyFill="1" applyProtection="1"/>
    <xf numFmtId="167" fontId="55" fillId="0" borderId="0" xfId="0" applyFont="1" applyFill="1" applyBorder="1" applyAlignment="1">
      <alignment horizontal="left" indent="1"/>
    </xf>
    <xf numFmtId="167" fontId="55" fillId="0" borderId="63" xfId="0" applyFont="1" applyFill="1" applyBorder="1"/>
    <xf numFmtId="167" fontId="55" fillId="0" borderId="7" xfId="0" applyFont="1" applyFill="1" applyBorder="1"/>
    <xf numFmtId="10" fontId="55" fillId="0" borderId="7" xfId="17" applyNumberFormat="1" applyFont="1" applyFill="1" applyBorder="1"/>
    <xf numFmtId="10" fontId="55" fillId="9" borderId="7" xfId="17" applyNumberFormat="1" applyFont="1" applyFill="1" applyBorder="1"/>
    <xf numFmtId="10" fontId="0" fillId="9" borderId="0" xfId="17" applyNumberFormat="1" applyFont="1" applyFill="1"/>
    <xf numFmtId="9" fontId="55" fillId="9" borderId="0" xfId="17" applyFont="1" applyFill="1" applyBorder="1"/>
    <xf numFmtId="9" fontId="5" fillId="9" borderId="0" xfId="17" applyFont="1" applyFill="1" applyBorder="1" applyProtection="1"/>
    <xf numFmtId="10" fontId="4" fillId="0" borderId="0" xfId="10" applyNumberFormat="1"/>
    <xf numFmtId="10" fontId="4" fillId="0" borderId="0" xfId="17" applyNumberFormat="1" applyAlignment="1"/>
    <xf numFmtId="4" fontId="4" fillId="0" borderId="0" xfId="10" applyNumberFormat="1" applyAlignment="1"/>
    <xf numFmtId="3" fontId="4" fillId="0" borderId="0" xfId="10" applyNumberFormat="1" applyAlignment="1"/>
    <xf numFmtId="3" fontId="0" fillId="0" borderId="0" xfId="3" applyNumberFormat="1" applyFont="1"/>
    <xf numFmtId="3" fontId="4" fillId="0" borderId="0" xfId="3" applyNumberFormat="1"/>
    <xf numFmtId="3" fontId="3" fillId="0" borderId="0" xfId="10" applyNumberFormat="1" applyFont="1" applyAlignment="1"/>
    <xf numFmtId="167" fontId="3" fillId="0" borderId="0" xfId="10" applyFont="1" applyFill="1" applyBorder="1"/>
    <xf numFmtId="167" fontId="4" fillId="0" borderId="0" xfId="10" applyAlignment="1">
      <alignment horizontal="left"/>
    </xf>
    <xf numFmtId="168" fontId="42" fillId="0" borderId="16" xfId="17" applyNumberFormat="1" applyFont="1" applyBorder="1"/>
    <xf numFmtId="3" fontId="3" fillId="0" borderId="0" xfId="3" applyNumberFormat="1" applyFont="1"/>
    <xf numFmtId="4" fontId="4" fillId="0" borderId="0" xfId="10" applyNumberFormat="1" applyFill="1" applyAlignment="1"/>
    <xf numFmtId="166" fontId="4" fillId="0" borderId="0" xfId="6" applyFont="1" applyFill="1"/>
    <xf numFmtId="164" fontId="3" fillId="0" borderId="0" xfId="0" applyNumberFormat="1" applyFont="1" applyFill="1" applyBorder="1" applyProtection="1"/>
    <xf numFmtId="9" fontId="3" fillId="0" borderId="0" xfId="17" applyFont="1" applyFill="1" applyBorder="1" applyProtection="1"/>
    <xf numFmtId="167" fontId="5" fillId="0" borderId="65" xfId="0" applyNumberFormat="1" applyFont="1" applyBorder="1" applyAlignment="1" applyProtection="1">
      <alignment horizontal="center"/>
    </xf>
    <xf numFmtId="167" fontId="5" fillId="0" borderId="66" xfId="0" applyNumberFormat="1" applyFont="1" applyBorder="1" applyAlignment="1" applyProtection="1">
      <alignment horizontal="center"/>
    </xf>
    <xf numFmtId="167" fontId="5" fillId="0" borderId="67" xfId="0" applyNumberFormat="1" applyFont="1" applyBorder="1" applyAlignment="1" applyProtection="1">
      <alignment horizontal="center"/>
    </xf>
    <xf numFmtId="167" fontId="5" fillId="0" borderId="68" xfId="0" applyNumberFormat="1" applyFont="1" applyBorder="1" applyAlignment="1" applyProtection="1">
      <alignment horizontal="center"/>
    </xf>
    <xf numFmtId="167" fontId="0" fillId="0" borderId="29" xfId="0" applyBorder="1"/>
    <xf numFmtId="167" fontId="0" fillId="0" borderId="0" xfId="0" applyBorder="1"/>
    <xf numFmtId="167" fontId="0" fillId="0" borderId="30" xfId="0" applyBorder="1"/>
    <xf numFmtId="167" fontId="0" fillId="4" borderId="29" xfId="0" applyFill="1" applyBorder="1"/>
    <xf numFmtId="167" fontId="0" fillId="4" borderId="0" xfId="0" applyFill="1" applyBorder="1"/>
    <xf numFmtId="167" fontId="0" fillId="4" borderId="30" xfId="0" applyFill="1" applyBorder="1"/>
    <xf numFmtId="167" fontId="0" fillId="4" borderId="25" xfId="0" applyFill="1" applyBorder="1"/>
    <xf numFmtId="167" fontId="0" fillId="4" borderId="27" xfId="0" applyFill="1" applyBorder="1"/>
    <xf numFmtId="167" fontId="0" fillId="4" borderId="26" xfId="0" applyFill="1" applyBorder="1"/>
    <xf numFmtId="177" fontId="2" fillId="0" borderId="0" xfId="4" applyNumberFormat="1" applyFont="1"/>
    <xf numFmtId="167" fontId="41" fillId="10" borderId="0" xfId="0" applyFont="1" applyFill="1"/>
    <xf numFmtId="167" fontId="41" fillId="10" borderId="0" xfId="0" applyFont="1" applyFill="1" applyAlignment="1">
      <alignment horizontal="center"/>
    </xf>
    <xf numFmtId="10" fontId="42" fillId="0" borderId="0" xfId="17" applyNumberFormat="1" applyFont="1" applyFill="1"/>
    <xf numFmtId="167" fontId="48" fillId="0" borderId="0" xfId="0" applyFont="1" applyFill="1"/>
    <xf numFmtId="167" fontId="6" fillId="0" borderId="0" xfId="0" applyNumberFormat="1" applyFont="1" applyFill="1" applyProtection="1"/>
    <xf numFmtId="9" fontId="0" fillId="0" borderId="0" xfId="17" applyFont="1" applyFill="1"/>
    <xf numFmtId="164" fontId="5" fillId="0" borderId="16" xfId="0" applyNumberFormat="1" applyFont="1" applyFill="1" applyBorder="1" applyProtection="1"/>
    <xf numFmtId="167" fontId="3" fillId="0" borderId="16" xfId="0" applyFont="1" applyFill="1" applyBorder="1"/>
    <xf numFmtId="164" fontId="6" fillId="0" borderId="0" xfId="0" applyNumberFormat="1" applyFont="1" applyFill="1" applyAlignment="1" applyProtection="1">
      <alignment wrapText="1"/>
    </xf>
    <xf numFmtId="9" fontId="14" fillId="0" borderId="0" xfId="17" applyNumberFormat="1" applyFont="1" applyProtection="1"/>
    <xf numFmtId="169" fontId="4" fillId="0" borderId="0" xfId="0" applyNumberFormat="1" applyFont="1" applyProtection="1"/>
    <xf numFmtId="9" fontId="6" fillId="0" borderId="0" xfId="17" applyNumberFormat="1" applyFont="1" applyProtection="1"/>
    <xf numFmtId="169" fontId="0" fillId="0" borderId="0" xfId="0" applyNumberFormat="1"/>
    <xf numFmtId="9" fontId="6" fillId="0" borderId="0" xfId="17" applyFont="1" applyFill="1" applyProtection="1"/>
    <xf numFmtId="168" fontId="6" fillId="0" borderId="0" xfId="17" applyNumberFormat="1" applyFont="1" applyFill="1" applyProtection="1"/>
    <xf numFmtId="167" fontId="3" fillId="0" borderId="0" xfId="0" applyFont="1" applyFill="1" applyBorder="1" applyAlignment="1">
      <alignment horizontal="center" vertical="center" wrapText="1"/>
    </xf>
    <xf numFmtId="167" fontId="0" fillId="0" borderId="27" xfId="0" applyBorder="1"/>
    <xf numFmtId="9" fontId="0" fillId="0" borderId="27" xfId="17" applyNumberFormat="1" applyFont="1" applyBorder="1"/>
    <xf numFmtId="10" fontId="0" fillId="0" borderId="27" xfId="17" applyNumberFormat="1" applyFont="1" applyBorder="1"/>
    <xf numFmtId="167" fontId="65" fillId="0" borderId="0" xfId="0" applyFont="1"/>
    <xf numFmtId="167" fontId="0" fillId="13" borderId="25" xfId="0" applyFill="1" applyBorder="1"/>
    <xf numFmtId="167" fontId="0" fillId="13" borderId="27" xfId="0" applyFill="1" applyBorder="1"/>
    <xf numFmtId="167" fontId="0" fillId="13" borderId="26" xfId="0" applyFill="1" applyBorder="1"/>
    <xf numFmtId="172" fontId="0" fillId="13" borderId="25" xfId="3" applyNumberFormat="1" applyFont="1" applyFill="1" applyBorder="1"/>
    <xf numFmtId="175" fontId="2" fillId="4" borderId="0" xfId="4" applyNumberFormat="1" applyFont="1" applyFill="1"/>
    <xf numFmtId="10" fontId="6" fillId="0" borderId="0" xfId="17" applyNumberFormat="1" applyFont="1" applyFill="1" applyProtection="1"/>
    <xf numFmtId="10" fontId="4" fillId="0" borderId="0" xfId="17" applyNumberFormat="1" applyFont="1" applyFill="1" applyProtection="1"/>
    <xf numFmtId="3" fontId="0" fillId="0" borderId="0" xfId="0" applyNumberFormat="1"/>
    <xf numFmtId="164" fontId="6" fillId="5" borderId="0" xfId="0" applyNumberFormat="1" applyFont="1" applyFill="1" applyProtection="1"/>
    <xf numFmtId="164" fontId="5" fillId="5" borderId="0" xfId="0" applyNumberFormat="1" applyFont="1" applyFill="1" applyProtection="1"/>
    <xf numFmtId="3" fontId="51" fillId="5" borderId="0" xfId="0" applyNumberFormat="1" applyFont="1" applyFill="1" applyProtection="1"/>
    <xf numFmtId="167" fontId="0" fillId="5" borderId="0" xfId="0" applyFill="1"/>
    <xf numFmtId="164" fontId="5" fillId="14" borderId="0" xfId="0" applyNumberFormat="1" applyFont="1" applyFill="1" applyBorder="1" applyProtection="1"/>
    <xf numFmtId="172" fontId="5" fillId="14" borderId="0" xfId="3" applyNumberFormat="1" applyFont="1" applyFill="1" applyBorder="1" applyProtection="1"/>
    <xf numFmtId="172" fontId="5" fillId="0" borderId="0" xfId="3" applyNumberFormat="1" applyFont="1" applyFill="1" applyBorder="1" applyProtection="1"/>
    <xf numFmtId="172" fontId="5" fillId="0" borderId="0" xfId="3" applyNumberFormat="1" applyFont="1" applyBorder="1" applyProtection="1"/>
    <xf numFmtId="172" fontId="6" fillId="5" borderId="0" xfId="3" applyNumberFormat="1" applyFont="1" applyFill="1" applyProtection="1"/>
    <xf numFmtId="164" fontId="3" fillId="5" borderId="0" xfId="0" applyNumberFormat="1" applyFont="1" applyFill="1" applyProtection="1"/>
    <xf numFmtId="172" fontId="4" fillId="5" borderId="0" xfId="3" applyNumberFormat="1" applyFont="1" applyFill="1" applyProtection="1"/>
    <xf numFmtId="167" fontId="4" fillId="5" borderId="0" xfId="0" applyFont="1" applyFill="1"/>
    <xf numFmtId="3" fontId="0" fillId="0" borderId="0" xfId="3" applyNumberFormat="1" applyFont="1" applyFill="1"/>
    <xf numFmtId="3" fontId="0" fillId="0" borderId="0" xfId="0" applyNumberFormat="1" applyFill="1"/>
    <xf numFmtId="3" fontId="70" fillId="0" borderId="0" xfId="0" applyNumberFormat="1" applyFont="1" applyProtection="1"/>
    <xf numFmtId="3" fontId="71" fillId="5" borderId="0" xfId="0" applyNumberFormat="1" applyFont="1" applyFill="1" applyProtection="1"/>
    <xf numFmtId="3" fontId="70" fillId="0" borderId="0" xfId="0" applyNumberFormat="1" applyFont="1" applyFill="1"/>
    <xf numFmtId="3" fontId="51" fillId="0" borderId="0" xfId="0" applyNumberFormat="1" applyFont="1" applyFill="1" applyProtection="1"/>
    <xf numFmtId="10" fontId="6" fillId="0" borderId="0" xfId="0" applyNumberFormat="1" applyFont="1" applyFill="1" applyProtection="1"/>
    <xf numFmtId="167" fontId="3" fillId="0" borderId="0" xfId="0" applyFont="1" applyFill="1"/>
    <xf numFmtId="167" fontId="55" fillId="15" borderId="7" xfId="0" applyFont="1" applyFill="1" applyBorder="1" applyAlignment="1">
      <alignment horizontal="left" indent="1"/>
    </xf>
    <xf numFmtId="167" fontId="55" fillId="15" borderId="7" xfId="0" applyFont="1" applyFill="1" applyBorder="1"/>
    <xf numFmtId="167" fontId="53" fillId="15" borderId="7" xfId="0" applyFont="1" applyFill="1" applyBorder="1"/>
    <xf numFmtId="167" fontId="55" fillId="15" borderId="0" xfId="0" applyFont="1" applyFill="1" applyBorder="1"/>
    <xf numFmtId="167" fontId="55" fillId="15" borderId="63" xfId="0" applyFont="1" applyFill="1" applyBorder="1"/>
    <xf numFmtId="10" fontId="55" fillId="15" borderId="7" xfId="17" applyNumberFormat="1" applyFont="1" applyFill="1" applyBorder="1"/>
    <xf numFmtId="10" fontId="53" fillId="15" borderId="7" xfId="17" applyNumberFormat="1" applyFont="1" applyFill="1" applyBorder="1"/>
    <xf numFmtId="10" fontId="55" fillId="15" borderId="0" xfId="17" applyNumberFormat="1" applyFont="1" applyFill="1" applyBorder="1"/>
    <xf numFmtId="172" fontId="55" fillId="15" borderId="7" xfId="3" applyNumberFormat="1" applyFont="1" applyFill="1" applyBorder="1"/>
    <xf numFmtId="172" fontId="55" fillId="15" borderId="0" xfId="3" applyNumberFormat="1" applyFont="1" applyFill="1" applyBorder="1"/>
    <xf numFmtId="9" fontId="55" fillId="15" borderId="0" xfId="17" applyFont="1" applyFill="1" applyBorder="1"/>
    <xf numFmtId="172" fontId="53" fillId="15" borderId="7" xfId="3" applyNumberFormat="1" applyFont="1" applyFill="1" applyBorder="1"/>
    <xf numFmtId="167" fontId="55" fillId="16" borderId="7" xfId="0" applyFont="1" applyFill="1" applyBorder="1" applyAlignment="1">
      <alignment horizontal="left" indent="1"/>
    </xf>
    <xf numFmtId="168" fontId="55" fillId="16" borderId="7" xfId="17" applyNumberFormat="1" applyFont="1" applyFill="1" applyBorder="1"/>
    <xf numFmtId="167" fontId="54" fillId="15" borderId="7" xfId="0" applyFont="1" applyFill="1" applyBorder="1"/>
    <xf numFmtId="9" fontId="55" fillId="15" borderId="7" xfId="17" applyNumberFormat="1" applyFont="1" applyFill="1" applyBorder="1"/>
    <xf numFmtId="168" fontId="55" fillId="15" borderId="7" xfId="17" applyNumberFormat="1" applyFont="1" applyFill="1" applyBorder="1"/>
    <xf numFmtId="167" fontId="53" fillId="16" borderId="7" xfId="0" applyFont="1" applyFill="1" applyBorder="1" applyAlignment="1">
      <alignment horizontal="center"/>
    </xf>
    <xf numFmtId="10" fontId="53" fillId="16" borderId="7" xfId="17" applyNumberFormat="1" applyFont="1" applyFill="1" applyBorder="1" applyAlignment="1">
      <alignment horizontal="center"/>
    </xf>
    <xf numFmtId="167" fontId="55" fillId="16" borderId="0" xfId="0" applyFont="1" applyFill="1" applyBorder="1" applyAlignment="1">
      <alignment horizontal="left" indent="1"/>
    </xf>
    <xf numFmtId="167" fontId="53" fillId="16" borderId="7" xfId="0" applyFont="1" applyFill="1" applyBorder="1" applyAlignment="1">
      <alignment horizontal="left" indent="1"/>
    </xf>
    <xf numFmtId="178" fontId="72" fillId="16" borderId="0" xfId="0" applyNumberFormat="1" applyFont="1" applyFill="1" applyAlignment="1">
      <alignment horizontal="center" vertical="center"/>
    </xf>
    <xf numFmtId="167" fontId="72" fillId="16" borderId="0" xfId="0" applyFont="1" applyFill="1" applyAlignment="1">
      <alignment horizontal="center" vertical="center"/>
    </xf>
    <xf numFmtId="169" fontId="73" fillId="5" borderId="51" xfId="0" applyNumberFormat="1" applyFont="1" applyFill="1" applyBorder="1" applyAlignment="1">
      <alignment horizontal="center" vertical="center" wrapText="1"/>
    </xf>
    <xf numFmtId="10" fontId="4" fillId="16" borderId="0" xfId="0" applyNumberFormat="1" applyFont="1" applyFill="1" applyProtection="1"/>
    <xf numFmtId="170" fontId="4" fillId="0" borderId="0" xfId="3" applyFont="1" applyProtection="1"/>
    <xf numFmtId="167" fontId="74" fillId="17" borderId="88" xfId="0" applyFont="1" applyFill="1" applyBorder="1" applyAlignment="1">
      <alignment horizontal="left" indent="1"/>
    </xf>
    <xf numFmtId="167" fontId="74" fillId="17" borderId="0" xfId="0" applyFont="1" applyFill="1" applyBorder="1" applyAlignment="1">
      <alignment horizontal="center"/>
    </xf>
    <xf numFmtId="172" fontId="74" fillId="17" borderId="0" xfId="3" applyNumberFormat="1" applyFont="1" applyFill="1" applyBorder="1" applyProtection="1"/>
    <xf numFmtId="172" fontId="74" fillId="17" borderId="89" xfId="3" applyNumberFormat="1" applyFont="1" applyFill="1" applyBorder="1" applyProtection="1"/>
    <xf numFmtId="9" fontId="74" fillId="17" borderId="0" xfId="17" applyFont="1" applyFill="1" applyBorder="1"/>
    <xf numFmtId="9" fontId="74" fillId="17" borderId="89" xfId="17" applyFont="1" applyFill="1" applyBorder="1"/>
    <xf numFmtId="9" fontId="74" fillId="17" borderId="0" xfId="17" applyFont="1" applyFill="1" applyBorder="1" applyProtection="1"/>
    <xf numFmtId="9" fontId="74" fillId="17" borderId="89" xfId="17" applyFont="1" applyFill="1" applyBorder="1" applyProtection="1"/>
    <xf numFmtId="167" fontId="74" fillId="17" borderId="0" xfId="0" applyNumberFormat="1" applyFont="1" applyFill="1" applyBorder="1" applyProtection="1"/>
    <xf numFmtId="167" fontId="74" fillId="17" borderId="0" xfId="0" applyFont="1" applyFill="1" applyBorder="1"/>
    <xf numFmtId="167" fontId="74" fillId="17" borderId="89" xfId="0" applyFont="1" applyFill="1" applyBorder="1"/>
    <xf numFmtId="167" fontId="74" fillId="17" borderId="90" xfId="0" applyFont="1" applyFill="1" applyBorder="1" applyAlignment="1">
      <alignment horizontal="left" indent="1"/>
    </xf>
    <xf numFmtId="167" fontId="74" fillId="17" borderId="12" xfId="0" applyFont="1" applyFill="1" applyBorder="1" applyAlignment="1">
      <alignment horizontal="center"/>
    </xf>
    <xf numFmtId="167" fontId="74" fillId="17" borderId="12" xfId="0" applyNumberFormat="1" applyFont="1" applyFill="1" applyBorder="1" applyProtection="1"/>
    <xf numFmtId="167" fontId="74" fillId="17" borderId="12" xfId="0" applyFont="1" applyFill="1" applyBorder="1"/>
    <xf numFmtId="167" fontId="74" fillId="17" borderId="11" xfId="0" applyFont="1" applyFill="1" applyBorder="1"/>
    <xf numFmtId="167" fontId="75" fillId="18" borderId="86" xfId="0" applyFont="1" applyFill="1" applyBorder="1" applyAlignment="1">
      <alignment horizontal="center" vertical="center"/>
    </xf>
    <xf numFmtId="167" fontId="75" fillId="18" borderId="17" xfId="0" applyFont="1" applyFill="1" applyBorder="1" applyAlignment="1">
      <alignment horizontal="center" vertical="center"/>
    </xf>
    <xf numFmtId="167" fontId="75" fillId="18" borderId="17" xfId="0" applyNumberFormat="1" applyFont="1" applyFill="1" applyBorder="1" applyAlignment="1" applyProtection="1">
      <alignment horizontal="center" vertical="center"/>
    </xf>
    <xf numFmtId="167" fontId="75" fillId="18" borderId="87" xfId="0" applyFont="1" applyFill="1" applyBorder="1" applyAlignment="1">
      <alignment horizontal="center" vertical="center"/>
    </xf>
    <xf numFmtId="167" fontId="3" fillId="19" borderId="27" xfId="0" applyFont="1" applyFill="1" applyBorder="1" applyAlignment="1">
      <alignment horizontal="center" vertical="center"/>
    </xf>
    <xf numFmtId="167" fontId="4" fillId="19" borderId="0" xfId="0" applyFont="1" applyFill="1"/>
    <xf numFmtId="172" fontId="4" fillId="19" borderId="0" xfId="3" applyNumberFormat="1" applyFont="1" applyFill="1"/>
    <xf numFmtId="164" fontId="3" fillId="19" borderId="54" xfId="0" applyNumberFormat="1" applyFont="1" applyFill="1" applyBorder="1"/>
    <xf numFmtId="168" fontId="3" fillId="19" borderId="0" xfId="17" applyNumberFormat="1" applyFont="1" applyFill="1" applyBorder="1"/>
    <xf numFmtId="168" fontId="4" fillId="19" borderId="0" xfId="17" applyNumberFormat="1" applyFont="1" applyFill="1"/>
    <xf numFmtId="167" fontId="4" fillId="17" borderId="0" xfId="0" applyFont="1" applyFill="1"/>
    <xf numFmtId="167" fontId="3" fillId="17" borderId="27" xfId="0" applyFont="1" applyFill="1" applyBorder="1" applyAlignment="1">
      <alignment horizontal="center" vertical="center"/>
    </xf>
    <xf numFmtId="167" fontId="3" fillId="17" borderId="27" xfId="0" applyFont="1" applyFill="1" applyBorder="1" applyAlignment="1">
      <alignment horizontal="center" vertical="center" wrapText="1"/>
    </xf>
    <xf numFmtId="165" fontId="4" fillId="17" borderId="0" xfId="6" applyNumberFormat="1" applyFont="1" applyFill="1"/>
    <xf numFmtId="164" fontId="3" fillId="17" borderId="54" xfId="0" applyNumberFormat="1" applyFont="1" applyFill="1" applyBorder="1"/>
    <xf numFmtId="164" fontId="3" fillId="17" borderId="0" xfId="0" applyNumberFormat="1" applyFont="1" applyFill="1" applyBorder="1"/>
    <xf numFmtId="168" fontId="3" fillId="17" borderId="0" xfId="17" applyNumberFormat="1" applyFont="1" applyFill="1" applyBorder="1"/>
    <xf numFmtId="168" fontId="4" fillId="17" borderId="0" xfId="17" applyNumberFormat="1" applyFont="1" applyFill="1"/>
    <xf numFmtId="167" fontId="3" fillId="17" borderId="43" xfId="0" applyFont="1" applyFill="1" applyBorder="1" applyAlignment="1">
      <alignment horizontal="center" vertical="center" wrapText="1"/>
    </xf>
    <xf numFmtId="167" fontId="4" fillId="17" borderId="44" xfId="0" applyFont="1" applyFill="1" applyBorder="1"/>
    <xf numFmtId="172" fontId="4" fillId="17" borderId="44" xfId="3" applyNumberFormat="1" applyFont="1" applyFill="1" applyBorder="1"/>
    <xf numFmtId="172" fontId="4" fillId="17" borderId="0" xfId="3" applyNumberFormat="1" applyFont="1" applyFill="1" applyBorder="1"/>
    <xf numFmtId="172" fontId="4" fillId="17" borderId="0" xfId="3" applyNumberFormat="1" applyFont="1" applyFill="1"/>
    <xf numFmtId="164" fontId="3" fillId="17" borderId="69" xfId="0" applyNumberFormat="1" applyFont="1" applyFill="1" applyBorder="1"/>
    <xf numFmtId="168" fontId="3" fillId="17" borderId="44" xfId="17" applyNumberFormat="1" applyFont="1" applyFill="1" applyBorder="1"/>
    <xf numFmtId="168" fontId="4" fillId="17" borderId="44" xfId="17" applyNumberFormat="1" applyFont="1" applyFill="1" applyBorder="1"/>
    <xf numFmtId="179" fontId="82" fillId="0" borderId="8" xfId="18" applyFont="1" applyBorder="1"/>
    <xf numFmtId="10" fontId="77" fillId="0" borderId="8" xfId="19" applyNumberFormat="1" applyFont="1" applyBorder="1" applyAlignment="1">
      <alignment horizontal="center"/>
    </xf>
    <xf numFmtId="167" fontId="77" fillId="0" borderId="0" xfId="0" applyFont="1"/>
    <xf numFmtId="15" fontId="77" fillId="20" borderId="0" xfId="0" applyNumberFormat="1" applyFont="1" applyFill="1"/>
    <xf numFmtId="167" fontId="78" fillId="0" borderId="0" xfId="0" applyFont="1"/>
    <xf numFmtId="167" fontId="79" fillId="0" borderId="0" xfId="0" applyFont="1"/>
    <xf numFmtId="167" fontId="77" fillId="4" borderId="8" xfId="0" applyFont="1" applyFill="1" applyBorder="1" applyAlignment="1">
      <alignment horizontal="center"/>
    </xf>
    <xf numFmtId="167" fontId="77" fillId="0" borderId="0" xfId="0" applyFont="1" applyFill="1" applyBorder="1" applyAlignment="1">
      <alignment horizontal="center"/>
    </xf>
    <xf numFmtId="167" fontId="77" fillId="21" borderId="8" xfId="0" applyFont="1" applyFill="1" applyBorder="1" applyAlignment="1">
      <alignment horizontal="center"/>
    </xf>
    <xf numFmtId="10" fontId="77" fillId="21" borderId="24" xfId="0" applyNumberFormat="1" applyFont="1" applyFill="1" applyBorder="1" applyAlignment="1">
      <alignment horizontal="center"/>
    </xf>
    <xf numFmtId="167" fontId="80" fillId="0" borderId="62" xfId="0" applyFont="1" applyBorder="1" applyAlignment="1">
      <alignment horizontal="centerContinuous"/>
    </xf>
    <xf numFmtId="167" fontId="80" fillId="0" borderId="54" xfId="0" applyFont="1" applyBorder="1" applyAlignment="1">
      <alignment horizontal="centerContinuous"/>
    </xf>
    <xf numFmtId="167" fontId="80" fillId="0" borderId="55" xfId="0" applyFont="1" applyBorder="1" applyAlignment="1">
      <alignment horizontal="centerContinuous"/>
    </xf>
    <xf numFmtId="167" fontId="81" fillId="0" borderId="8" xfId="0" applyFont="1" applyBorder="1" applyAlignment="1">
      <alignment horizontal="center"/>
    </xf>
    <xf numFmtId="167" fontId="82" fillId="0" borderId="8" xfId="0" applyFont="1" applyBorder="1"/>
    <xf numFmtId="167" fontId="82" fillId="0" borderId="8" xfId="0" applyFont="1" applyBorder="1" applyAlignment="1">
      <alignment horizontal="center"/>
    </xf>
    <xf numFmtId="10" fontId="82" fillId="0" borderId="8" xfId="0" applyNumberFormat="1" applyFont="1" applyBorder="1" applyAlignment="1">
      <alignment horizontal="center"/>
    </xf>
    <xf numFmtId="10" fontId="82" fillId="0" borderId="8" xfId="0" applyNumberFormat="1" applyFont="1" applyBorder="1"/>
    <xf numFmtId="167" fontId="82" fillId="0" borderId="0" xfId="0" applyFont="1" applyBorder="1" applyAlignment="1">
      <alignment horizontal="center"/>
    </xf>
    <xf numFmtId="10" fontId="82" fillId="0" borderId="0" xfId="0" applyNumberFormat="1" applyFont="1" applyBorder="1" applyAlignment="1">
      <alignment horizontal="center"/>
    </xf>
    <xf numFmtId="167" fontId="80" fillId="0" borderId="0" xfId="0" applyFont="1" applyAlignment="1">
      <alignment horizontal="left"/>
    </xf>
    <xf numFmtId="167" fontId="77" fillId="0" borderId="0" xfId="0" applyFont="1" applyAlignment="1">
      <alignment horizontal="center"/>
    </xf>
    <xf numFmtId="167" fontId="77" fillId="0" borderId="8" xfId="0" applyFont="1" applyBorder="1"/>
    <xf numFmtId="167" fontId="77" fillId="0" borderId="8" xfId="0" applyFont="1" applyBorder="1" applyAlignment="1">
      <alignment horizontal="center"/>
    </xf>
    <xf numFmtId="10" fontId="77" fillId="0" borderId="8" xfId="0" applyNumberFormat="1" applyFont="1" applyBorder="1" applyAlignment="1">
      <alignment horizontal="center"/>
    </xf>
    <xf numFmtId="10" fontId="77" fillId="0" borderId="8" xfId="0" applyNumberFormat="1" applyFont="1" applyBorder="1"/>
    <xf numFmtId="167" fontId="83" fillId="0" borderId="0" xfId="0" applyFont="1"/>
    <xf numFmtId="167" fontId="80" fillId="0" borderId="0" xfId="0" applyFont="1"/>
    <xf numFmtId="10" fontId="77" fillId="22" borderId="8" xfId="19" applyNumberFormat="1" applyFont="1" applyFill="1" applyBorder="1" applyAlignment="1">
      <alignment horizontal="center"/>
    </xf>
    <xf numFmtId="175" fontId="2" fillId="6" borderId="0" xfId="4" applyNumberFormat="1" applyFont="1" applyFill="1" applyAlignment="1">
      <alignment horizontal="center"/>
    </xf>
    <xf numFmtId="1" fontId="16" fillId="6" borderId="0" xfId="4" applyNumberFormat="1" applyFont="1" applyFill="1" applyAlignment="1">
      <alignment horizontal="center"/>
    </xf>
    <xf numFmtId="167" fontId="3" fillId="9" borderId="0" xfId="0" applyFont="1" applyFill="1" applyAlignment="1">
      <alignment horizontal="center"/>
    </xf>
    <xf numFmtId="167" fontId="3" fillId="9" borderId="62" xfId="0" applyFont="1" applyFill="1" applyBorder="1" applyAlignment="1">
      <alignment horizontal="center"/>
    </xf>
    <xf numFmtId="167" fontId="3" fillId="9" borderId="54" xfId="0" applyFont="1" applyFill="1" applyBorder="1" applyAlignment="1">
      <alignment horizontal="center"/>
    </xf>
    <xf numFmtId="167" fontId="3" fillId="9" borderId="55" xfId="0" applyFont="1" applyFill="1" applyBorder="1" applyAlignment="1">
      <alignment horizontal="center"/>
    </xf>
    <xf numFmtId="167" fontId="3" fillId="9" borderId="23" xfId="0" applyFont="1" applyFill="1" applyBorder="1" applyAlignment="1">
      <alignment vertical="center"/>
    </xf>
    <xf numFmtId="167" fontId="3" fillId="9" borderId="24" xfId="0" applyFont="1" applyFill="1" applyBorder="1" applyAlignment="1">
      <alignment vertical="center"/>
    </xf>
    <xf numFmtId="167" fontId="55" fillId="15" borderId="52" xfId="0" applyFont="1" applyFill="1" applyBorder="1" applyAlignment="1">
      <alignment horizontal="justify" vertical="justify" wrapText="1"/>
    </xf>
    <xf numFmtId="167" fontId="55" fillId="15" borderId="71" xfId="0" applyFont="1" applyFill="1" applyBorder="1" applyAlignment="1">
      <alignment horizontal="justify" vertical="justify" wrapText="1"/>
    </xf>
    <xf numFmtId="167" fontId="55" fillId="15" borderId="72" xfId="0" applyFont="1" applyFill="1" applyBorder="1" applyAlignment="1">
      <alignment horizontal="justify" vertical="justify" wrapText="1"/>
    </xf>
    <xf numFmtId="167" fontId="59" fillId="0" borderId="0" xfId="0" applyFont="1" applyFill="1" applyAlignment="1">
      <alignment horizontal="center"/>
    </xf>
    <xf numFmtId="167" fontId="55" fillId="15" borderId="73" xfId="0" applyFont="1" applyFill="1" applyBorder="1" applyAlignment="1">
      <alignment horizontal="left" vertical="justify" wrapText="1"/>
    </xf>
    <xf numFmtId="167" fontId="55" fillId="15" borderId="0" xfId="0" applyFont="1" applyFill="1" applyAlignment="1">
      <alignment horizontal="left" vertical="center" wrapText="1"/>
    </xf>
    <xf numFmtId="172" fontId="53" fillId="16" borderId="7" xfId="3" applyNumberFormat="1" applyFont="1" applyFill="1" applyBorder="1" applyAlignment="1">
      <alignment horizontal="center" vertical="center" wrapText="1"/>
    </xf>
    <xf numFmtId="9" fontId="55" fillId="0" borderId="0" xfId="17" applyFont="1" applyAlignment="1">
      <alignment horizontal="center" vertical="center" wrapText="1"/>
    </xf>
    <xf numFmtId="167" fontId="55" fillId="15" borderId="63" xfId="0" applyFont="1" applyFill="1" applyBorder="1" applyAlignment="1">
      <alignment horizontal="center" wrapText="1"/>
    </xf>
    <xf numFmtId="167" fontId="55" fillId="15" borderId="74" xfId="0" applyFont="1" applyFill="1" applyBorder="1" applyAlignment="1">
      <alignment horizontal="center" wrapText="1"/>
    </xf>
    <xf numFmtId="167" fontId="3" fillId="3" borderId="5" xfId="0" applyNumberFormat="1" applyFont="1" applyFill="1" applyBorder="1" applyAlignment="1" applyProtection="1">
      <alignment horizontal="center" vertical="center" wrapText="1"/>
    </xf>
    <xf numFmtId="167" fontId="3" fillId="3" borderId="6" xfId="0" applyNumberFormat="1" applyFont="1" applyFill="1" applyBorder="1" applyAlignment="1" applyProtection="1">
      <alignment horizontal="center" vertical="center" wrapText="1"/>
    </xf>
    <xf numFmtId="2" fontId="74" fillId="17" borderId="0" xfId="17" applyNumberFormat="1" applyFont="1" applyFill="1" applyBorder="1" applyAlignment="1" applyProtection="1">
      <alignment horizontal="center"/>
    </xf>
    <xf numFmtId="2" fontId="74" fillId="17" borderId="89" xfId="17" applyNumberFormat="1" applyFont="1" applyFill="1" applyBorder="1" applyAlignment="1" applyProtection="1">
      <alignment horizontal="center"/>
    </xf>
    <xf numFmtId="167" fontId="76" fillId="18" borderId="86" xfId="0" applyFont="1" applyFill="1" applyBorder="1" applyAlignment="1">
      <alignment horizontal="center" vertical="center" wrapText="1"/>
    </xf>
    <xf numFmtId="167" fontId="76" fillId="18" borderId="88" xfId="0" applyFont="1" applyFill="1" applyBorder="1" applyAlignment="1">
      <alignment horizontal="center" vertical="center" wrapText="1"/>
    </xf>
    <xf numFmtId="167" fontId="76" fillId="18" borderId="87" xfId="0" applyFont="1" applyFill="1" applyBorder="1" applyAlignment="1">
      <alignment horizontal="center" vertical="center" wrapText="1"/>
    </xf>
    <xf numFmtId="167" fontId="76" fillId="18" borderId="89" xfId="0" applyFont="1" applyFill="1" applyBorder="1" applyAlignment="1">
      <alignment horizontal="center" vertical="center" wrapText="1"/>
    </xf>
    <xf numFmtId="4" fontId="4" fillId="17" borderId="88" xfId="0" applyNumberFormat="1" applyFont="1" applyFill="1" applyBorder="1" applyAlignment="1">
      <alignment horizontal="center" vertical="center" wrapText="1"/>
    </xf>
    <xf numFmtId="4" fontId="4" fillId="17" borderId="90" xfId="0" applyNumberFormat="1" applyFont="1" applyFill="1" applyBorder="1" applyAlignment="1">
      <alignment horizontal="center" vertical="center" wrapText="1"/>
    </xf>
    <xf numFmtId="4" fontId="4" fillId="17" borderId="89" xfId="0" applyNumberFormat="1" applyFont="1" applyFill="1" applyBorder="1" applyAlignment="1">
      <alignment horizontal="center" vertical="center" wrapText="1"/>
    </xf>
    <xf numFmtId="4" fontId="4" fillId="17" borderId="11" xfId="0" applyNumberFormat="1" applyFont="1" applyFill="1" applyBorder="1" applyAlignment="1">
      <alignment horizontal="center" vertical="center" wrapText="1"/>
    </xf>
    <xf numFmtId="167" fontId="3" fillId="0" borderId="70" xfId="0" applyFont="1" applyBorder="1" applyAlignment="1">
      <alignment horizontal="center"/>
    </xf>
    <xf numFmtId="167" fontId="3" fillId="0" borderId="19" xfId="0" applyFont="1" applyBorder="1" applyAlignment="1">
      <alignment horizontal="center"/>
    </xf>
    <xf numFmtId="167" fontId="3" fillId="0" borderId="64" xfId="0" applyFont="1" applyBorder="1" applyAlignment="1">
      <alignment horizontal="center"/>
    </xf>
    <xf numFmtId="167" fontId="3" fillId="0" borderId="62" xfId="0" applyFont="1" applyBorder="1" applyAlignment="1">
      <alignment horizontal="center"/>
    </xf>
    <xf numFmtId="167" fontId="3" fillId="0" borderId="54" xfId="0" applyFont="1" applyBorder="1" applyAlignment="1">
      <alignment horizontal="center"/>
    </xf>
    <xf numFmtId="167" fontId="3" fillId="0" borderId="55" xfId="0" applyFont="1" applyBorder="1" applyAlignment="1">
      <alignment horizontal="center"/>
    </xf>
    <xf numFmtId="167" fontId="41" fillId="0" borderId="0" xfId="0" applyFont="1" applyFill="1" applyAlignment="1">
      <alignment horizontal="center"/>
    </xf>
    <xf numFmtId="172" fontId="0" fillId="0" borderId="8" xfId="3" applyNumberFormat="1" applyFont="1" applyBorder="1" applyAlignment="1">
      <alignment horizontal="center"/>
    </xf>
    <xf numFmtId="167" fontId="4" fillId="0" borderId="8" xfId="10" applyBorder="1" applyAlignment="1">
      <alignment horizontal="center" vertical="center" wrapText="1"/>
    </xf>
    <xf numFmtId="167" fontId="83" fillId="0" borderId="12" xfId="0" applyFont="1" applyBorder="1" applyAlignment="1">
      <alignment horizontal="center"/>
    </xf>
    <xf numFmtId="167" fontId="0" fillId="0" borderId="12" xfId="0" applyBorder="1" applyAlignment="1">
      <alignment horizontal="center"/>
    </xf>
    <xf numFmtId="167" fontId="83" fillId="0" borderId="0" xfId="0" applyFont="1" applyAlignment="1">
      <alignment horizontal="center"/>
    </xf>
    <xf numFmtId="0" fontId="24" fillId="0" borderId="75" xfId="14" applyFont="1" applyBorder="1" applyAlignment="1">
      <alignment horizontal="left" vertical="top" wrapText="1"/>
    </xf>
    <xf numFmtId="0" fontId="24" fillId="0" borderId="0" xfId="14" applyFont="1" applyAlignment="1">
      <alignment horizontal="left" vertical="top" wrapText="1"/>
    </xf>
    <xf numFmtId="0" fontId="22" fillId="5" borderId="76" xfId="14" applyFont="1" applyFill="1" applyBorder="1" applyAlignment="1">
      <alignment horizontal="center" vertical="center" wrapText="1"/>
    </xf>
    <xf numFmtId="0" fontId="22" fillId="5" borderId="77" xfId="14" applyFont="1" applyFill="1" applyBorder="1" applyAlignment="1">
      <alignment horizontal="center" vertical="center" wrapText="1"/>
    </xf>
    <xf numFmtId="0" fontId="22" fillId="5" borderId="78" xfId="14" applyFont="1" applyFill="1" applyBorder="1" applyAlignment="1">
      <alignment horizontal="center" vertical="center" wrapText="1"/>
    </xf>
    <xf numFmtId="0" fontId="18" fillId="0" borderId="0" xfId="14" applyFont="1" applyAlignment="1">
      <alignment horizontal="left" wrapText="1"/>
    </xf>
    <xf numFmtId="0" fontId="20" fillId="0" borderId="79" xfId="14" applyFont="1" applyBorder="1" applyAlignment="1">
      <alignment horizontal="left" wrapText="1"/>
    </xf>
    <xf numFmtId="0" fontId="19" fillId="0" borderId="80" xfId="14" applyFont="1" applyBorder="1" applyAlignment="1">
      <alignment horizontal="left" vertical="top" wrapText="1"/>
    </xf>
    <xf numFmtId="0" fontId="19" fillId="0" borderId="0" xfId="12" applyFont="1" applyAlignment="1">
      <alignment horizontal="left" vertical="top" wrapText="1"/>
    </xf>
    <xf numFmtId="14" fontId="23" fillId="5" borderId="81" xfId="12" applyNumberFormat="1" applyFont="1" applyFill="1" applyBorder="1" applyAlignment="1">
      <alignment horizontal="left" vertical="center" wrapText="1"/>
    </xf>
    <xf numFmtId="14" fontId="23" fillId="5" borderId="35" xfId="12" applyNumberFormat="1" applyFont="1" applyFill="1" applyBorder="1" applyAlignment="1">
      <alignment horizontal="left" vertical="center" wrapText="1"/>
    </xf>
    <xf numFmtId="0" fontId="69" fillId="0" borderId="0" xfId="1" applyAlignment="1">
      <alignment horizontal="left" vertical="top" wrapText="1"/>
    </xf>
    <xf numFmtId="0" fontId="27" fillId="0" borderId="0" xfId="12" applyFont="1" applyAlignment="1">
      <alignment horizontal="left" vertical="top" wrapText="1"/>
    </xf>
    <xf numFmtId="0" fontId="19" fillId="5" borderId="82" xfId="12" applyFont="1" applyFill="1" applyBorder="1" applyAlignment="1">
      <alignment wrapText="1"/>
    </xf>
    <xf numFmtId="0" fontId="19" fillId="5" borderId="83" xfId="12" applyFont="1" applyFill="1" applyBorder="1" applyAlignment="1">
      <alignment wrapText="1"/>
    </xf>
    <xf numFmtId="0" fontId="22" fillId="5" borderId="76" xfId="12" applyFont="1" applyFill="1" applyBorder="1" applyAlignment="1">
      <alignment horizontal="center" vertical="top" wrapText="1"/>
    </xf>
    <xf numFmtId="0" fontId="22" fillId="5" borderId="77" xfId="12" applyFont="1" applyFill="1" applyBorder="1" applyAlignment="1">
      <alignment horizontal="center" vertical="top" wrapText="1"/>
    </xf>
    <xf numFmtId="0" fontId="22" fillId="5" borderId="78" xfId="12" applyFont="1" applyFill="1" applyBorder="1" applyAlignment="1">
      <alignment horizontal="center" vertical="top" wrapText="1"/>
    </xf>
    <xf numFmtId="0" fontId="18" fillId="0" borderId="0" xfId="12" applyFont="1" applyAlignment="1">
      <alignment horizontal="left" wrapText="1"/>
    </xf>
    <xf numFmtId="0" fontId="19" fillId="0" borderId="0" xfId="12" applyFont="1" applyAlignment="1">
      <alignment horizontal="right" wrapText="1"/>
    </xf>
    <xf numFmtId="0" fontId="25" fillId="0" borderId="79" xfId="12" applyFont="1" applyBorder="1" applyAlignment="1">
      <alignment horizontal="left" wrapText="1"/>
    </xf>
    <xf numFmtId="178" fontId="72" fillId="16" borderId="84" xfId="0" applyNumberFormat="1" applyFont="1" applyFill="1" applyBorder="1" applyAlignment="1">
      <alignment horizontal="center" vertical="center"/>
    </xf>
    <xf numFmtId="178" fontId="72" fillId="16" borderId="85" xfId="0" applyNumberFormat="1" applyFont="1" applyFill="1" applyBorder="1" applyAlignment="1">
      <alignment horizontal="center" vertical="center"/>
    </xf>
    <xf numFmtId="167" fontId="76" fillId="0" borderId="0" xfId="10" applyFont="1" applyFill="1" applyBorder="1" applyAlignment="1">
      <alignment horizontal="center"/>
    </xf>
    <xf numFmtId="169" fontId="4" fillId="0" borderId="0" xfId="10" applyNumberFormat="1" applyFill="1" applyBorder="1" applyAlignment="1">
      <alignment horizontal="center"/>
    </xf>
    <xf numFmtId="167" fontId="76" fillId="18" borderId="86" xfId="10" applyFont="1" applyFill="1" applyBorder="1" applyAlignment="1">
      <alignment horizontal="center"/>
    </xf>
    <xf numFmtId="167" fontId="76" fillId="18" borderId="17" xfId="10" applyFont="1" applyFill="1" applyBorder="1" applyAlignment="1">
      <alignment horizontal="center"/>
    </xf>
    <xf numFmtId="167" fontId="76" fillId="18" borderId="87" xfId="10" applyFont="1" applyFill="1" applyBorder="1" applyAlignment="1">
      <alignment horizontal="center"/>
    </xf>
    <xf numFmtId="169" fontId="4" fillId="0" borderId="90" xfId="10" applyNumberFormat="1" applyBorder="1" applyAlignment="1">
      <alignment horizontal="center"/>
    </xf>
    <xf numFmtId="169" fontId="4" fillId="0" borderId="12" xfId="10" applyNumberFormat="1" applyBorder="1" applyAlignment="1">
      <alignment horizontal="center"/>
    </xf>
    <xf numFmtId="169" fontId="4" fillId="0" borderId="11" xfId="10" applyNumberFormat="1" applyBorder="1" applyAlignment="1">
      <alignment horizontal="center"/>
    </xf>
    <xf numFmtId="167" fontId="62" fillId="23" borderId="53" xfId="10" applyFont="1" applyFill="1" applyBorder="1" applyAlignment="1">
      <alignment horizontal="right"/>
    </xf>
    <xf numFmtId="10" fontId="62" fillId="23" borderId="53" xfId="17" applyNumberFormat="1" applyFont="1" applyFill="1" applyBorder="1" applyAlignment="1">
      <alignment horizontal="right"/>
    </xf>
  </cellXfs>
  <cellStyles count="20">
    <cellStyle name="Hipervínculo" xfId="1" builtinId="8"/>
    <cellStyle name="Hipervínculo 2" xfId="2"/>
    <cellStyle name="Millares" xfId="3" builtinId="3"/>
    <cellStyle name="Millares 2" xfId="4"/>
    <cellStyle name="Millares 3" xfId="5"/>
    <cellStyle name="Moneda" xfId="6" builtinId="4"/>
    <cellStyle name="Moneda 2" xfId="18"/>
    <cellStyle name="Normal" xfId="0" builtinId="0"/>
    <cellStyle name="Normal 2" xfId="7"/>
    <cellStyle name="Normal 2 2" xfId="8"/>
    <cellStyle name="Normal 2 3" xfId="9"/>
    <cellStyle name="Normal 3" xfId="10"/>
    <cellStyle name="Normal 4" xfId="11"/>
    <cellStyle name="Normal 5" xfId="12"/>
    <cellStyle name="Normal 6" xfId="13"/>
    <cellStyle name="Normal 7" xfId="14"/>
    <cellStyle name="Porcentaje" xfId="17" builtinId="5"/>
    <cellStyle name="Porcentaje 2" xfId="15"/>
    <cellStyle name="Porcentaje 3" xfId="16"/>
    <cellStyle name="Porcentaje 4" xfId="19"/>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54342373769306"/>
          <c:y val="0.106945363541377"/>
          <c:w val="0.82126816854071694"/>
          <c:h val="0.71249590204135504"/>
        </c:manualLayout>
      </c:layout>
      <c:lineChart>
        <c:grouping val="stacked"/>
        <c:varyColors val="0"/>
        <c:ser>
          <c:idx val="1"/>
          <c:order val="0"/>
          <c:tx>
            <c:strRef>
              <c:f>Resultados!$A$7</c:f>
              <c:strCache>
                <c:ptCount val="1"/>
                <c:pt idx="0">
                  <c:v>Ventas Netas</c:v>
                </c:pt>
              </c:strCache>
            </c:strRef>
          </c:tx>
          <c:marker>
            <c:symbol val="none"/>
          </c:marker>
          <c:cat>
            <c:strRef>
              <c:f>Resultados!$C$5:$M$5</c:f>
              <c:strCache>
                <c:ptCount val="11"/>
                <c:pt idx="0">
                  <c:v>2009 </c:v>
                </c:pt>
                <c:pt idx="1">
                  <c:v>2010 </c:v>
                </c:pt>
                <c:pt idx="2">
                  <c:v>2011 </c:v>
                </c:pt>
                <c:pt idx="3">
                  <c:v>2012 </c:v>
                </c:pt>
                <c:pt idx="4">
                  <c:v>2013 </c:v>
                </c:pt>
                <c:pt idx="5">
                  <c:v>2014P</c:v>
                </c:pt>
                <c:pt idx="6">
                  <c:v>2015P</c:v>
                </c:pt>
                <c:pt idx="7">
                  <c:v>2016P</c:v>
                </c:pt>
                <c:pt idx="8">
                  <c:v>2017P</c:v>
                </c:pt>
                <c:pt idx="9">
                  <c:v>2018P</c:v>
                </c:pt>
                <c:pt idx="10">
                  <c:v>2019P</c:v>
                </c:pt>
              </c:strCache>
            </c:strRef>
          </c:cat>
          <c:val>
            <c:numRef>
              <c:f>Resultados!$C$7:$M$7</c:f>
              <c:numCache>
                <c:formatCode>"$"#,##0_);[Red]\("$"#,##0\)</c:formatCode>
                <c:ptCount val="11"/>
                <c:pt idx="0">
                  <c:v>82168506</c:v>
                </c:pt>
                <c:pt idx="1">
                  <c:v>92362888</c:v>
                </c:pt>
                <c:pt idx="2">
                  <c:v>109079152</c:v>
                </c:pt>
                <c:pt idx="3">
                  <c:v>133173630</c:v>
                </c:pt>
                <c:pt idx="4">
                  <c:v>188970220</c:v>
                </c:pt>
                <c:pt idx="5">
                  <c:v>222718250.63338894</c:v>
                </c:pt>
                <c:pt idx="6">
                  <c:v>246041696.33152092</c:v>
                </c:pt>
                <c:pt idx="7">
                  <c:v>269311276.07352322</c:v>
                </c:pt>
                <c:pt idx="8">
                  <c:v>294325514.03584743</c:v>
                </c:pt>
                <c:pt idx="9">
                  <c:v>294325514.03584743</c:v>
                </c:pt>
                <c:pt idx="10">
                  <c:v>294325514.03584743</c:v>
                </c:pt>
              </c:numCache>
            </c:numRef>
          </c:val>
          <c:smooth val="0"/>
        </c:ser>
        <c:ser>
          <c:idx val="2"/>
          <c:order val="1"/>
          <c:tx>
            <c:strRef>
              <c:f>Resultados!$A$8</c:f>
              <c:strCache>
                <c:ptCount val="1"/>
                <c:pt idx="0">
                  <c:v>Gasto Mercancía Vendida</c:v>
                </c:pt>
              </c:strCache>
            </c:strRef>
          </c:tx>
          <c:marker>
            <c:symbol val="none"/>
          </c:marker>
          <c:cat>
            <c:strRef>
              <c:f>Resultados!$C$5:$M$5</c:f>
              <c:strCache>
                <c:ptCount val="11"/>
                <c:pt idx="0">
                  <c:v>2009 </c:v>
                </c:pt>
                <c:pt idx="1">
                  <c:v>2010 </c:v>
                </c:pt>
                <c:pt idx="2">
                  <c:v>2011 </c:v>
                </c:pt>
                <c:pt idx="3">
                  <c:v>2012 </c:v>
                </c:pt>
                <c:pt idx="4">
                  <c:v>2013 </c:v>
                </c:pt>
                <c:pt idx="5">
                  <c:v>2014P</c:v>
                </c:pt>
                <c:pt idx="6">
                  <c:v>2015P</c:v>
                </c:pt>
                <c:pt idx="7">
                  <c:v>2016P</c:v>
                </c:pt>
                <c:pt idx="8">
                  <c:v>2017P</c:v>
                </c:pt>
                <c:pt idx="9">
                  <c:v>2018P</c:v>
                </c:pt>
                <c:pt idx="10">
                  <c:v>2019P</c:v>
                </c:pt>
              </c:strCache>
            </c:strRef>
          </c:cat>
          <c:val>
            <c:numRef>
              <c:f>Resultados!$C$8:$M$8</c:f>
              <c:numCache>
                <c:formatCode>_("$"\ * #,##0_);_("$"\ * \(#,##0\);_("$"\ * "-"??_);_(@_)</c:formatCode>
                <c:ptCount val="11"/>
                <c:pt idx="0">
                  <c:v>-56163346</c:v>
                </c:pt>
                <c:pt idx="1">
                  <c:v>-60677052</c:v>
                </c:pt>
                <c:pt idx="2">
                  <c:v>-75022004</c:v>
                </c:pt>
                <c:pt idx="3">
                  <c:v>-93013103</c:v>
                </c:pt>
                <c:pt idx="4">
                  <c:v>-129591604</c:v>
                </c:pt>
                <c:pt idx="5">
                  <c:v>-144042895.88202205</c:v>
                </c:pt>
                <c:pt idx="6">
                  <c:v>-154431162.3022891</c:v>
                </c:pt>
                <c:pt idx="7">
                  <c:v>-164195767.05144885</c:v>
                </c:pt>
                <c:pt idx="8">
                  <c:v>-179840137.81967357</c:v>
                </c:pt>
                <c:pt idx="9">
                  <c:v>-179840137.81967357</c:v>
                </c:pt>
                <c:pt idx="10">
                  <c:v>-179840137.81967357</c:v>
                </c:pt>
              </c:numCache>
            </c:numRef>
          </c:val>
          <c:smooth val="0"/>
        </c:ser>
        <c:dLbls>
          <c:showLegendKey val="0"/>
          <c:showVal val="0"/>
          <c:showCatName val="0"/>
          <c:showSerName val="0"/>
          <c:showPercent val="0"/>
          <c:showBubbleSize val="0"/>
        </c:dLbls>
        <c:marker val="1"/>
        <c:smooth val="0"/>
        <c:axId val="288812032"/>
        <c:axId val="288148288"/>
      </c:lineChart>
      <c:catAx>
        <c:axId val="288812032"/>
        <c:scaling>
          <c:orientation val="minMax"/>
        </c:scaling>
        <c:delete val="0"/>
        <c:axPos val="b"/>
        <c:numFmt formatCode="General" sourceLinked="0"/>
        <c:majorTickMark val="out"/>
        <c:minorTickMark val="none"/>
        <c:tickLblPos val="nextTo"/>
        <c:txPr>
          <a:bodyPr/>
          <a:lstStyle/>
          <a:p>
            <a:pPr>
              <a:defRPr lang="es-CO"/>
            </a:pPr>
            <a:endParaRPr lang="es-CO"/>
          </a:p>
        </c:txPr>
        <c:crossAx val="288148288"/>
        <c:crosses val="autoZero"/>
        <c:auto val="1"/>
        <c:lblAlgn val="ctr"/>
        <c:lblOffset val="100"/>
        <c:noMultiLvlLbl val="0"/>
      </c:catAx>
      <c:valAx>
        <c:axId val="288148288"/>
        <c:scaling>
          <c:orientation val="minMax"/>
        </c:scaling>
        <c:delete val="0"/>
        <c:axPos val="l"/>
        <c:majorGridlines/>
        <c:numFmt formatCode="&quot;$&quot;#,##0_);[Red]\(&quot;$&quot;#,##0\)" sourceLinked="1"/>
        <c:majorTickMark val="out"/>
        <c:minorTickMark val="none"/>
        <c:tickLblPos val="nextTo"/>
        <c:txPr>
          <a:bodyPr/>
          <a:lstStyle/>
          <a:p>
            <a:pPr>
              <a:defRPr lang="es-CO"/>
            </a:pPr>
            <a:endParaRPr lang="es-CO"/>
          </a:p>
        </c:txPr>
        <c:crossAx val="288812032"/>
        <c:crosses val="autoZero"/>
        <c:crossBetween val="between"/>
      </c:valAx>
      <c:spPr>
        <a:solidFill>
          <a:schemeClr val="bg1">
            <a:lumMod val="95000"/>
          </a:schemeClr>
        </a:solidFill>
      </c:spPr>
    </c:plotArea>
    <c:legend>
      <c:legendPos val="r"/>
      <c:layout>
        <c:manualLayout>
          <c:xMode val="edge"/>
          <c:yMode val="edge"/>
          <c:x val="0.24012675276268877"/>
          <c:y val="0.90351135185761566"/>
          <c:w val="0.51974803722976715"/>
          <c:h val="7.0175638979232277E-2"/>
        </c:manualLayout>
      </c:layout>
      <c:overlay val="0"/>
      <c:txPr>
        <a:bodyPr/>
        <a:lstStyle/>
        <a:p>
          <a:pPr>
            <a:defRPr lang="es-CO"/>
          </a:pPr>
          <a:endParaRPr lang="es-CO"/>
        </a:p>
      </c:txPr>
    </c:legend>
    <c:plotVisOnly val="1"/>
    <c:dispBlanksAs val="zero"/>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cid:ef5bd6fe3" TargetMode="External"/><Relationship Id="rId1" Type="http://schemas.openxmlformats.org/officeDocument/2006/relationships/hyperlink" Target="../../../../../../../../../../../../../../Temp/Missing_/Tasas_captacion/html/DESC_Tasas_Captacion.htm"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www.stern.nyu.edu/~adamodar/pc/datasets/indname.xls" TargetMode="External"/><Relationship Id="rId2" Type="http://schemas.openxmlformats.org/officeDocument/2006/relationships/image" Target="../media/image1.png"/><Relationship Id="rId1" Type="http://schemas.openxmlformats.org/officeDocument/2006/relationships/hyperlink" Target="http://pages.stern.nyu.edu/~adamodar/New_Home_Page/datafile/variable.htm"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76200</xdr:colOff>
      <xdr:row>94</xdr:row>
      <xdr:rowOff>142875</xdr:rowOff>
    </xdr:from>
    <xdr:to>
      <xdr:col>4</xdr:col>
      <xdr:colOff>266700</xdr:colOff>
      <xdr:row>111</xdr:row>
      <xdr:rowOff>161925</xdr:rowOff>
    </xdr:to>
    <xdr:graphicFrame macro="">
      <xdr:nvGraphicFramePr>
        <xdr:cNvPr id="27692"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304800</xdr:colOff>
      <xdr:row>1</xdr:row>
      <xdr:rowOff>142875</xdr:rowOff>
    </xdr:to>
    <xdr:pic>
      <xdr:nvPicPr>
        <xdr:cNvPr id="50177" name="Picture 1" descr="cid:ef5bd6fe3">
          <a:hlinkClick xmlns:r="http://schemas.openxmlformats.org/officeDocument/2006/relationships" r:id="rId1" tgtFrame="_blank"/>
        </xdr:cNvPr>
        <xdr:cNvPicPr>
          <a:picLocks noChangeAspect="1" noChangeArrowheads="1"/>
        </xdr:cNvPicPr>
      </xdr:nvPicPr>
      <xdr:blipFill>
        <a:blip xmlns:r="http://schemas.openxmlformats.org/officeDocument/2006/relationships" r:link="rId2"/>
        <a:srcRect/>
        <a:stretch>
          <a:fillRect/>
        </a:stretch>
      </xdr:blipFill>
      <xdr:spPr bwMode="auto">
        <a:xfrm>
          <a:off x="12477750" y="0"/>
          <a:ext cx="304800" cy="3048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685800</xdr:colOff>
      <xdr:row>10</xdr:row>
      <xdr:rowOff>19050</xdr:rowOff>
    </xdr:to>
    <xdr:pic>
      <xdr:nvPicPr>
        <xdr:cNvPr id="51201" name="Picture 1" descr="http://pages.stern.nyu.edu/~adamodar/New_Home_Page/Budimage/variable.gif">
          <a:hlinkClick xmlns:r="http://schemas.openxmlformats.org/officeDocument/2006/relationships" r:id="rId1"/>
        </xdr:cNvPr>
        <xdr:cNvPicPr>
          <a:picLocks noChangeAspect="1" noChangeArrowheads="1"/>
        </xdr:cNvPicPr>
      </xdr:nvPicPr>
      <xdr:blipFill>
        <a:blip xmlns:r="http://schemas.openxmlformats.org/officeDocument/2006/relationships" r:embed="rId2"/>
        <a:srcRect/>
        <a:stretch>
          <a:fillRect/>
        </a:stretch>
      </xdr:blipFill>
      <xdr:spPr bwMode="auto">
        <a:xfrm>
          <a:off x="0" y="1571625"/>
          <a:ext cx="685800" cy="342900"/>
        </a:xfrm>
        <a:prstGeom prst="rect">
          <a:avLst/>
        </a:prstGeom>
        <a:noFill/>
        <a:ln w="9525">
          <a:noFill/>
          <a:miter lim="800000"/>
          <a:headEnd/>
          <a:tailEnd/>
        </a:ln>
      </xdr:spPr>
    </xdr:pic>
    <xdr:clientData/>
  </xdr:twoCellAnchor>
  <xdr:twoCellAnchor editAs="oneCell">
    <xdr:from>
      <xdr:col>0</xdr:col>
      <xdr:colOff>0</xdr:colOff>
      <xdr:row>11</xdr:row>
      <xdr:rowOff>0</xdr:rowOff>
    </xdr:from>
    <xdr:to>
      <xdr:col>0</xdr:col>
      <xdr:colOff>685800</xdr:colOff>
      <xdr:row>13</xdr:row>
      <xdr:rowOff>19050</xdr:rowOff>
    </xdr:to>
    <xdr:pic>
      <xdr:nvPicPr>
        <xdr:cNvPr id="51202" name="Picture 2" descr="http://pages.stern.nyu.edu/~adamodar/New_Home_Page/Budimage/detail.gif">
          <a:hlinkClick xmlns:r="http://schemas.openxmlformats.org/officeDocument/2006/relationships" r:id="rId3"/>
        </xdr:cNvPr>
        <xdr:cNvPicPr>
          <a:picLocks noChangeAspect="1" noChangeArrowheads="1"/>
        </xdr:cNvPicPr>
      </xdr:nvPicPr>
      <xdr:blipFill>
        <a:blip xmlns:r="http://schemas.openxmlformats.org/officeDocument/2006/relationships" r:embed="rId4"/>
        <a:srcRect/>
        <a:stretch>
          <a:fillRect/>
        </a:stretch>
      </xdr:blipFill>
      <xdr:spPr bwMode="auto">
        <a:xfrm>
          <a:off x="0" y="2057400"/>
          <a:ext cx="685800" cy="3429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jandro.Furque/Documents/Alejandro%20Furque/Personales/EAFIT/MAF/Trabajo%20de%20Grado/Enka/Entregables/ENKA%20de%20Colombia%20S%20A%20V2%2013032014%20proyeccion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0013411/AppData/Local/Microsoft/Windows/Temporary%20Internet%20Files/Content.Outlook/O6GEBJ30/Modelo%20Actualizado%20Tablemac%20VF%20JM.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0013411/AppData/Local/Microsoft/Windows/Temporary%20Internet%20Files/Content.Outlook/O6GEBJ30/Modelo%20Actualizado%20Tablema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INFORMACI&#211;N%20PERSONAL/MAESTRIA%20EN%20ADMINISTRACI&#211;N%20FINANCIERA/TRABAJO%20DE%20GRADO/Modelo%20Actualizado%20Tablemac%20Versi&#243;n%2018.06.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eople.stern.nyu.edu/adamodar/pc/datasets/histretS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Resultados"/>
      <sheetName val="Returns by Year"/>
      <sheetName val="Betas"/>
      <sheetName val="proy. - ensayo"/>
      <sheetName val="WACC"/>
      <sheetName val="Indicadores"/>
      <sheetName val="Resultados%"/>
      <sheetName val="KWOp."/>
      <sheetName val="KWOp.%"/>
      <sheetName val="CapitalFijo"/>
      <sheetName val="Imptos."/>
      <sheetName val="PasivoFciero."/>
      <sheetName val="FCL"/>
      <sheetName val="AnalVr."/>
      <sheetName val="CreaciónVr."/>
      <sheetName val="Generadores"/>
      <sheetName val="Proy.Cifras"/>
      <sheetName val="Proy.WACC"/>
      <sheetName val="AnalVr.Proy."/>
      <sheetName val="Proy.FCL"/>
      <sheetName val="Valoraciones"/>
      <sheetName val="Risk"/>
      <sheetName val="Tabla Comparación"/>
      <sheetName val="VPN Cascada"/>
    </sheetNames>
    <sheetDataSet>
      <sheetData sheetId="0">
        <row r="1">
          <cell r="A1" t="str">
            <v>Compañía Modelo - EVA</v>
          </cell>
        </row>
      </sheetData>
      <sheetData sheetId="1">
        <row r="22">
          <cell r="C22">
            <v>-2358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general"/>
      <sheetName val="Estado de resultados"/>
      <sheetName val="Balance"/>
      <sheetName val="Resultados"/>
      <sheetName val="Amortización deuda "/>
      <sheetName val="Supuestos"/>
      <sheetName val="Resultados%"/>
      <sheetName val="KWOp."/>
      <sheetName val="KWOp.%"/>
      <sheetName val="CapitalFijo"/>
      <sheetName val="Imptos."/>
      <sheetName val="PasivoFciero."/>
      <sheetName val="FCL"/>
      <sheetName val="AnalVr."/>
      <sheetName val="IGBC"/>
      <sheetName val="DTF"/>
      <sheetName val="LIBOR"/>
      <sheetName val="Proy.WACC"/>
      <sheetName val="CreaciónVr."/>
      <sheetName val="Generadores"/>
      <sheetName val="Proy.Cifras"/>
      <sheetName val="AnalVr.Proy."/>
      <sheetName val="Proy.FCL"/>
      <sheetName val="Valoraciones"/>
      <sheetName val="Risk"/>
      <sheetName val="Tabla Comparación"/>
      <sheetName val="VPN Cascada"/>
      <sheetName val="Beta Damodarán"/>
      <sheetName val="Hoja1"/>
    </sheetNames>
    <sheetDataSet>
      <sheetData sheetId="0" refreshError="1"/>
      <sheetData sheetId="1" refreshError="1"/>
      <sheetData sheetId="2">
        <row r="1">
          <cell r="A1" t="str">
            <v>Compañía Modelo - EVA</v>
          </cell>
        </row>
      </sheetData>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20">
          <cell r="E20">
            <v>6.2508990681833465E-2</v>
          </cell>
        </row>
        <row r="21">
          <cell r="E21">
            <v>4.5900000000000003E-2</v>
          </cell>
        </row>
        <row r="23">
          <cell r="E23">
            <v>8.0596695179987021E-2</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Resultados"/>
      <sheetName val="Resultados%"/>
      <sheetName val="KWOp."/>
      <sheetName val="KWOp.%"/>
      <sheetName val="CapitalFijo"/>
      <sheetName val="Imptos."/>
      <sheetName val="PasivoFciero."/>
      <sheetName val="FCL"/>
      <sheetName val="AnalVr."/>
      <sheetName val="CreaciónVr."/>
      <sheetName val="Supuestos"/>
      <sheetName val="Generadores"/>
      <sheetName val="Proy.Cifras"/>
      <sheetName val="Proy.WACC"/>
      <sheetName val="AnalVr.Proy."/>
      <sheetName val="Proy.FCL"/>
      <sheetName val="Valoraciones"/>
      <sheetName val="Risk"/>
      <sheetName val="Tabla Comparación"/>
      <sheetName val="VPN Cascada"/>
    </sheetNames>
    <sheetDataSet>
      <sheetData sheetId="0" refreshError="1">
        <row r="1">
          <cell r="A1" t="str">
            <v>Compañía Modelo - EVA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general"/>
      <sheetName val="Estado de resultados"/>
      <sheetName val="Balance"/>
      <sheetName val="Resultados"/>
      <sheetName val="Supuestos"/>
      <sheetName val="Valoraciones"/>
      <sheetName val="VPN Cascada"/>
      <sheetName val="Tabla Comparación"/>
      <sheetName val="FCL"/>
      <sheetName val="AnalVr."/>
      <sheetName val="AnalVr.Proy."/>
      <sheetName val="PasivoFciero."/>
      <sheetName val="Imptos."/>
      <sheetName val="CapitalFijo"/>
      <sheetName val="Base impuesto"/>
      <sheetName val="KWOp."/>
      <sheetName val="Proy.Cifras"/>
      <sheetName val="KWOp.%"/>
      <sheetName val="Proy.WACC"/>
      <sheetName val="Conversión tasas"/>
      <sheetName val="Proy.FCL"/>
      <sheetName val="CreaciónVr."/>
      <sheetName val="Resultados%"/>
      <sheetName val="Deuda nueva"/>
      <sheetName val="Deuda actual "/>
      <sheetName val="IGBC"/>
      <sheetName val="LIBOR"/>
      <sheetName val="Generadores"/>
      <sheetName val="DTF"/>
      <sheetName val="TRM"/>
      <sheetName val="Risk"/>
      <sheetName val="Beta Damodará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34">
          <cell r="B34" t="str">
            <v>riesgo pais</v>
          </cell>
        </row>
        <row r="36">
          <cell r="B36" t="str">
            <v>rendimiento del mercado</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urns by year"/>
      <sheetName val="S&amp;P 500 &amp; Raw Data"/>
      <sheetName val="T. Bill rates"/>
      <sheetName val="T. Bond return"/>
      <sheetName val="Summary for ppt"/>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ow r="3">
          <cell r="B3">
            <v>17.66</v>
          </cell>
        </row>
        <row r="4">
          <cell r="B4">
            <v>24.35</v>
          </cell>
          <cell r="C4">
            <v>1.04705</v>
          </cell>
          <cell r="F4">
            <v>8.354708589799302E-3</v>
          </cell>
        </row>
        <row r="5">
          <cell r="B5">
            <v>21.45</v>
          </cell>
          <cell r="C5">
            <v>0.87944999999999995</v>
          </cell>
          <cell r="F5">
            <v>4.2038041563204259E-2</v>
          </cell>
        </row>
        <row r="6">
          <cell r="B6">
            <v>15.34</v>
          </cell>
          <cell r="C6">
            <v>0.72097999999999995</v>
          </cell>
          <cell r="F6">
            <v>4.5409314348970366E-2</v>
          </cell>
        </row>
        <row r="7">
          <cell r="B7">
            <v>8.1199999999999992</v>
          </cell>
          <cell r="C7">
            <v>0.49531999999999993</v>
          </cell>
          <cell r="F7">
            <v>-2.5588559619422531E-2</v>
          </cell>
        </row>
        <row r="8">
          <cell r="B8">
            <v>6.92</v>
          </cell>
          <cell r="C8">
            <v>0.49823999999999996</v>
          </cell>
          <cell r="F8">
            <v>8.7903069904773257E-2</v>
          </cell>
        </row>
        <row r="9">
          <cell r="B9">
            <v>9.9700000000000006</v>
          </cell>
          <cell r="C9">
            <v>0.40877000000000002</v>
          </cell>
          <cell r="F9">
            <v>1.8552720891857361E-2</v>
          </cell>
        </row>
        <row r="10">
          <cell r="B10">
            <v>9.5</v>
          </cell>
          <cell r="C10">
            <v>0.35149999999999998</v>
          </cell>
          <cell r="F10">
            <v>7.9634426179656104E-2</v>
          </cell>
        </row>
        <row r="11">
          <cell r="B11">
            <v>13.43</v>
          </cell>
          <cell r="C11">
            <v>0.51034000000000002</v>
          </cell>
          <cell r="F11">
            <v>4.4720477296566127E-2</v>
          </cell>
        </row>
        <row r="12">
          <cell r="B12">
            <v>17.18</v>
          </cell>
          <cell r="C12">
            <v>0.54</v>
          </cell>
          <cell r="F12">
            <v>5.0178754045450601E-2</v>
          </cell>
        </row>
        <row r="13">
          <cell r="B13">
            <v>10.55</v>
          </cell>
          <cell r="C13">
            <v>0.55915000000000004</v>
          </cell>
          <cell r="F13">
            <v>1.379146059646038E-2</v>
          </cell>
        </row>
        <row r="14">
          <cell r="B14">
            <v>13.14</v>
          </cell>
          <cell r="C14">
            <v>0.49931999999999999</v>
          </cell>
          <cell r="F14">
            <v>4.2132485322046068E-2</v>
          </cell>
        </row>
        <row r="15">
          <cell r="B15">
            <v>12.46</v>
          </cell>
          <cell r="C15">
            <v>0.53578000000000003</v>
          </cell>
          <cell r="F15">
            <v>4.4122613942060671E-2</v>
          </cell>
        </row>
        <row r="16">
          <cell r="B16">
            <v>10.58</v>
          </cell>
          <cell r="C16">
            <v>0.55015999999999998</v>
          </cell>
          <cell r="F16">
            <v>5.4024815962845509E-2</v>
          </cell>
        </row>
        <row r="17">
          <cell r="B17">
            <v>8.69</v>
          </cell>
          <cell r="C17">
            <v>0.53877999999999993</v>
          </cell>
          <cell r="F17">
            <v>-2.0221975848580105E-2</v>
          </cell>
        </row>
        <row r="18">
          <cell r="B18">
            <v>9.77</v>
          </cell>
          <cell r="C18">
            <v>0.58619999999999994</v>
          </cell>
          <cell r="F18">
            <v>2.2948682374484164E-2</v>
          </cell>
        </row>
        <row r="19">
          <cell r="B19">
            <v>11.67</v>
          </cell>
          <cell r="C19">
            <v>0.54849000000000003</v>
          </cell>
          <cell r="F19">
            <v>2.4899999999999999E-2</v>
          </cell>
        </row>
        <row r="20">
          <cell r="B20">
            <v>13.28</v>
          </cell>
          <cell r="C20">
            <v>0.61087999999999998</v>
          </cell>
          <cell r="F20">
            <v>2.5776111579070303E-2</v>
          </cell>
        </row>
        <row r="21">
          <cell r="B21">
            <v>17.36</v>
          </cell>
          <cell r="C21">
            <v>0.67703999999999998</v>
          </cell>
          <cell r="F21">
            <v>3.8044173419237229E-2</v>
          </cell>
        </row>
        <row r="22">
          <cell r="B22">
            <v>15.3</v>
          </cell>
          <cell r="C22">
            <v>0.59670000000000001</v>
          </cell>
          <cell r="F22">
            <v>3.1283745375695685E-2</v>
          </cell>
        </row>
        <row r="23">
          <cell r="B23">
            <v>15.3</v>
          </cell>
          <cell r="C23">
            <v>0.79559999999999997</v>
          </cell>
          <cell r="F23">
            <v>9.1969680628322358E-3</v>
          </cell>
        </row>
        <row r="24">
          <cell r="B24">
            <v>15.2</v>
          </cell>
          <cell r="C24">
            <v>0.9728</v>
          </cell>
          <cell r="F24">
            <v>1.9510369413175046E-2</v>
          </cell>
        </row>
        <row r="25">
          <cell r="B25">
            <v>16.79</v>
          </cell>
          <cell r="C25">
            <v>1.1920899999999999</v>
          </cell>
          <cell r="F25">
            <v>4.6634851827973139E-2</v>
          </cell>
        </row>
        <row r="26">
          <cell r="B26">
            <v>20.43</v>
          </cell>
          <cell r="C26">
            <v>1.5322499999999999</v>
          </cell>
          <cell r="F26">
            <v>4.2959574171096103E-3</v>
          </cell>
        </row>
        <row r="27">
          <cell r="B27">
            <v>23.77</v>
          </cell>
          <cell r="C27">
            <v>1.4975099999999999</v>
          </cell>
          <cell r="F27">
            <v>-2.9531392208319886E-3</v>
          </cell>
        </row>
        <row r="28">
          <cell r="B28">
            <v>26.57</v>
          </cell>
          <cell r="C28">
            <v>1.5144900000000001</v>
          </cell>
          <cell r="F28">
            <v>2.2679961918305656E-2</v>
          </cell>
        </row>
        <row r="29">
          <cell r="B29">
            <v>24.81</v>
          </cell>
          <cell r="C29">
            <v>1.4389799999999999</v>
          </cell>
          <cell r="F29">
            <v>4.1438402589088513E-2</v>
          </cell>
        </row>
        <row r="30">
          <cell r="B30">
            <v>35.979999999999997</v>
          </cell>
          <cell r="C30">
            <v>1.8709599999999997</v>
          </cell>
          <cell r="F30">
            <v>3.2898034558095555E-2</v>
          </cell>
        </row>
        <row r="31">
          <cell r="B31">
            <v>45.48</v>
          </cell>
          <cell r="C31">
            <v>2.2285200000000001</v>
          </cell>
          <cell r="F31">
            <v>-1.3364391288618781E-2</v>
          </cell>
        </row>
        <row r="32">
          <cell r="B32">
            <v>46.67</v>
          </cell>
          <cell r="C32">
            <v>2.1934900000000002</v>
          </cell>
          <cell r="F32">
            <v>-2.2557738173154165E-2</v>
          </cell>
        </row>
        <row r="33">
          <cell r="B33">
            <v>39.99</v>
          </cell>
          <cell r="C33">
            <v>1.79955</v>
          </cell>
          <cell r="F33">
            <v>6.7970128466249904E-2</v>
          </cell>
        </row>
        <row r="34">
          <cell r="B34">
            <v>55.21</v>
          </cell>
          <cell r="C34">
            <v>2.2636100000000003</v>
          </cell>
          <cell r="F34">
            <v>-2.0990181755274694E-2</v>
          </cell>
        </row>
        <row r="35">
          <cell r="B35">
            <v>59.89</v>
          </cell>
          <cell r="C35">
            <v>1.9763700000000002</v>
          </cell>
          <cell r="F35">
            <v>-2.6466312591385065E-2</v>
          </cell>
        </row>
        <row r="36">
          <cell r="B36">
            <v>58.11</v>
          </cell>
          <cell r="C36">
            <v>1.9815510000000001</v>
          </cell>
          <cell r="F36">
            <v>0.11639503690963365</v>
          </cell>
        </row>
        <row r="37">
          <cell r="B37">
            <v>71.55</v>
          </cell>
          <cell r="C37">
            <v>2.0391750000000002</v>
          </cell>
          <cell r="F37">
            <v>2.0609208076323167E-2</v>
          </cell>
        </row>
        <row r="38">
          <cell r="B38">
            <v>63.1</v>
          </cell>
          <cell r="C38">
            <v>2.1454</v>
          </cell>
          <cell r="F38">
            <v>5.693544054008462E-2</v>
          </cell>
        </row>
        <row r="39">
          <cell r="B39">
            <v>75.02</v>
          </cell>
          <cell r="C39">
            <v>2.3481260000000002</v>
          </cell>
          <cell r="F39">
            <v>1.6841620739546127E-2</v>
          </cell>
        </row>
        <row r="40">
          <cell r="B40">
            <v>84.75</v>
          </cell>
          <cell r="C40">
            <v>2.5848749999999998</v>
          </cell>
          <cell r="F40">
            <v>3.7280648911540815E-2</v>
          </cell>
        </row>
        <row r="41">
          <cell r="B41">
            <v>92.43</v>
          </cell>
          <cell r="C41">
            <v>2.8283580000000001</v>
          </cell>
          <cell r="F41">
            <v>7.1885509359262342E-3</v>
          </cell>
        </row>
        <row r="42">
          <cell r="B42">
            <v>80.33</v>
          </cell>
          <cell r="C42">
            <v>2.8838469999999998</v>
          </cell>
          <cell r="F42">
            <v>2.9079409324299622E-2</v>
          </cell>
        </row>
        <row r="43">
          <cell r="B43">
            <v>96.47</v>
          </cell>
          <cell r="C43">
            <v>2.9809230000000002</v>
          </cell>
          <cell r="F43">
            <v>-1.5806209932824666E-2</v>
          </cell>
        </row>
        <row r="44">
          <cell r="B44">
            <v>103.86</v>
          </cell>
          <cell r="C44">
            <v>3.0430980000000001</v>
          </cell>
          <cell r="F44">
            <v>3.2746196950768365E-2</v>
          </cell>
        </row>
        <row r="45">
          <cell r="B45">
            <v>92.06</v>
          </cell>
          <cell r="C45">
            <v>3.2405119999999998</v>
          </cell>
          <cell r="F45">
            <v>-5.0140493209926106E-2</v>
          </cell>
        </row>
        <row r="46">
          <cell r="B46">
            <v>92.15</v>
          </cell>
          <cell r="C46">
            <v>3.1883900000000001</v>
          </cell>
          <cell r="F46">
            <v>0.16754737183412338</v>
          </cell>
        </row>
        <row r="47">
          <cell r="B47">
            <v>102.09</v>
          </cell>
          <cell r="C47">
            <v>3.16479</v>
          </cell>
          <cell r="F47">
            <v>9.7868966197122972E-2</v>
          </cell>
        </row>
        <row r="48">
          <cell r="B48">
            <v>118.05</v>
          </cell>
          <cell r="C48">
            <v>3.1873499999999999</v>
          </cell>
          <cell r="F48">
            <v>2.818449050444969E-2</v>
          </cell>
        </row>
        <row r="49">
          <cell r="B49">
            <v>97.55</v>
          </cell>
          <cell r="C49">
            <v>3.6093500000000001</v>
          </cell>
          <cell r="F49">
            <v>3.6586646024150085E-2</v>
          </cell>
        </row>
        <row r="50">
          <cell r="B50">
            <v>68.56</v>
          </cell>
          <cell r="C50">
            <v>3.7228080000000001</v>
          </cell>
          <cell r="F50">
            <v>1.9886086932378574E-2</v>
          </cell>
        </row>
        <row r="51">
          <cell r="B51">
            <v>90.19</v>
          </cell>
          <cell r="C51">
            <v>3.7338659999999999</v>
          </cell>
          <cell r="F51">
            <v>3.6052536026033838E-2</v>
          </cell>
        </row>
        <row r="52">
          <cell r="B52">
            <v>107.46</v>
          </cell>
          <cell r="C52">
            <v>4.2231779999999999</v>
          </cell>
          <cell r="F52">
            <v>0.1598456074290921</v>
          </cell>
        </row>
        <row r="53">
          <cell r="B53">
            <v>95.1</v>
          </cell>
          <cell r="C53">
            <v>4.85961</v>
          </cell>
          <cell r="F53">
            <v>1.2899606071070449E-2</v>
          </cell>
        </row>
        <row r="54">
          <cell r="B54">
            <v>96.11</v>
          </cell>
          <cell r="C54">
            <v>5.1803290000000004</v>
          </cell>
          <cell r="F54">
            <v>-7.7758069075086478E-3</v>
          </cell>
        </row>
        <row r="55">
          <cell r="B55">
            <v>107.94</v>
          </cell>
          <cell r="C55">
            <v>5.9690820000000002</v>
          </cell>
          <cell r="F55">
            <v>6.7072031247235459E-3</v>
          </cell>
        </row>
        <row r="56">
          <cell r="B56">
            <v>135.76</v>
          </cell>
          <cell r="C56">
            <v>6.4350240000000003</v>
          </cell>
          <cell r="F56">
            <v>-2.989744251999403E-2</v>
          </cell>
        </row>
        <row r="57">
          <cell r="B57">
            <v>122.55</v>
          </cell>
          <cell r="C57">
            <v>6.8260350000000001</v>
          </cell>
          <cell r="F57">
            <v>8.1992153358923542E-2</v>
          </cell>
        </row>
        <row r="58">
          <cell r="B58">
            <v>140.63999999999999</v>
          </cell>
          <cell r="C58">
            <v>6.9335519999999997</v>
          </cell>
          <cell r="F58">
            <v>0.32814549486295586</v>
          </cell>
        </row>
        <row r="59">
          <cell r="B59">
            <v>164.93</v>
          </cell>
          <cell r="C59">
            <v>7.1249760000000002</v>
          </cell>
          <cell r="F59">
            <v>3.2002094451429264E-2</v>
          </cell>
        </row>
        <row r="60">
          <cell r="B60">
            <v>167.24</v>
          </cell>
          <cell r="C60">
            <v>7.8268319999999996</v>
          </cell>
          <cell r="F60">
            <v>0.13733364344102345</v>
          </cell>
        </row>
        <row r="61">
          <cell r="B61">
            <v>211.28</v>
          </cell>
          <cell r="C61">
            <v>8.1976639999999996</v>
          </cell>
          <cell r="F61">
            <v>0.2571248821260641</v>
          </cell>
        </row>
        <row r="62">
          <cell r="B62">
            <v>242.17</v>
          </cell>
          <cell r="C62">
            <v>8.1853459999999991</v>
          </cell>
          <cell r="F62">
            <v>0.24284215141767618</v>
          </cell>
        </row>
        <row r="63">
          <cell r="B63">
            <v>247.08</v>
          </cell>
          <cell r="C63">
            <v>9.1666679999999996</v>
          </cell>
          <cell r="F63">
            <v>-4.9605089379262279E-2</v>
          </cell>
        </row>
        <row r="64">
          <cell r="B64">
            <v>277.72000000000003</v>
          </cell>
          <cell r="C64">
            <v>10.220096</v>
          </cell>
          <cell r="F64">
            <v>8.2235958434841674E-2</v>
          </cell>
        </row>
        <row r="65">
          <cell r="B65">
            <v>353.4</v>
          </cell>
          <cell r="C65">
            <v>11.73288</v>
          </cell>
          <cell r="F65">
            <v>0.17693647159446219</v>
          </cell>
        </row>
        <row r="66">
          <cell r="B66">
            <v>330.22</v>
          </cell>
          <cell r="C66">
            <v>12.350228</v>
          </cell>
          <cell r="F66">
            <v>6.2353753335533363E-2</v>
          </cell>
        </row>
        <row r="67">
          <cell r="B67">
            <v>417.09</v>
          </cell>
          <cell r="C67">
            <v>12.971499</v>
          </cell>
          <cell r="F67">
            <v>0.15004510019517303</v>
          </cell>
        </row>
        <row r="68">
          <cell r="B68">
            <v>435.71</v>
          </cell>
          <cell r="C68">
            <v>12.635590000000001</v>
          </cell>
          <cell r="F68">
            <v>9.3616373162079422E-2</v>
          </cell>
        </row>
        <row r="69">
          <cell r="B69">
            <v>466.45</v>
          </cell>
          <cell r="C69">
            <v>12.68744</v>
          </cell>
          <cell r="F69">
            <v>0.14210957589263107</v>
          </cell>
        </row>
        <row r="70">
          <cell r="B70">
            <v>459.27</v>
          </cell>
          <cell r="C70">
            <v>13.364757000000001</v>
          </cell>
          <cell r="F70">
            <v>-8.0366555509985921E-2</v>
          </cell>
        </row>
        <row r="71">
          <cell r="B71">
            <v>615.92999999999995</v>
          </cell>
          <cell r="C71">
            <v>14.16639</v>
          </cell>
          <cell r="F71">
            <v>0.23480780112538907</v>
          </cell>
        </row>
        <row r="72">
          <cell r="B72">
            <v>740.74</v>
          </cell>
          <cell r="C72">
            <v>14.888873999999999</v>
          </cell>
          <cell r="F72">
            <v>1.428607793401844E-2</v>
          </cell>
        </row>
        <row r="73">
          <cell r="B73">
            <v>970.43</v>
          </cell>
          <cell r="C73">
            <v>15.522</v>
          </cell>
          <cell r="F73">
            <v>9.939130272977531E-2</v>
          </cell>
        </row>
        <row r="74">
          <cell r="B74">
            <v>1229.23</v>
          </cell>
          <cell r="C74">
            <v>16.2</v>
          </cell>
          <cell r="F74">
            <v>0.14921431922606215</v>
          </cell>
        </row>
        <row r="75">
          <cell r="B75">
            <v>1469.25</v>
          </cell>
          <cell r="C75">
            <v>16.709</v>
          </cell>
          <cell r="F75">
            <v>-8.2542147962685761E-2</v>
          </cell>
        </row>
        <row r="76">
          <cell r="B76">
            <v>1320.28</v>
          </cell>
          <cell r="C76">
            <v>16.27</v>
          </cell>
          <cell r="F76">
            <v>0.16655267125397488</v>
          </cell>
        </row>
        <row r="77">
          <cell r="B77">
            <v>1148.0899999999999</v>
          </cell>
          <cell r="C77">
            <v>15.74</v>
          </cell>
          <cell r="F77">
            <v>5.5721811892492555E-2</v>
          </cell>
        </row>
        <row r="78">
          <cell r="B78">
            <v>879.82</v>
          </cell>
          <cell r="C78">
            <v>16.079999999999998</v>
          </cell>
          <cell r="F78">
            <v>0.15116400378109285</v>
          </cell>
        </row>
        <row r="79">
          <cell r="B79">
            <v>1111.9100000000001</v>
          </cell>
          <cell r="C79">
            <v>17.39</v>
          </cell>
          <cell r="F79">
            <v>3.7531858817758529E-3</v>
          </cell>
        </row>
        <row r="80">
          <cell r="B80">
            <v>1211.92</v>
          </cell>
          <cell r="C80">
            <v>19.440000000000001</v>
          </cell>
          <cell r="F80">
            <v>4.490683702274547E-2</v>
          </cell>
        </row>
        <row r="81">
          <cell r="B81">
            <v>1248.29</v>
          </cell>
          <cell r="C81">
            <v>22.22</v>
          </cell>
          <cell r="F81">
            <v>2.8675329597779506E-2</v>
          </cell>
        </row>
        <row r="82">
          <cell r="B82">
            <v>1418.3</v>
          </cell>
          <cell r="C82">
            <v>24.88</v>
          </cell>
          <cell r="F82">
            <v>1.9610012417568386E-2</v>
          </cell>
        </row>
        <row r="83">
          <cell r="B83">
            <v>1468.36</v>
          </cell>
          <cell r="C83">
            <v>27.73</v>
          </cell>
          <cell r="F83">
            <v>0.10209921930012807</v>
          </cell>
        </row>
        <row r="84">
          <cell r="B84">
            <v>903.25</v>
          </cell>
          <cell r="C84">
            <v>28.39</v>
          </cell>
          <cell r="F84">
            <v>0.20101279926977011</v>
          </cell>
        </row>
        <row r="85">
          <cell r="B85">
            <v>1115.0999999999999</v>
          </cell>
          <cell r="C85">
            <v>22.41</v>
          </cell>
          <cell r="F85">
            <v>-0.11116695313259162</v>
          </cell>
        </row>
        <row r="86">
          <cell r="B86">
            <v>1257.6400000000001</v>
          </cell>
          <cell r="C86">
            <v>22.73</v>
          </cell>
          <cell r="F86">
            <v>8.4629338803557719E-2</v>
          </cell>
        </row>
        <row r="87">
          <cell r="B87">
            <v>1257.5999999999999</v>
          </cell>
          <cell r="C87">
            <v>26.43</v>
          </cell>
          <cell r="F87">
            <v>0.16035334999461354</v>
          </cell>
        </row>
        <row r="88">
          <cell r="B88">
            <v>1426.19</v>
          </cell>
          <cell r="C88">
            <v>31.25</v>
          </cell>
          <cell r="F88">
            <v>2.971571978018946E-2</v>
          </cell>
        </row>
        <row r="89">
          <cell r="B89">
            <v>1848.36</v>
          </cell>
          <cell r="C89">
            <v>36.28</v>
          </cell>
          <cell r="F89">
            <v>-9.104568794347262E-2</v>
          </cell>
        </row>
      </sheetData>
      <sheetData sheetId="2">
        <row r="13">
          <cell r="G13">
            <v>3.225E-3</v>
          </cell>
        </row>
        <row r="14">
          <cell r="G14">
            <v>1.7499999999999998E-3</v>
          </cell>
        </row>
        <row r="15">
          <cell r="G15">
            <v>1.7000000000000001E-3</v>
          </cell>
        </row>
        <row r="16">
          <cell r="G16">
            <v>3.0250000000000003E-3</v>
          </cell>
        </row>
        <row r="17">
          <cell r="G17">
            <v>7.7499999999999997E-4</v>
          </cell>
        </row>
        <row r="18">
          <cell r="G18">
            <v>3.7500000000000006E-4</v>
          </cell>
        </row>
        <row r="19">
          <cell r="G19">
            <v>2.5000000000000001E-4</v>
          </cell>
        </row>
        <row r="20">
          <cell r="G20">
            <v>8.2499999999999989E-4</v>
          </cell>
        </row>
        <row r="21">
          <cell r="G21">
            <v>3.3750000000000004E-3</v>
          </cell>
        </row>
        <row r="22">
          <cell r="G22">
            <v>3.8E-3</v>
          </cell>
        </row>
        <row r="23">
          <cell r="G23">
            <v>3.8E-3</v>
          </cell>
        </row>
        <row r="24">
          <cell r="G24">
            <v>3.8E-3</v>
          </cell>
        </row>
        <row r="25">
          <cell r="G25">
            <v>3.8E-3</v>
          </cell>
        </row>
        <row r="26">
          <cell r="G26">
            <v>5.6750000000000004E-3</v>
          </cell>
        </row>
        <row r="27">
          <cell r="G27">
            <v>1.0225E-2</v>
          </cell>
        </row>
        <row r="28">
          <cell r="G28">
            <v>1.1025E-2</v>
          </cell>
        </row>
        <row r="29">
          <cell r="G29">
            <v>1.1724999999999999E-2</v>
          </cell>
        </row>
        <row r="30">
          <cell r="G30">
            <v>1.4775E-2</v>
          </cell>
        </row>
        <row r="31">
          <cell r="G31">
            <v>1.6725E-2</v>
          </cell>
        </row>
        <row r="32">
          <cell r="G32">
            <v>1.8925000000000001E-2</v>
          </cell>
        </row>
        <row r="33">
          <cell r="G33">
            <v>9.6249999999999999E-3</v>
          </cell>
        </row>
        <row r="34">
          <cell r="G34">
            <v>1.66E-2</v>
          </cell>
        </row>
        <row r="35">
          <cell r="G35">
            <v>2.5550000000000003E-2</v>
          </cell>
        </row>
        <row r="36">
          <cell r="G36">
            <v>3.2300000000000002E-2</v>
          </cell>
        </row>
        <row r="37">
          <cell r="G37">
            <v>1.7774999999999999E-2</v>
          </cell>
        </row>
        <row r="38">
          <cell r="G38">
            <v>3.2549999999999996E-2</v>
          </cell>
        </row>
        <row r="39">
          <cell r="G39">
            <v>3.0449999999999998E-2</v>
          </cell>
        </row>
        <row r="40">
          <cell r="G40">
            <v>2.2675000000000001E-2</v>
          </cell>
        </row>
        <row r="41">
          <cell r="G41">
            <v>2.7775000000000005E-2</v>
          </cell>
        </row>
        <row r="42">
          <cell r="G42">
            <v>3.1100000000000003E-2</v>
          </cell>
        </row>
        <row r="43">
          <cell r="G43">
            <v>3.5049999999999998E-2</v>
          </cell>
        </row>
        <row r="44">
          <cell r="G44">
            <v>3.9024999999999997E-2</v>
          </cell>
        </row>
        <row r="45">
          <cell r="G45">
            <v>4.8399999999999999E-2</v>
          </cell>
        </row>
        <row r="46">
          <cell r="G46">
            <v>4.3324999999999995E-2</v>
          </cell>
        </row>
        <row r="47">
          <cell r="G47">
            <v>5.2600000000000001E-2</v>
          </cell>
        </row>
        <row r="48">
          <cell r="G48">
            <v>6.5625000000000003E-2</v>
          </cell>
        </row>
        <row r="49">
          <cell r="G49">
            <v>6.6849999999999993E-2</v>
          </cell>
        </row>
        <row r="50">
          <cell r="G50">
            <v>4.5400000000000003E-2</v>
          </cell>
        </row>
        <row r="51">
          <cell r="G51">
            <v>3.9525000000000005E-2</v>
          </cell>
        </row>
        <row r="52">
          <cell r="G52">
            <v>6.724999999999999E-2</v>
          </cell>
        </row>
        <row r="53">
          <cell r="G53">
            <v>7.7775000000000011E-2</v>
          </cell>
        </row>
        <row r="54">
          <cell r="G54">
            <v>5.9900000000000002E-2</v>
          </cell>
        </row>
        <row r="55">
          <cell r="G55">
            <v>4.9700000000000008E-2</v>
          </cell>
        </row>
        <row r="56">
          <cell r="G56">
            <v>5.1275000000000001E-2</v>
          </cell>
        </row>
        <row r="57">
          <cell r="G57">
            <v>6.9325000000000012E-2</v>
          </cell>
        </row>
        <row r="58">
          <cell r="G58">
            <v>9.9375000000000005E-2</v>
          </cell>
        </row>
        <row r="59">
          <cell r="G59">
            <v>0.11219999999999999</v>
          </cell>
        </row>
        <row r="60">
          <cell r="G60">
            <v>0.14299999999999999</v>
          </cell>
        </row>
        <row r="61">
          <cell r="G61">
            <v>0.1101</v>
          </cell>
        </row>
        <row r="62">
          <cell r="G62">
            <v>8.4474999999999995E-2</v>
          </cell>
        </row>
        <row r="63">
          <cell r="G63">
            <v>9.6125000000000002E-2</v>
          </cell>
        </row>
        <row r="64">
          <cell r="G64">
            <v>7.4874999999999997E-2</v>
          </cell>
        </row>
        <row r="65">
          <cell r="G65">
            <v>6.0350000000000001E-2</v>
          </cell>
        </row>
        <row r="66">
          <cell r="G66">
            <v>5.7224999999999998E-2</v>
          </cell>
        </row>
        <row r="67">
          <cell r="G67">
            <v>6.4499999999999988E-2</v>
          </cell>
        </row>
        <row r="68">
          <cell r="G68">
            <v>8.1099999999999992E-2</v>
          </cell>
        </row>
        <row r="69">
          <cell r="G69">
            <v>7.5500000000000012E-2</v>
          </cell>
        </row>
        <row r="70">
          <cell r="G70">
            <v>5.6100000000000011E-2</v>
          </cell>
        </row>
        <row r="71">
          <cell r="G71">
            <v>3.4049999999999997E-2</v>
          </cell>
        </row>
        <row r="72">
          <cell r="G72">
            <v>2.9825000000000001E-2</v>
          </cell>
        </row>
        <row r="73">
          <cell r="G73">
            <v>3.9850000000000003E-2</v>
          </cell>
        </row>
        <row r="74">
          <cell r="G74">
            <v>5.5150000000000005E-2</v>
          </cell>
        </row>
        <row r="75">
          <cell r="G75">
            <v>5.0224999999999999E-2</v>
          </cell>
        </row>
        <row r="76">
          <cell r="G76">
            <v>5.0525E-2</v>
          </cell>
        </row>
        <row r="77">
          <cell r="G77">
            <v>4.7274999999999998E-2</v>
          </cell>
        </row>
        <row r="78">
          <cell r="G78">
            <v>4.5100000000000001E-2</v>
          </cell>
        </row>
        <row r="79">
          <cell r="G79">
            <v>5.7625000000000003E-2</v>
          </cell>
        </row>
        <row r="80">
          <cell r="G80">
            <v>3.6725000000000001E-2</v>
          </cell>
        </row>
        <row r="81">
          <cell r="G81">
            <v>1.6574999999999999E-2</v>
          </cell>
        </row>
        <row r="82">
          <cell r="G82">
            <v>1.03E-2</v>
          </cell>
        </row>
        <row r="83">
          <cell r="G83">
            <v>1.2275000000000001E-2</v>
          </cell>
        </row>
        <row r="84">
          <cell r="G84">
            <v>3.0099999999999998E-2</v>
          </cell>
        </row>
        <row r="85">
          <cell r="G85">
            <v>4.6775000000000004E-2</v>
          </cell>
        </row>
        <row r="86">
          <cell r="G86">
            <v>4.6425000000000001E-2</v>
          </cell>
        </row>
        <row r="87">
          <cell r="G87">
            <v>1.585E-2</v>
          </cell>
        </row>
        <row r="88">
          <cell r="G88">
            <v>1.3500000000000001E-3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2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6.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superfinanciera.gov.co/"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1" Type="http://schemas.openxmlformats.org/officeDocument/2006/relationships/hyperlink" Target="https://www.grupoaval.com/wps/portal/grupo-aval/bienvenido/portal-financiero-web/"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stern.nyu.edu/~adamodar/pc/datasets/indname.xls" TargetMode="External"/><Relationship Id="rId2" Type="http://schemas.openxmlformats.org/officeDocument/2006/relationships/hyperlink" Target="http://pages.stern.nyu.edu/~adamodar/New_Home_Page/datafile/variable.htm" TargetMode="External"/><Relationship Id="rId1" Type="http://schemas.openxmlformats.org/officeDocument/2006/relationships/hyperlink" Target="http://www.stern.nyu.edu/~adamodar/pc/datasets/betas.xl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7"/>
  <sheetViews>
    <sheetView showGridLines="0" topLeftCell="A2" workbookViewId="0">
      <pane xSplit="4" ySplit="5" topLeftCell="E37" activePane="bottomRight" state="frozen"/>
      <selection activeCell="A2" sqref="A2"/>
      <selection pane="topRight" activeCell="E2" sqref="E2"/>
      <selection pane="bottomLeft" activeCell="A7" sqref="A7"/>
      <selection pane="bottomRight" activeCell="B52" sqref="B52"/>
    </sheetView>
  </sheetViews>
  <sheetFormatPr baseColWidth="10" defaultColWidth="10.6640625" defaultRowHeight="15"/>
  <cols>
    <col min="1" max="1" width="10.6640625" style="97" customWidth="1"/>
    <col min="2" max="2" width="31.33203125" style="97" customWidth="1"/>
    <col min="3" max="3" width="2.5546875" style="97" customWidth="1"/>
    <col min="4" max="4" width="2.109375" style="97" customWidth="1"/>
    <col min="5" max="6" width="9.6640625" style="97" customWidth="1"/>
    <col min="7" max="8" width="11" style="97" customWidth="1"/>
    <col min="9" max="9" width="11" style="97" bestFit="1" customWidth="1"/>
    <col min="10" max="10" width="2.6640625" style="98" customWidth="1"/>
    <col min="11" max="12" width="9.6640625" style="97" bestFit="1" customWidth="1"/>
    <col min="13" max="13" width="2.6640625" style="97" customWidth="1"/>
    <col min="14" max="14" width="10.6640625" style="97" customWidth="1"/>
    <col min="15" max="15" width="9.5546875" style="97" bestFit="1" customWidth="1"/>
    <col min="16" max="16384" width="10.6640625" style="97"/>
  </cols>
  <sheetData>
    <row r="2" spans="2:15" ht="18.75">
      <c r="B2" s="96" t="s">
        <v>869</v>
      </c>
    </row>
    <row r="3" spans="2:15">
      <c r="B3" s="97" t="s">
        <v>870</v>
      </c>
    </row>
    <row r="4" spans="2:15">
      <c r="B4" s="99"/>
      <c r="C4" s="99"/>
      <c r="D4" s="99"/>
      <c r="E4" s="644" t="s">
        <v>871</v>
      </c>
      <c r="F4" s="644"/>
      <c r="G4" s="644"/>
      <c r="H4" s="644"/>
      <c r="I4" s="644"/>
      <c r="K4" s="645" t="s">
        <v>872</v>
      </c>
      <c r="L4" s="645"/>
      <c r="M4" s="98"/>
      <c r="N4" s="645" t="s">
        <v>873</v>
      </c>
      <c r="O4" s="645"/>
    </row>
    <row r="5" spans="2:15">
      <c r="B5" s="100" t="s">
        <v>874</v>
      </c>
      <c r="C5" s="100"/>
      <c r="D5" s="101" t="s">
        <v>875</v>
      </c>
      <c r="E5" s="102">
        <v>2009</v>
      </c>
      <c r="F5" s="102">
        <v>2010</v>
      </c>
      <c r="G5" s="102">
        <v>2011</v>
      </c>
      <c r="H5" s="102">
        <v>2012</v>
      </c>
      <c r="I5" s="102">
        <v>2013</v>
      </c>
      <c r="K5" s="102">
        <v>2012</v>
      </c>
      <c r="L5" s="102">
        <v>2013</v>
      </c>
      <c r="M5" s="98"/>
      <c r="N5" s="102">
        <v>2012</v>
      </c>
      <c r="O5" s="102">
        <v>2013</v>
      </c>
    </row>
    <row r="6" spans="2:15">
      <c r="B6" s="103" t="s">
        <v>876</v>
      </c>
      <c r="C6" s="103"/>
      <c r="D6" s="104"/>
      <c r="E6" s="104"/>
      <c r="F6" s="104"/>
      <c r="G6" s="104"/>
      <c r="H6" s="104"/>
      <c r="I6" s="104"/>
    </row>
    <row r="7" spans="2:15">
      <c r="B7" s="97" t="s">
        <v>877</v>
      </c>
      <c r="E7" s="97">
        <f>85943+11008728</f>
        <v>11094671</v>
      </c>
      <c r="F7" s="97">
        <f>377118+1651310</f>
        <v>2028428</v>
      </c>
      <c r="G7" s="97">
        <v>572128</v>
      </c>
      <c r="H7" s="97">
        <f>4353682+18048947</f>
        <v>22402629</v>
      </c>
      <c r="I7" s="97">
        <f>2633707+282089</f>
        <v>2915796</v>
      </c>
      <c r="K7" s="97">
        <v>21568863</v>
      </c>
      <c r="L7" s="97">
        <v>646168</v>
      </c>
    </row>
    <row r="8" spans="2:15">
      <c r="B8" s="97" t="s">
        <v>878</v>
      </c>
      <c r="E8" s="97">
        <v>13447568</v>
      </c>
      <c r="F8" s="97">
        <v>14358853</v>
      </c>
      <c r="G8" s="97">
        <v>18146320</v>
      </c>
      <c r="H8" s="97">
        <v>24255252</v>
      </c>
      <c r="I8" s="97">
        <v>31616780</v>
      </c>
      <c r="K8" s="97">
        <v>19036842</v>
      </c>
      <c r="L8" s="97">
        <v>19039358</v>
      </c>
    </row>
    <row r="9" spans="2:15">
      <c r="B9" s="97" t="s">
        <v>879</v>
      </c>
      <c r="E9" s="97">
        <v>0</v>
      </c>
      <c r="F9" s="97">
        <v>17199771</v>
      </c>
      <c r="G9" s="97">
        <v>0</v>
      </c>
      <c r="H9" s="97">
        <v>0</v>
      </c>
      <c r="K9" s="97">
        <v>7385201</v>
      </c>
      <c r="L9" s="97">
        <v>27185452</v>
      </c>
    </row>
    <row r="10" spans="2:15">
      <c r="B10" s="105" t="s">
        <v>880</v>
      </c>
      <c r="E10" s="97">
        <v>0</v>
      </c>
      <c r="F10" s="97">
        <v>0</v>
      </c>
      <c r="G10" s="97">
        <v>0</v>
      </c>
      <c r="H10" s="97">
        <v>0</v>
      </c>
      <c r="I10" s="97">
        <v>2503378</v>
      </c>
      <c r="L10" s="97">
        <v>2503378</v>
      </c>
    </row>
    <row r="11" spans="2:15">
      <c r="B11" s="97" t="s">
        <v>881</v>
      </c>
      <c r="E11" s="97">
        <v>18068410</v>
      </c>
      <c r="F11" s="97">
        <v>20268504</v>
      </c>
      <c r="G11" s="97">
        <v>26430760</v>
      </c>
      <c r="H11" s="97">
        <v>34016902</v>
      </c>
      <c r="I11" s="97">
        <v>41050830</v>
      </c>
      <c r="K11" s="97">
        <v>25699669</v>
      </c>
      <c r="L11" s="97">
        <v>28424414</v>
      </c>
    </row>
    <row r="12" spans="2:15">
      <c r="B12" s="97" t="s">
        <v>882</v>
      </c>
      <c r="E12" s="106">
        <v>281145</v>
      </c>
      <c r="F12" s="106">
        <v>282098</v>
      </c>
      <c r="G12" s="106">
        <v>213553</v>
      </c>
      <c r="H12" s="106">
        <v>369730</v>
      </c>
      <c r="I12" s="106">
        <v>510756</v>
      </c>
      <c r="K12" s="97">
        <v>281355</v>
      </c>
      <c r="L12" s="97">
        <v>336781</v>
      </c>
    </row>
    <row r="13" spans="2:15">
      <c r="B13" s="97" t="s">
        <v>883</v>
      </c>
      <c r="E13" s="97">
        <f>+SUM(E7:E12)</f>
        <v>42891794</v>
      </c>
      <c r="F13" s="97">
        <f>+SUM(F7:F12)</f>
        <v>54137654</v>
      </c>
      <c r="G13" s="97">
        <f>+SUM(G7:G12)</f>
        <v>45362761</v>
      </c>
      <c r="H13" s="97">
        <f>+SUM(H7:H12)</f>
        <v>81044513</v>
      </c>
      <c r="I13" s="97">
        <f>+SUM(I7:I12)</f>
        <v>78597540</v>
      </c>
      <c r="K13" s="107">
        <f>+SUM(K7:K12)</f>
        <v>73971930</v>
      </c>
      <c r="L13" s="107">
        <f>+SUM(L7:L12)</f>
        <v>78135551</v>
      </c>
      <c r="N13" s="107"/>
      <c r="O13" s="107"/>
    </row>
    <row r="14" spans="2:15">
      <c r="B14" s="103" t="s">
        <v>884</v>
      </c>
      <c r="C14" s="104"/>
      <c r="D14" s="104"/>
      <c r="E14" s="104"/>
      <c r="F14" s="104"/>
      <c r="G14" s="104"/>
      <c r="H14" s="104"/>
      <c r="I14" s="104"/>
    </row>
    <row r="15" spans="2:15">
      <c r="B15" s="97" t="s">
        <v>878</v>
      </c>
      <c r="E15" s="97">
        <v>110137</v>
      </c>
      <c r="F15" s="523">
        <v>101902</v>
      </c>
      <c r="G15" s="97">
        <v>192909</v>
      </c>
      <c r="H15" s="97">
        <v>0</v>
      </c>
      <c r="I15" s="97">
        <v>0</v>
      </c>
    </row>
    <row r="16" spans="2:15">
      <c r="B16" s="97" t="s">
        <v>879</v>
      </c>
      <c r="E16" s="97">
        <v>0</v>
      </c>
      <c r="F16" s="523">
        <v>23134098</v>
      </c>
      <c r="G16" s="97">
        <v>2894219</v>
      </c>
      <c r="H16" s="97">
        <v>0</v>
      </c>
      <c r="I16" s="97">
        <v>0</v>
      </c>
      <c r="K16" s="97">
        <v>4206924</v>
      </c>
      <c r="L16" s="97">
        <v>10106654</v>
      </c>
    </row>
    <row r="17" spans="2:15">
      <c r="B17" s="97" t="s">
        <v>885</v>
      </c>
      <c r="E17" s="97">
        <v>10183</v>
      </c>
      <c r="F17" s="97">
        <v>2970183</v>
      </c>
      <c r="G17" s="97">
        <v>52480323</v>
      </c>
      <c r="H17" s="97">
        <v>10182</v>
      </c>
      <c r="I17" s="108">
        <v>10182</v>
      </c>
      <c r="K17" s="97">
        <v>78962593</v>
      </c>
      <c r="L17" s="97">
        <v>121214162</v>
      </c>
    </row>
    <row r="18" spans="2:15">
      <c r="B18" s="97" t="s">
        <v>886</v>
      </c>
      <c r="E18" s="97">
        <v>6156610</v>
      </c>
      <c r="F18" s="97">
        <v>6304439</v>
      </c>
      <c r="G18" s="97">
        <v>8143952</v>
      </c>
      <c r="H18" s="97">
        <v>12431744</v>
      </c>
      <c r="I18" s="108">
        <v>17500532</v>
      </c>
      <c r="J18" s="97"/>
      <c r="K18" s="97">
        <v>12431744</v>
      </c>
      <c r="L18" s="97">
        <v>17500532</v>
      </c>
    </row>
    <row r="19" spans="2:15">
      <c r="B19" s="97" t="s">
        <v>887</v>
      </c>
      <c r="E19" s="97">
        <v>69896163</v>
      </c>
      <c r="F19" s="97">
        <v>66522538</v>
      </c>
      <c r="G19" s="97">
        <v>59961685</v>
      </c>
      <c r="H19" s="97">
        <v>184335931</v>
      </c>
      <c r="I19" s="108">
        <v>180509971</v>
      </c>
      <c r="J19" s="97"/>
      <c r="K19" s="97">
        <v>49649169</v>
      </c>
      <c r="L19" s="97">
        <v>46369303</v>
      </c>
    </row>
    <row r="20" spans="2:15">
      <c r="B20" s="97" t="s">
        <v>888</v>
      </c>
      <c r="E20" s="97">
        <v>31888</v>
      </c>
      <c r="F20" s="97">
        <v>31888</v>
      </c>
      <c r="G20" s="97">
        <v>31888</v>
      </c>
      <c r="H20" s="97">
        <v>0</v>
      </c>
      <c r="I20" s="108">
        <v>0</v>
      </c>
    </row>
    <row r="21" spans="2:15">
      <c r="B21" s="97" t="s">
        <v>889</v>
      </c>
      <c r="E21" s="97">
        <v>1654935</v>
      </c>
      <c r="F21" s="97">
        <v>1280377</v>
      </c>
      <c r="G21" s="97">
        <v>1278402</v>
      </c>
      <c r="H21" s="97">
        <v>14375261</v>
      </c>
      <c r="I21" s="108">
        <v>12712649</v>
      </c>
      <c r="K21" s="97">
        <v>927505</v>
      </c>
      <c r="L21" s="97">
        <v>707295</v>
      </c>
    </row>
    <row r="22" spans="2:15">
      <c r="B22" s="97" t="s">
        <v>890</v>
      </c>
      <c r="E22" s="97">
        <v>2073268</v>
      </c>
      <c r="F22" s="97">
        <v>8357456</v>
      </c>
      <c r="G22" s="97">
        <v>7481747</v>
      </c>
      <c r="H22" s="97">
        <v>1808016</v>
      </c>
      <c r="I22" s="108">
        <v>1805099</v>
      </c>
      <c r="K22" s="97">
        <v>7271893</v>
      </c>
      <c r="L22" s="97">
        <v>1711772</v>
      </c>
    </row>
    <row r="23" spans="2:15">
      <c r="B23" s="97" t="s">
        <v>891</v>
      </c>
      <c r="E23" s="97">
        <v>51388733</v>
      </c>
      <c r="F23" s="97">
        <v>51388265</v>
      </c>
      <c r="G23" s="97">
        <v>67627264</v>
      </c>
      <c r="H23" s="97">
        <v>67629800</v>
      </c>
      <c r="I23" s="108">
        <v>109979942</v>
      </c>
      <c r="K23" s="97">
        <v>67629800</v>
      </c>
      <c r="L23" s="97">
        <v>109979942</v>
      </c>
    </row>
    <row r="24" spans="2:15">
      <c r="B24" s="97" t="s">
        <v>892</v>
      </c>
      <c r="E24" s="107">
        <f>+SUM(E15:E23)</f>
        <v>131321917</v>
      </c>
      <c r="F24" s="107">
        <f>+SUM(F15:F23)</f>
        <v>160091146</v>
      </c>
      <c r="G24" s="107">
        <f>+SUM(G15:G23)</f>
        <v>200092389</v>
      </c>
      <c r="H24" s="107">
        <f>+SUM(H15:H23)</f>
        <v>280590934</v>
      </c>
      <c r="I24" s="107">
        <f>+SUM(I15:I23)</f>
        <v>322518375</v>
      </c>
      <c r="K24" s="107">
        <f>+SUM(K15:K23)</f>
        <v>221079628</v>
      </c>
      <c r="L24" s="107">
        <f>+SUM(L15:L23)</f>
        <v>307589660</v>
      </c>
      <c r="N24" s="107">
        <f>+SUM(N15:N23)</f>
        <v>0</v>
      </c>
      <c r="O24" s="107">
        <f>+SUM(O15:O23)</f>
        <v>0</v>
      </c>
    </row>
    <row r="25" spans="2:15" ht="15.75" thickBot="1">
      <c r="B25" s="100" t="s">
        <v>893</v>
      </c>
      <c r="C25" s="99"/>
      <c r="D25" s="99"/>
      <c r="E25" s="109">
        <f>+E24+E13</f>
        <v>174213711</v>
      </c>
      <c r="F25" s="109">
        <f>+F24+F13</f>
        <v>214228800</v>
      </c>
      <c r="G25" s="109">
        <f>+G24+G13</f>
        <v>245455150</v>
      </c>
      <c r="H25" s="109">
        <f>+H24+H13</f>
        <v>361635447</v>
      </c>
      <c r="I25" s="109">
        <f>+I24+I13</f>
        <v>401115915</v>
      </c>
      <c r="K25" s="109">
        <f>+K24+K13</f>
        <v>295051558</v>
      </c>
      <c r="L25" s="109">
        <f>+L24+L13</f>
        <v>385725211</v>
      </c>
      <c r="N25" s="109">
        <f>+N24+N13</f>
        <v>0</v>
      </c>
      <c r="O25" s="109">
        <f>+O24+O13</f>
        <v>0</v>
      </c>
    </row>
    <row r="26" spans="2:15" ht="18.75" customHeight="1" thickTop="1">
      <c r="B26" s="110" t="s">
        <v>894</v>
      </c>
    </row>
    <row r="27" spans="2:15">
      <c r="B27" s="103" t="s">
        <v>895</v>
      </c>
      <c r="C27" s="104"/>
      <c r="D27" s="104"/>
      <c r="E27" s="104"/>
      <c r="F27" s="104"/>
      <c r="G27" s="104"/>
      <c r="H27" s="104"/>
      <c r="I27" s="104"/>
      <c r="K27" s="108"/>
    </row>
    <row r="28" spans="2:15">
      <c r="B28" s="97" t="s">
        <v>896</v>
      </c>
      <c r="E28" s="97">
        <v>122138</v>
      </c>
      <c r="F28" s="97">
        <v>28796818</v>
      </c>
      <c r="G28" s="97">
        <v>4197411</v>
      </c>
      <c r="H28" s="108">
        <v>7145302</v>
      </c>
      <c r="I28" s="108">
        <v>12597570</v>
      </c>
      <c r="J28" s="111"/>
      <c r="K28" s="108">
        <v>76631</v>
      </c>
      <c r="L28" s="97">
        <v>9726347</v>
      </c>
    </row>
    <row r="29" spans="2:15">
      <c r="B29" s="97" t="s">
        <v>897</v>
      </c>
      <c r="E29" s="97">
        <v>2241868</v>
      </c>
      <c r="F29" s="97">
        <v>8247486</v>
      </c>
      <c r="G29" s="97">
        <v>8194305</v>
      </c>
      <c r="H29" s="108">
        <v>7354140</v>
      </c>
      <c r="I29" s="108">
        <v>11898726</v>
      </c>
      <c r="J29" s="111"/>
      <c r="K29" s="108">
        <v>5922147</v>
      </c>
      <c r="L29" s="97">
        <v>10046444</v>
      </c>
    </row>
    <row r="30" spans="2:15">
      <c r="B30" s="97" t="s">
        <v>898</v>
      </c>
      <c r="E30" s="97">
        <v>3864416</v>
      </c>
      <c r="F30" s="97">
        <v>6364084</v>
      </c>
      <c r="G30" s="97">
        <v>8263067</v>
      </c>
      <c r="H30" s="112">
        <v>8244029</v>
      </c>
      <c r="I30" s="112">
        <v>9083475</v>
      </c>
      <c r="J30" s="113"/>
      <c r="K30" s="108">
        <v>5803682</v>
      </c>
      <c r="L30" s="108">
        <v>6709985</v>
      </c>
      <c r="M30" s="108"/>
    </row>
    <row r="31" spans="2:15">
      <c r="B31" s="97" t="s">
        <v>899</v>
      </c>
      <c r="E31" s="97">
        <v>1198581</v>
      </c>
      <c r="F31" s="97">
        <v>1375272</v>
      </c>
      <c r="G31" s="97">
        <v>3492168</v>
      </c>
      <c r="H31" s="112">
        <v>3726851</v>
      </c>
      <c r="I31" s="112">
        <v>5740564</v>
      </c>
      <c r="J31" s="114"/>
      <c r="K31" s="108">
        <v>3246134</v>
      </c>
      <c r="L31" s="97">
        <v>4095209</v>
      </c>
      <c r="M31" s="108"/>
    </row>
    <row r="32" spans="2:15">
      <c r="B32" s="97" t="s">
        <v>900</v>
      </c>
      <c r="E32" s="97">
        <v>606933</v>
      </c>
      <c r="F32" s="97">
        <v>739550</v>
      </c>
      <c r="G32" s="97">
        <v>879922</v>
      </c>
      <c r="H32" s="108">
        <v>1183517</v>
      </c>
      <c r="I32" s="108">
        <v>1386805</v>
      </c>
      <c r="J32" s="111"/>
      <c r="K32" s="108">
        <v>1030855</v>
      </c>
      <c r="L32" s="108">
        <v>1169854</v>
      </c>
      <c r="M32" s="108"/>
    </row>
    <row r="33" spans="2:13">
      <c r="B33" s="97" t="s">
        <v>901</v>
      </c>
      <c r="E33" s="97">
        <v>27457</v>
      </c>
      <c r="F33" s="97">
        <v>43691</v>
      </c>
      <c r="G33" s="97">
        <v>39080</v>
      </c>
      <c r="H33" s="108">
        <v>53412</v>
      </c>
      <c r="I33" s="108">
        <v>51922</v>
      </c>
      <c r="J33" s="111"/>
      <c r="K33" s="108">
        <v>53412</v>
      </c>
      <c r="L33" s="108">
        <v>51922</v>
      </c>
      <c r="M33" s="108"/>
    </row>
    <row r="34" spans="2:13">
      <c r="B34" s="105" t="s">
        <v>902</v>
      </c>
      <c r="E34" s="97">
        <v>0</v>
      </c>
      <c r="F34" s="97">
        <v>0</v>
      </c>
      <c r="G34" s="97">
        <v>0</v>
      </c>
      <c r="H34" s="108">
        <v>261719</v>
      </c>
      <c r="I34" s="108">
        <v>1533663</v>
      </c>
      <c r="J34" s="111"/>
      <c r="K34" s="108">
        <v>261719</v>
      </c>
      <c r="L34" s="108">
        <v>1373649</v>
      </c>
      <c r="M34" s="108"/>
    </row>
    <row r="35" spans="2:13">
      <c r="B35" s="97" t="s">
        <v>903</v>
      </c>
      <c r="E35" s="97">
        <v>0</v>
      </c>
      <c r="F35" s="97">
        <v>0</v>
      </c>
      <c r="G35" s="97">
        <v>0</v>
      </c>
      <c r="H35" s="108">
        <v>0</v>
      </c>
      <c r="I35" s="108">
        <v>0</v>
      </c>
      <c r="J35" s="111"/>
      <c r="K35" s="108">
        <v>1635610</v>
      </c>
      <c r="L35" s="108"/>
      <c r="M35" s="108"/>
    </row>
    <row r="36" spans="2:13">
      <c r="B36" s="97" t="s">
        <v>904</v>
      </c>
      <c r="E36" s="97">
        <v>116309</v>
      </c>
      <c r="F36" s="97">
        <v>128078</v>
      </c>
      <c r="G36" s="97">
        <v>168944</v>
      </c>
      <c r="H36" s="112">
        <v>0</v>
      </c>
      <c r="I36" s="108">
        <v>0</v>
      </c>
      <c r="J36" s="111"/>
      <c r="K36" s="108">
        <v>135027</v>
      </c>
      <c r="L36" s="108">
        <v>111554</v>
      </c>
      <c r="M36" s="108"/>
    </row>
    <row r="37" spans="2:13">
      <c r="B37" s="105" t="s">
        <v>301</v>
      </c>
      <c r="H37" s="108">
        <v>1291466</v>
      </c>
      <c r="I37" s="108">
        <v>1304127</v>
      </c>
      <c r="J37" s="111"/>
      <c r="K37" s="108"/>
      <c r="L37" s="108"/>
      <c r="M37" s="108"/>
    </row>
    <row r="38" spans="2:13">
      <c r="B38" s="97" t="s">
        <v>905</v>
      </c>
      <c r="E38" s="107">
        <f>+SUM(E28:E37)</f>
        <v>8177702</v>
      </c>
      <c r="F38" s="107">
        <f>+SUM(F28:F37)</f>
        <v>45694979</v>
      </c>
      <c r="G38" s="107">
        <f>+SUM(G28:G37)</f>
        <v>25234897</v>
      </c>
      <c r="H38" s="115">
        <f>+SUM(H28:H37)</f>
        <v>29260436</v>
      </c>
      <c r="I38" s="115">
        <f>+SUM(I28:I37)</f>
        <v>43596852</v>
      </c>
      <c r="J38" s="111"/>
      <c r="K38" s="115">
        <f>+SUM(K28:K37)</f>
        <v>18165217</v>
      </c>
      <c r="L38" s="115">
        <f>+SUM(L28:L37)</f>
        <v>33284964</v>
      </c>
      <c r="M38" s="108"/>
    </row>
    <row r="39" spans="2:13">
      <c r="B39" s="103" t="s">
        <v>906</v>
      </c>
      <c r="C39" s="104"/>
      <c r="D39" s="104"/>
      <c r="E39" s="104"/>
      <c r="F39" s="104"/>
      <c r="G39" s="104"/>
      <c r="H39" s="104"/>
      <c r="I39" s="104"/>
      <c r="J39" s="111"/>
      <c r="K39" s="108"/>
      <c r="L39" s="108"/>
      <c r="M39" s="108"/>
    </row>
    <row r="40" spans="2:13">
      <c r="B40" s="97" t="s">
        <v>896</v>
      </c>
      <c r="E40" s="97">
        <v>195800</v>
      </c>
      <c r="F40" s="97">
        <v>88280</v>
      </c>
      <c r="G40" s="97">
        <v>37265099</v>
      </c>
      <c r="H40" s="108">
        <v>55991060</v>
      </c>
      <c r="I40" s="108">
        <v>39542295</v>
      </c>
      <c r="J40" s="111"/>
      <c r="K40" s="108">
        <v>91756</v>
      </c>
      <c r="L40" s="97">
        <v>33799848</v>
      </c>
    </row>
    <row r="41" spans="2:13">
      <c r="B41" s="97" t="s">
        <v>899</v>
      </c>
      <c r="F41" s="97">
        <v>0</v>
      </c>
      <c r="G41" s="97">
        <v>3498350</v>
      </c>
      <c r="H41" s="108">
        <v>1758541</v>
      </c>
      <c r="I41" s="108">
        <v>0</v>
      </c>
      <c r="J41" s="111"/>
      <c r="K41" s="108">
        <v>1749175</v>
      </c>
    </row>
    <row r="42" spans="2:13">
      <c r="B42" s="97" t="s">
        <v>907</v>
      </c>
      <c r="E42" s="107">
        <f>+SUM(E40:E41)</f>
        <v>195800</v>
      </c>
      <c r="F42" s="107">
        <f>+SUM(F40:F41)</f>
        <v>88280</v>
      </c>
      <c r="G42" s="107">
        <f>+SUM(G40:G41)</f>
        <v>40763449</v>
      </c>
      <c r="H42" s="107">
        <f>+SUM(H40:H41)</f>
        <v>57749601</v>
      </c>
      <c r="I42" s="115">
        <f>+SUM(I40:I41)</f>
        <v>39542295</v>
      </c>
      <c r="J42" s="111"/>
      <c r="K42" s="115">
        <f>+SUM(K40:K41)</f>
        <v>1840931</v>
      </c>
      <c r="L42" s="115">
        <f>+SUM(L40:L41)</f>
        <v>33799848</v>
      </c>
    </row>
    <row r="43" spans="2:13" ht="15.75" thickBot="1">
      <c r="B43" s="100" t="s">
        <v>908</v>
      </c>
      <c r="C43" s="99"/>
      <c r="D43" s="99"/>
      <c r="E43" s="109">
        <f>+E42+E38</f>
        <v>8373502</v>
      </c>
      <c r="F43" s="109">
        <f>+F42+F38</f>
        <v>45783259</v>
      </c>
      <c r="G43" s="109">
        <f>+G42+G38</f>
        <v>65998346</v>
      </c>
      <c r="H43" s="109">
        <f>+H42+H38</f>
        <v>87010037</v>
      </c>
      <c r="I43" s="109">
        <f>+I42+I38</f>
        <v>83139147</v>
      </c>
      <c r="J43" s="111"/>
      <c r="K43" s="109">
        <f>+K42+K38</f>
        <v>20006148</v>
      </c>
      <c r="L43" s="109">
        <f>+L42+L38</f>
        <v>67084812</v>
      </c>
    </row>
    <row r="44" spans="2:13" ht="15.75" thickTop="1">
      <c r="B44" s="97" t="s">
        <v>909</v>
      </c>
      <c r="E44" s="116">
        <f>+E25-E43</f>
        <v>165840209</v>
      </c>
      <c r="F44" s="116">
        <f>+F25-F43</f>
        <v>168445541</v>
      </c>
      <c r="G44" s="116">
        <f>+G25-G43</f>
        <v>179456804</v>
      </c>
      <c r="H44" s="116">
        <f>+H25-H43</f>
        <v>274625410</v>
      </c>
      <c r="I44" s="116">
        <f>+I25-I43</f>
        <v>317976768</v>
      </c>
      <c r="K44" s="116">
        <f>+K25-K43</f>
        <v>275045410</v>
      </c>
      <c r="L44" s="116">
        <f>+L25-L43</f>
        <v>318640399</v>
      </c>
    </row>
    <row r="45" spans="2:13" ht="15.75" thickBot="1">
      <c r="B45" s="97" t="s">
        <v>910</v>
      </c>
      <c r="E45" s="117">
        <f>+E43+E44</f>
        <v>174213711</v>
      </c>
      <c r="F45" s="117">
        <f>+F43+F44</f>
        <v>214228800</v>
      </c>
      <c r="G45" s="117">
        <f>+G43+G44</f>
        <v>245455150</v>
      </c>
      <c r="H45" s="117">
        <f>+H43+H44</f>
        <v>361635447</v>
      </c>
      <c r="I45" s="117">
        <f>+I43+I44</f>
        <v>401115915</v>
      </c>
      <c r="K45" s="117">
        <f>+K43+K44</f>
        <v>295051558</v>
      </c>
      <c r="L45" s="117">
        <f>+L43+L44</f>
        <v>385725211</v>
      </c>
    </row>
    <row r="46" spans="2:13" ht="16.5" thickTop="1" thickBot="1">
      <c r="B46" s="97" t="s">
        <v>911</v>
      </c>
      <c r="E46" s="117">
        <v>249381287</v>
      </c>
      <c r="F46" s="117">
        <v>193044929</v>
      </c>
      <c r="G46" s="117">
        <v>208703519</v>
      </c>
      <c r="H46" s="117">
        <v>233601413</v>
      </c>
      <c r="I46" s="117">
        <v>361412681</v>
      </c>
      <c r="K46" s="117">
        <v>229147856</v>
      </c>
      <c r="L46" s="117">
        <v>353954335</v>
      </c>
    </row>
    <row r="47" spans="2:13" ht="15.75" thickTop="1"/>
  </sheetData>
  <mergeCells count="3">
    <mergeCell ref="E4:I4"/>
    <mergeCell ref="K4:L4"/>
    <mergeCell ref="N4:O4"/>
  </mergeCells>
  <phoneticPr fontId="67" type="noConversion"/>
  <pageMargins left="0.7" right="0.7" top="0.75" bottom="0.75" header="0.3" footer="0.3"/>
  <pageSetup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tabColor rgb="FFFF0000"/>
  </sheetPr>
  <dimension ref="A1:N63"/>
  <sheetViews>
    <sheetView showGridLines="0" tabSelected="1" topLeftCell="A33" zoomScale="70" zoomScaleNormal="70" zoomScalePageLayoutView="70" workbookViewId="0">
      <selection activeCell="K40" sqref="K40"/>
    </sheetView>
  </sheetViews>
  <sheetFormatPr baseColWidth="10" defaultColWidth="8.88671875" defaultRowHeight="15"/>
  <cols>
    <col min="1" max="1" width="39.6640625" style="38" customWidth="1"/>
    <col min="2" max="2" width="14.88671875" style="38" customWidth="1"/>
    <col min="3" max="3" width="14.33203125" style="38" bestFit="1" customWidth="1"/>
    <col min="4" max="4" width="16.88671875" style="38" bestFit="1" customWidth="1"/>
    <col min="5" max="5" width="14.33203125" style="38" bestFit="1" customWidth="1"/>
    <col min="6" max="6" width="16.88671875" style="38" bestFit="1" customWidth="1"/>
    <col min="7" max="7" width="15.6640625" style="38" bestFit="1" customWidth="1"/>
    <col min="8" max="8" width="8.88671875" style="38"/>
    <col min="9" max="9" width="13.109375" style="38" bestFit="1" customWidth="1"/>
    <col min="10" max="10" width="13.33203125" style="38" bestFit="1" customWidth="1"/>
    <col min="11" max="11" width="14.33203125" style="38" bestFit="1" customWidth="1"/>
    <col min="12" max="14" width="11.6640625" style="38" bestFit="1" customWidth="1"/>
    <col min="15" max="16384" width="8.88671875" style="38"/>
  </cols>
  <sheetData>
    <row r="1" spans="1:8" ht="15.75">
      <c r="A1" s="88" t="str">
        <f>+Balance!A1</f>
        <v>Compañía Modelo - EVA</v>
      </c>
      <c r="B1" s="388"/>
      <c r="C1" s="388"/>
      <c r="D1" s="388"/>
      <c r="E1" s="388"/>
      <c r="F1" s="388"/>
      <c r="G1" s="388"/>
    </row>
    <row r="2" spans="1:8" ht="15.75">
      <c r="A2" s="389" t="s">
        <v>235</v>
      </c>
      <c r="B2" s="388"/>
      <c r="C2" s="388"/>
      <c r="D2" s="388"/>
      <c r="E2" s="388"/>
      <c r="F2" s="388"/>
      <c r="G2" s="388"/>
    </row>
    <row r="3" spans="1:8">
      <c r="A3" s="38" t="s">
        <v>287</v>
      </c>
      <c r="C3" s="368"/>
    </row>
    <row r="4" spans="1:8" ht="15.75">
      <c r="A4" s="425" t="s">
        <v>236</v>
      </c>
      <c r="B4" s="425"/>
      <c r="C4" s="425"/>
      <c r="D4" s="425"/>
      <c r="E4" s="425"/>
      <c r="F4" s="425"/>
      <c r="G4" s="425"/>
    </row>
    <row r="5" spans="1:8" ht="15.75">
      <c r="A5" s="425"/>
      <c r="B5" s="425"/>
      <c r="C5" s="425"/>
      <c r="D5" s="425"/>
      <c r="E5" s="425"/>
      <c r="F5" s="425"/>
      <c r="G5" s="425"/>
    </row>
    <row r="6" spans="1:8" ht="16.5" thickBot="1">
      <c r="A6" s="425"/>
      <c r="B6" s="390">
        <v>2014</v>
      </c>
      <c r="C6" s="390">
        <f>+B6+1</f>
        <v>2015</v>
      </c>
      <c r="D6" s="390">
        <f>+C6+1</f>
        <v>2016</v>
      </c>
      <c r="E6" s="390">
        <f>+D6+1</f>
        <v>2017</v>
      </c>
      <c r="F6" s="390">
        <f>+E6+1</f>
        <v>2018</v>
      </c>
      <c r="G6" s="390">
        <f>+F6+1</f>
        <v>2019</v>
      </c>
    </row>
    <row r="8" spans="1:8">
      <c r="A8" s="388" t="s">
        <v>237</v>
      </c>
      <c r="B8" s="392">
        <f>+FCL!H27</f>
        <v>36985690.630006805</v>
      </c>
      <c r="C8" s="392">
        <f>+FCL!I27</f>
        <v>62362126.255970627</v>
      </c>
      <c r="D8" s="392">
        <f>+FCL!J27</f>
        <v>47447932.233680621</v>
      </c>
      <c r="E8" s="392">
        <f>+FCL!K27</f>
        <v>77714653.961511061</v>
      </c>
      <c r="F8" s="392">
        <f>+FCL!L27</f>
        <v>62716782.520900309</v>
      </c>
      <c r="G8" s="392">
        <f>+FCL!M27</f>
        <v>39571603.725563735</v>
      </c>
      <c r="H8" s="368"/>
    </row>
    <row r="9" spans="1:8">
      <c r="A9" s="388" t="s">
        <v>238</v>
      </c>
      <c r="B9" s="388"/>
      <c r="C9" s="391">
        <f>(C8-B8)/B8</f>
        <v>0.68611495942638168</v>
      </c>
      <c r="D9" s="391">
        <f>(D8-C8)/C8</f>
        <v>-0.23915467476322783</v>
      </c>
      <c r="E9" s="391">
        <f>(E8-D8)/D8</f>
        <v>0.63789337707631011</v>
      </c>
      <c r="F9" s="391">
        <f>(F8-E8)/E8</f>
        <v>-0.19298640187008481</v>
      </c>
      <c r="G9" s="391">
        <f>(G8-F8)/F8</f>
        <v>-0.36904282817160566</v>
      </c>
    </row>
    <row r="10" spans="1:8">
      <c r="A10" s="388" t="s">
        <v>239</v>
      </c>
      <c r="B10" s="428">
        <f>((G8/F8)^(1/(G6-F6)))-1</f>
        <v>-0.36904282817160572</v>
      </c>
      <c r="C10" s="391"/>
      <c r="D10" s="391"/>
      <c r="E10" s="391"/>
      <c r="F10" s="391"/>
      <c r="G10" s="391"/>
    </row>
    <row r="12" spans="1:8">
      <c r="A12" s="38" t="s">
        <v>240</v>
      </c>
      <c r="B12" s="368">
        <f>+Proy.WACC!C42</f>
        <v>0.1133831017411461</v>
      </c>
      <c r="C12" s="368">
        <f>+Proy.WACC!D42</f>
        <v>0.11446282306240972</v>
      </c>
      <c r="D12" s="368">
        <f>+Proy.WACC!E42</f>
        <v>0.11468661489353074</v>
      </c>
      <c r="E12" s="368">
        <f>+Proy.WACC!F42</f>
        <v>0.11681866159362198</v>
      </c>
      <c r="F12" s="368">
        <f>+Proy.WACC!G42</f>
        <v>0.11736976758800426</v>
      </c>
      <c r="G12" s="368">
        <f>+Proy.WACC!H42</f>
        <v>0.1181023275080117</v>
      </c>
    </row>
    <row r="13" spans="1:8">
      <c r="A13" s="388" t="s">
        <v>241</v>
      </c>
      <c r="B13" s="391">
        <f>+Proy.WACC!B50</f>
        <v>0.11449193144592162</v>
      </c>
      <c r="C13" s="388"/>
      <c r="D13" s="388"/>
      <c r="E13" s="388"/>
      <c r="F13" s="388"/>
      <c r="G13" s="388"/>
    </row>
    <row r="14" spans="1:8">
      <c r="A14" s="388" t="s">
        <v>242</v>
      </c>
      <c r="B14" s="391">
        <v>0</v>
      </c>
      <c r="C14" s="388"/>
      <c r="D14" s="388"/>
      <c r="E14" s="388"/>
      <c r="F14" s="388"/>
      <c r="G14" s="388"/>
    </row>
    <row r="15" spans="1:8">
      <c r="A15" s="388"/>
      <c r="B15" s="391"/>
      <c r="C15" s="388"/>
      <c r="D15" s="388"/>
      <c r="E15" s="388"/>
      <c r="F15" s="388"/>
      <c r="G15" s="388"/>
    </row>
    <row r="16" spans="1:8" ht="15.75">
      <c r="A16" s="389" t="s">
        <v>243</v>
      </c>
      <c r="B16" s="429">
        <f>NPV(B13,B8:F8)</f>
        <v>204517198.54032651</v>
      </c>
      <c r="C16" s="388"/>
      <c r="D16" s="388"/>
      <c r="E16" s="388"/>
      <c r="F16" s="388"/>
      <c r="G16" s="388"/>
    </row>
    <row r="17" spans="1:9" ht="15.75">
      <c r="A17" s="389" t="s">
        <v>244</v>
      </c>
      <c r="B17" s="436">
        <f>SUM('VPN Cascada'!B12:'VPN Cascada'!B15)</f>
        <v>190622400.04368013</v>
      </c>
      <c r="C17" s="388"/>
      <c r="D17" s="388"/>
      <c r="E17" s="388"/>
      <c r="F17" s="388"/>
      <c r="G17" s="388"/>
    </row>
    <row r="18" spans="1:9">
      <c r="B18" s="393"/>
    </row>
    <row r="19" spans="1:9">
      <c r="A19" s="388" t="s">
        <v>245</v>
      </c>
      <c r="B19" s="392">
        <f>G8/(G12-B14)</f>
        <v>335062014.10704052</v>
      </c>
      <c r="C19" s="388"/>
      <c r="D19" s="388"/>
      <c r="E19" s="388"/>
      <c r="F19" s="388"/>
      <c r="G19" s="388"/>
    </row>
    <row r="20" spans="1:9" ht="15.75">
      <c r="A20" s="389" t="s">
        <v>246</v>
      </c>
      <c r="B20" s="429">
        <f>B19*(1/(1+B13)^(G6-B6))</f>
        <v>194868010.55421489</v>
      </c>
      <c r="C20" s="388"/>
      <c r="D20" s="388"/>
      <c r="E20" s="388"/>
      <c r="F20" s="388"/>
      <c r="G20" s="388"/>
    </row>
    <row r="21" spans="1:9" ht="15.75">
      <c r="A21" s="389"/>
      <c r="B21" s="429"/>
      <c r="C21" s="388"/>
      <c r="D21" s="388"/>
      <c r="E21" s="388"/>
      <c r="F21" s="388"/>
      <c r="G21" s="388"/>
    </row>
    <row r="22" spans="1:9">
      <c r="A22" s="388" t="s">
        <v>247</v>
      </c>
      <c r="B22" s="392">
        <f>+'VPN Cascada'!F16</f>
        <v>335062014.10704052</v>
      </c>
      <c r="C22" s="428"/>
      <c r="D22" s="388"/>
      <c r="E22" s="388"/>
      <c r="F22" s="388"/>
      <c r="G22" s="388"/>
    </row>
    <row r="23" spans="1:9" ht="15.75">
      <c r="A23" s="389" t="s">
        <v>248</v>
      </c>
      <c r="B23" s="392">
        <f>+'VPN Cascada'!B16</f>
        <v>216136066.89978403</v>
      </c>
      <c r="C23" s="428"/>
      <c r="D23" s="388"/>
      <c r="E23" s="388"/>
      <c r="F23" s="388"/>
      <c r="G23" s="388"/>
    </row>
    <row r="24" spans="1:9" ht="15.75" thickBot="1">
      <c r="A24" s="388"/>
      <c r="B24" s="392"/>
      <c r="C24" s="388"/>
      <c r="D24" s="388"/>
      <c r="E24" s="388"/>
      <c r="F24" s="388"/>
      <c r="G24" s="388"/>
    </row>
    <row r="25" spans="1:9" ht="17.25" thickTop="1" thickBot="1">
      <c r="A25" s="409" t="s">
        <v>249</v>
      </c>
      <c r="B25" s="417">
        <f>B20+B16</f>
        <v>399385209.09454143</v>
      </c>
      <c r="C25" s="509"/>
      <c r="D25" s="388"/>
      <c r="E25" s="388"/>
      <c r="F25" s="388"/>
      <c r="G25" s="388"/>
    </row>
    <row r="26" spans="1:9" ht="17.25" thickTop="1" thickBot="1">
      <c r="A26" s="409" t="s">
        <v>250</v>
      </c>
      <c r="B26" s="417">
        <f>B17+B23</f>
        <v>406758466.94346416</v>
      </c>
      <c r="C26" s="430"/>
      <c r="D26" s="388"/>
      <c r="E26" s="388"/>
      <c r="F26" s="388"/>
      <c r="G26" s="388"/>
    </row>
    <row r="27" spans="1:9" ht="16.5" customHeight="1" thickTop="1" thickBot="1">
      <c r="A27" s="388"/>
      <c r="B27" s="388"/>
      <c r="C27" s="388"/>
      <c r="F27" s="388"/>
      <c r="G27" s="388"/>
    </row>
    <row r="28" spans="1:9" ht="18.75" customHeight="1" thickTop="1" thickBot="1">
      <c r="A28" s="431" t="s">
        <v>251</v>
      </c>
      <c r="B28" s="417">
        <f>-Balance!G31-Balance!G32-Balance!G44-Balance!G45</f>
        <v>-52139865</v>
      </c>
      <c r="C28" s="388"/>
      <c r="D28" s="662" t="s">
        <v>1045</v>
      </c>
      <c r="E28" s="662" t="s">
        <v>1046</v>
      </c>
      <c r="F28" s="388"/>
      <c r="G28" s="388"/>
    </row>
    <row r="29" spans="1:9" ht="16.5" customHeight="1" thickTop="1" thickBot="1">
      <c r="A29" s="400"/>
      <c r="B29" s="388"/>
      <c r="C29" s="388"/>
      <c r="D29" s="663"/>
      <c r="E29" s="663"/>
      <c r="F29" s="388"/>
      <c r="G29" s="388"/>
    </row>
    <row r="30" spans="1:9" ht="17.25" thickTop="1" thickBot="1">
      <c r="A30" s="409" t="s">
        <v>252</v>
      </c>
      <c r="B30" s="417">
        <f>+B25+B28</f>
        <v>347245344.09454143</v>
      </c>
      <c r="C30" s="388"/>
      <c r="D30" s="417">
        <v>33864425853</v>
      </c>
      <c r="E30" s="446">
        <f>(B30*1000)/D30</f>
        <v>10.253985867112508</v>
      </c>
      <c r="G30" s="421"/>
      <c r="H30" s="572"/>
      <c r="I30" s="130"/>
    </row>
    <row r="31" spans="1:9" ht="17.25" thickTop="1" thickBot="1">
      <c r="A31" s="409" t="s">
        <v>253</v>
      </c>
      <c r="B31" s="417">
        <f>B26+B28</f>
        <v>354618601.94346416</v>
      </c>
      <c r="C31" s="428"/>
      <c r="D31" s="417">
        <v>33864425853</v>
      </c>
      <c r="E31" s="446">
        <f>(B31*1000)/D31</f>
        <v>10.471714579860476</v>
      </c>
      <c r="F31" s="388"/>
      <c r="G31" s="388"/>
      <c r="I31" s="130"/>
    </row>
    <row r="32" spans="1:9" ht="16.5" thickTop="1">
      <c r="A32" s="432"/>
      <c r="B32" s="433"/>
      <c r="C32" s="388"/>
      <c r="D32" s="388"/>
      <c r="E32" s="388"/>
      <c r="F32" s="388"/>
      <c r="G32" s="388"/>
    </row>
    <row r="33" spans="1:14" ht="15.75">
      <c r="A33" s="425" t="s">
        <v>254</v>
      </c>
      <c r="B33" s="434"/>
      <c r="C33" s="425"/>
      <c r="D33" s="425"/>
      <c r="E33" s="425"/>
      <c r="F33" s="425"/>
      <c r="G33" s="425"/>
    </row>
    <row r="34" spans="1:14" ht="15.75">
      <c r="A34" s="425"/>
      <c r="B34" s="434"/>
      <c r="C34" s="425"/>
      <c r="D34" s="425"/>
      <c r="E34" s="425"/>
      <c r="F34" s="425"/>
      <c r="G34" s="425"/>
    </row>
    <row r="35" spans="1:14" ht="16.5" thickBot="1">
      <c r="A35" s="425"/>
      <c r="B35" s="390">
        <f>B6</f>
        <v>2014</v>
      </c>
      <c r="C35" s="390">
        <f>+B35+1</f>
        <v>2015</v>
      </c>
      <c r="D35" s="390">
        <f>+C35+1</f>
        <v>2016</v>
      </c>
      <c r="E35" s="390">
        <f>+D35+1</f>
        <v>2017</v>
      </c>
      <c r="F35" s="390">
        <f>+E35+1</f>
        <v>2018</v>
      </c>
      <c r="G35" s="390">
        <f>+F35+1</f>
        <v>2019</v>
      </c>
    </row>
    <row r="36" spans="1:14">
      <c r="B36" s="393"/>
    </row>
    <row r="37" spans="1:14">
      <c r="A37" s="388" t="s">
        <v>165</v>
      </c>
      <c r="B37" s="89">
        <f>+AnalVr.!M12</f>
        <v>230601597.87099582</v>
      </c>
      <c r="C37" s="89">
        <f>+AnalVr.!O12</f>
        <v>199794909.09526688</v>
      </c>
      <c r="D37" s="89">
        <f>+AnalVr.!Q12</f>
        <v>191788135.86902109</v>
      </c>
      <c r="E37" s="89">
        <f>+AnalVr.!S12</f>
        <v>158553387.89274496</v>
      </c>
      <c r="F37" s="89">
        <f>+AnalVr.!U12</f>
        <v>140322651.82656536</v>
      </c>
      <c r="G37" s="89">
        <f>+AnalVr.!W12</f>
        <v>145239689.52395946</v>
      </c>
    </row>
    <row r="38" spans="1:14">
      <c r="A38" s="38" t="str">
        <f>+AnalVr.Proy.!A25</f>
        <v>Rentabilidad del Capital Invertido</v>
      </c>
      <c r="B38" s="130">
        <f>+(FCL!H8+FCL!H18)/AnalVr.!M12</f>
        <v>8.5429455594402098E-2</v>
      </c>
      <c r="C38" s="130">
        <f>+(FCL!I8+FCL!I18)/AnalVr.!O12</f>
        <v>0.16587115190788948</v>
      </c>
      <c r="D38" s="130">
        <f>+(FCL!J8+FCL!J18)/AnalVr.!Q12</f>
        <v>0.21368139104921821</v>
      </c>
      <c r="E38" s="130">
        <f>+(FCL!K8+FCL!K18)/AnalVr.!S12</f>
        <v>0.28730300965119371</v>
      </c>
      <c r="F38" s="130">
        <f>+(FCL!L8+FCL!L18)/AnalVr.!U12</f>
        <v>0.317633753751837</v>
      </c>
      <c r="G38" s="130">
        <f>+(FCL!M8+FCL!M18)/AnalVr.!W12</f>
        <v>0.30646496316793381</v>
      </c>
      <c r="I38" s="130"/>
      <c r="J38" s="130"/>
      <c r="K38" s="130"/>
      <c r="L38" s="130"/>
      <c r="M38" s="130"/>
      <c r="N38" s="130"/>
    </row>
    <row r="39" spans="1:14">
      <c r="A39" s="38" t="s">
        <v>255</v>
      </c>
      <c r="B39" s="368">
        <f>+Proy.WACC!C42</f>
        <v>0.1133831017411461</v>
      </c>
      <c r="C39" s="368">
        <f>+Proy.WACC!D42</f>
        <v>0.11446282306240972</v>
      </c>
      <c r="D39" s="368">
        <f>+Proy.WACC!E42</f>
        <v>0.11468661489353074</v>
      </c>
      <c r="E39" s="368">
        <f>+Proy.WACC!F42</f>
        <v>0.11681866159362198</v>
      </c>
      <c r="F39" s="368">
        <f>+Proy.WACC!G42</f>
        <v>0.11736976758800426</v>
      </c>
      <c r="G39" s="368">
        <f>+Proy.WACC!H42</f>
        <v>0.1181023275080117</v>
      </c>
      <c r="I39" s="254"/>
      <c r="J39" s="254"/>
      <c r="K39" s="254"/>
      <c r="L39" s="254"/>
      <c r="M39" s="254"/>
      <c r="N39" s="254"/>
    </row>
    <row r="40" spans="1:14">
      <c r="I40" s="130"/>
      <c r="J40" s="130"/>
      <c r="K40" s="130"/>
      <c r="L40" s="130"/>
      <c r="M40" s="130"/>
      <c r="N40" s="130"/>
    </row>
    <row r="41" spans="1:14">
      <c r="A41" s="38" t="s">
        <v>169</v>
      </c>
      <c r="B41" s="368">
        <f t="shared" ref="B41:G41" si="0">+B38-B39</f>
        <v>-2.7953646146744004E-2</v>
      </c>
      <c r="C41" s="368">
        <f t="shared" si="0"/>
        <v>5.1408328845479759E-2</v>
      </c>
      <c r="D41" s="368">
        <f t="shared" si="0"/>
        <v>9.8994776155687469E-2</v>
      </c>
      <c r="E41" s="368">
        <f t="shared" si="0"/>
        <v>0.17048434805757173</v>
      </c>
      <c r="F41" s="368">
        <f t="shared" si="0"/>
        <v>0.20026398616383273</v>
      </c>
      <c r="G41" s="368">
        <f t="shared" si="0"/>
        <v>0.18836263565992212</v>
      </c>
    </row>
    <row r="42" spans="1:14">
      <c r="I42" s="130"/>
      <c r="J42" s="130"/>
      <c r="K42" s="130"/>
      <c r="L42" s="130"/>
      <c r="M42" s="130"/>
      <c r="N42" s="130"/>
    </row>
    <row r="43" spans="1:14">
      <c r="A43" s="38" t="s">
        <v>256</v>
      </c>
      <c r="B43" s="393">
        <f t="shared" ref="B43:G43" si="1">+B41*B37</f>
        <v>-6446155.4677595729</v>
      </c>
      <c r="C43" s="393">
        <f t="shared" si="1"/>
        <v>10271122.388422215</v>
      </c>
      <c r="D43" s="393">
        <f t="shared" si="1"/>
        <v>18986023.579670317</v>
      </c>
      <c r="E43" s="393">
        <f t="shared" si="1"/>
        <v>27030870.96721391</v>
      </c>
      <c r="F43" s="393">
        <f t="shared" si="1"/>
        <v>28101573.603867602</v>
      </c>
      <c r="G43" s="393">
        <f t="shared" si="1"/>
        <v>27357730.721161783</v>
      </c>
    </row>
    <row r="44" spans="1:14">
      <c r="G44" s="254"/>
      <c r="I44" s="130"/>
      <c r="J44" s="130"/>
      <c r="K44" s="130"/>
      <c r="L44" s="130"/>
      <c r="M44" s="130"/>
      <c r="N44" s="130"/>
    </row>
    <row r="45" spans="1:14" ht="15.75">
      <c r="A45" s="389" t="s">
        <v>257</v>
      </c>
      <c r="B45" s="429">
        <f>NPV(B13,B43:F43)</f>
        <v>50064773.957043953</v>
      </c>
      <c r="C45" s="254"/>
      <c r="D45" s="254"/>
    </row>
    <row r="46" spans="1:14" ht="15.75">
      <c r="A46" s="389" t="s">
        <v>258</v>
      </c>
      <c r="B46" s="429">
        <f>SUM('VPN Cascada'!B26:B29)</f>
        <v>33605129.172479443</v>
      </c>
      <c r="C46" s="254"/>
      <c r="D46" s="254"/>
    </row>
    <row r="47" spans="1:14">
      <c r="C47" s="254"/>
      <c r="D47" s="254"/>
    </row>
    <row r="48" spans="1:14">
      <c r="A48" s="388" t="s">
        <v>245</v>
      </c>
      <c r="B48" s="393">
        <f>G43/(B13-B14)</f>
        <v>238948984.226751</v>
      </c>
      <c r="C48" s="254"/>
      <c r="D48" s="254"/>
    </row>
    <row r="49" spans="1:6" ht="15.75">
      <c r="A49" s="389" t="s">
        <v>246</v>
      </c>
      <c r="B49" s="435">
        <f>+B48/(1+B13)^5</f>
        <v>138969836.08933368</v>
      </c>
      <c r="C49" s="254"/>
      <c r="D49" s="254"/>
    </row>
    <row r="50" spans="1:6" ht="15.75">
      <c r="A50" s="389"/>
      <c r="B50" s="435"/>
      <c r="C50" s="254"/>
      <c r="D50" s="254"/>
    </row>
    <row r="51" spans="1:6">
      <c r="A51" s="388" t="s">
        <v>247</v>
      </c>
      <c r="B51" s="392">
        <f>+'VPN Cascada'!F30</f>
        <v>237942589.25135306</v>
      </c>
      <c r="C51" s="254"/>
      <c r="D51" s="254"/>
    </row>
    <row r="52" spans="1:6" ht="15.75">
      <c r="A52" s="389" t="s">
        <v>248</v>
      </c>
      <c r="B52" s="392">
        <f>+'VPN Cascada'!B30</f>
        <v>153487931.25892466</v>
      </c>
      <c r="C52" s="254"/>
      <c r="D52" s="254"/>
    </row>
    <row r="53" spans="1:6" ht="15.75">
      <c r="A53" s="37"/>
      <c r="B53" s="435"/>
      <c r="C53" s="254"/>
      <c r="D53" s="254"/>
    </row>
    <row r="54" spans="1:6">
      <c r="A54" s="38" t="s">
        <v>259</v>
      </c>
      <c r="B54" s="393">
        <f>B37</f>
        <v>230601597.87099582</v>
      </c>
      <c r="C54" s="254"/>
      <c r="D54" s="254"/>
    </row>
    <row r="55" spans="1:6" ht="15.75" thickBot="1">
      <c r="C55" s="254"/>
      <c r="D55" s="254"/>
    </row>
    <row r="56" spans="1:6" ht="17.25" thickTop="1" thickBot="1">
      <c r="A56" s="409" t="s">
        <v>249</v>
      </c>
      <c r="B56" s="417">
        <f>B45+B49+B54</f>
        <v>419636207.91737342</v>
      </c>
      <c r="C56" s="254"/>
      <c r="D56" s="254"/>
    </row>
    <row r="57" spans="1:6" ht="17.25" thickTop="1" thickBot="1">
      <c r="A57" s="409" t="s">
        <v>250</v>
      </c>
      <c r="B57" s="417">
        <f>B46+B52+B54</f>
        <v>417694658.30239993</v>
      </c>
      <c r="C57" s="254"/>
      <c r="D57" s="254"/>
    </row>
    <row r="58" spans="1:6" ht="16.5" thickTop="1" thickBot="1">
      <c r="A58" s="388"/>
      <c r="B58" s="388"/>
      <c r="C58" s="254"/>
    </row>
    <row r="59" spans="1:6" ht="21" customHeight="1" thickTop="1" thickBot="1">
      <c r="A59" s="431" t="s">
        <v>251</v>
      </c>
      <c r="B59" s="417">
        <f>B28</f>
        <v>-52139865</v>
      </c>
      <c r="C59" s="254"/>
      <c r="D59" s="662" t="s">
        <v>1045</v>
      </c>
      <c r="E59" s="662" t="s">
        <v>1046</v>
      </c>
    </row>
    <row r="60" spans="1:6" ht="16.5" customHeight="1" thickTop="1" thickBot="1">
      <c r="A60" s="400"/>
      <c r="B60" s="388"/>
      <c r="C60" s="254"/>
      <c r="D60" s="663"/>
      <c r="E60" s="663"/>
    </row>
    <row r="61" spans="1:6" ht="17.25" thickTop="1" thickBot="1">
      <c r="A61" s="409" t="s">
        <v>252</v>
      </c>
      <c r="B61" s="417">
        <f>B56+B59</f>
        <v>367496342.91737342</v>
      </c>
      <c r="C61" s="254"/>
      <c r="D61" s="417">
        <v>33864425853</v>
      </c>
      <c r="E61" s="446">
        <f>(B61*1000)/D61</f>
        <v>10.851987998043009</v>
      </c>
      <c r="F61" s="421"/>
    </row>
    <row r="62" spans="1:6" ht="17.25" thickTop="1" thickBot="1">
      <c r="A62" s="409" t="s">
        <v>253</v>
      </c>
      <c r="B62" s="417">
        <f>B57+B59</f>
        <v>365554793.30239993</v>
      </c>
      <c r="C62" s="254"/>
      <c r="D62" s="417">
        <v>33864425853</v>
      </c>
      <c r="E62" s="446">
        <f>(B62*1000)/D62</f>
        <v>10.79465498364609</v>
      </c>
      <c r="F62" s="421"/>
    </row>
    <row r="63" spans="1:6" ht="15.75" thickTop="1"/>
  </sheetData>
  <mergeCells count="4">
    <mergeCell ref="D28:D29"/>
    <mergeCell ref="E28:E29"/>
    <mergeCell ref="D59:D60"/>
    <mergeCell ref="E59:E60"/>
  </mergeCells>
  <phoneticPr fontId="0" type="noConversion"/>
  <printOptions horizontalCentered="1" verticalCentered="1"/>
  <pageMargins left="0.51181102362204722" right="0.51181102362204722" top="0.51181102362204722" bottom="0.51181102362204722" header="0.51181102362204722" footer="0.51181102362204722"/>
  <pageSetup scale="95" firstPageNumber="18" fitToHeight="2" orientation="landscape" blackAndWhite="1" horizontalDpi="300" verticalDpi="300"/>
  <headerFooter alignWithMargins="0">
    <oddHeader>&amp;C&amp;A</oddHeader>
    <oddFooter>&amp;CCia.Modelo -  EVA&amp;RPágina &amp;P</oddFooter>
  </headerFooter>
  <rowBreaks count="1" manualBreakCount="1">
    <brk id="32" max="65535" man="1"/>
  </rowBreaks>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G30"/>
  <sheetViews>
    <sheetView showGridLines="0" zoomScale="70" zoomScaleNormal="70" zoomScalePageLayoutView="70" workbookViewId="0">
      <selection activeCell="B12" sqref="B12"/>
    </sheetView>
  </sheetViews>
  <sheetFormatPr baseColWidth="10" defaultColWidth="8.88671875" defaultRowHeight="15"/>
  <cols>
    <col min="1" max="1" width="18.5546875" style="38" customWidth="1"/>
    <col min="2" max="2" width="12.88671875" style="38" customWidth="1"/>
    <col min="3" max="7" width="12.33203125" style="38" bestFit="1" customWidth="1"/>
    <col min="8" max="16384" width="8.88671875" style="38"/>
  </cols>
  <sheetData>
    <row r="1" spans="1:7" ht="15.75">
      <c r="A1" s="88" t="str">
        <f>+Balance!A1</f>
        <v>Compañía Modelo - EVA</v>
      </c>
      <c r="B1" s="88"/>
      <c r="C1" s="388"/>
      <c r="D1" s="388"/>
      <c r="E1" s="388"/>
      <c r="F1" s="388"/>
      <c r="G1" s="388"/>
    </row>
    <row r="2" spans="1:7" ht="15.75">
      <c r="A2" s="389" t="s">
        <v>235</v>
      </c>
      <c r="B2" s="389"/>
      <c r="C2" s="388"/>
      <c r="D2" s="388"/>
      <c r="E2" s="388"/>
      <c r="F2" s="388"/>
      <c r="G2" s="388"/>
    </row>
    <row r="4" spans="1:7" ht="15.75">
      <c r="A4" s="425" t="s">
        <v>236</v>
      </c>
      <c r="B4" s="425"/>
      <c r="C4" s="425"/>
      <c r="D4" s="425"/>
      <c r="E4" s="425"/>
      <c r="F4" s="425"/>
      <c r="G4" s="425"/>
    </row>
    <row r="5" spans="1:7" ht="15.75">
      <c r="A5" s="425"/>
      <c r="B5" s="425"/>
      <c r="C5" s="425"/>
      <c r="D5" s="425"/>
      <c r="E5" s="425"/>
      <c r="F5" s="425"/>
      <c r="G5" s="425"/>
    </row>
    <row r="6" spans="1:7" ht="16.5" thickBot="1">
      <c r="A6" s="425"/>
      <c r="B6" s="390" t="str">
        <f>+Balance!H5</f>
        <v>2014P</v>
      </c>
      <c r="C6" s="390" t="str">
        <f>+Balance!I5</f>
        <v>2015P</v>
      </c>
      <c r="D6" s="390" t="str">
        <f>+Balance!J5</f>
        <v>2016P</v>
      </c>
      <c r="E6" s="390" t="str">
        <f>+Balance!K5</f>
        <v>2017P</v>
      </c>
      <c r="F6" s="390" t="str">
        <f>+Balance!L5</f>
        <v>2018P</v>
      </c>
      <c r="G6" s="390" t="str">
        <f>+Balance!M5</f>
        <v>2019P</v>
      </c>
    </row>
    <row r="8" spans="1:7">
      <c r="A8" s="388" t="s">
        <v>237</v>
      </c>
      <c r="B8" s="392">
        <f>+FCL!H27</f>
        <v>36985690.630006805</v>
      </c>
      <c r="C8" s="392">
        <f>+FCL!I27</f>
        <v>62362126.255970627</v>
      </c>
      <c r="D8" s="392">
        <f>+FCL!J27</f>
        <v>47447932.233680621</v>
      </c>
      <c r="E8" s="392">
        <f>+FCL!K27</f>
        <v>77714653.961511061</v>
      </c>
      <c r="F8" s="392">
        <f>+FCL!L27</f>
        <v>62716782.520900309</v>
      </c>
      <c r="G8" s="392">
        <f>+FCL!M27</f>
        <v>39571603.725563735</v>
      </c>
    </row>
    <row r="9" spans="1:7">
      <c r="A9" s="38" t="s">
        <v>240</v>
      </c>
      <c r="B9" s="368">
        <f>Valoraciones!B12</f>
        <v>0.1133831017411461</v>
      </c>
      <c r="C9" s="368">
        <f>Valoraciones!C12</f>
        <v>0.11446282306240972</v>
      </c>
      <c r="D9" s="368">
        <f>Valoraciones!D12</f>
        <v>0.11468661489353074</v>
      </c>
      <c r="E9" s="368">
        <f>Valoraciones!E12</f>
        <v>0.11681866159362198</v>
      </c>
      <c r="F9" s="368">
        <f>Valoraciones!F12</f>
        <v>0.11736976758800426</v>
      </c>
      <c r="G9" s="368">
        <f>Valoraciones!G12</f>
        <v>0.1181023275080117</v>
      </c>
    </row>
    <row r="10" spans="1:7">
      <c r="A10" s="388" t="s">
        <v>242</v>
      </c>
      <c r="B10" s="391">
        <f>Valoraciones!$B$14</f>
        <v>0</v>
      </c>
      <c r="D10" s="368"/>
      <c r="E10" s="368"/>
      <c r="F10" s="368"/>
      <c r="G10" s="368"/>
    </row>
    <row r="11" spans="1:7">
      <c r="C11" s="368"/>
      <c r="D11" s="368"/>
      <c r="E11" s="368"/>
      <c r="F11" s="368"/>
      <c r="G11" s="368"/>
    </row>
    <row r="12" spans="1:7">
      <c r="A12" s="426" t="str">
        <f>C6</f>
        <v>2015P</v>
      </c>
      <c r="B12" s="392">
        <f>PV(C9,1,,-C8)</f>
        <v>55957116.707228526</v>
      </c>
      <c r="G12" s="392"/>
    </row>
    <row r="13" spans="1:7">
      <c r="A13" s="426" t="str">
        <f>D6</f>
        <v>2016P</v>
      </c>
      <c r="B13" s="392">
        <f>PV($C$9,1,,-C13)</f>
        <v>38194332.013657324</v>
      </c>
      <c r="C13" s="392">
        <f>PV(D9,1,,-D8)</f>
        <v>42566163.080923513</v>
      </c>
      <c r="D13" s="392"/>
      <c r="E13" s="392"/>
      <c r="F13" s="392"/>
      <c r="G13" s="392"/>
    </row>
    <row r="14" spans="1:7">
      <c r="A14" s="426" t="str">
        <f>E6</f>
        <v>2017P</v>
      </c>
      <c r="B14" s="392">
        <f>PV($C$9,1,,-C14)</f>
        <v>56014683.133747779</v>
      </c>
      <c r="C14" s="392">
        <f>PV(D$9,1,,-D14)</f>
        <v>62426281.898182891</v>
      </c>
      <c r="D14" s="392">
        <f>PV(E$9,1,,-E8)</f>
        <v>69585740.849474788</v>
      </c>
      <c r="E14" s="392"/>
      <c r="F14" s="392"/>
      <c r="G14" s="392"/>
    </row>
    <row r="15" spans="1:7">
      <c r="A15" s="426" t="str">
        <f>F6</f>
        <v>2018P</v>
      </c>
      <c r="B15" s="392">
        <f>PV($C$9,1,,-C15)</f>
        <v>40456268.189046502</v>
      </c>
      <c r="C15" s="392">
        <f>PV(D$9,1,,-D15)</f>
        <v>45087006.856534727</v>
      </c>
      <c r="D15" s="392">
        <f>PV(E$9,1,,-E15)</f>
        <v>50257883.048592113</v>
      </c>
      <c r="E15" s="392">
        <f>PV(F$9,1,,-F8)</f>
        <v>56128941.680857427</v>
      </c>
      <c r="F15" s="392"/>
      <c r="G15" s="392"/>
    </row>
    <row r="16" spans="1:7">
      <c r="A16" s="426" t="str">
        <f>G6</f>
        <v>2019P</v>
      </c>
      <c r="B16" s="392">
        <f>PV($C$9,1,,-C16)</f>
        <v>216136066.89978403</v>
      </c>
      <c r="C16" s="392">
        <f>PV(D$9,1,,-D16)</f>
        <v>240875611.28273913</v>
      </c>
      <c r="D16" s="392">
        <f>PV(E$9,1,,-E16)</f>
        <v>268500819.75116646</v>
      </c>
      <c r="E16" s="392">
        <f>PV(F$9,1,,-F16)</f>
        <v>299866726.15128809</v>
      </c>
      <c r="F16" s="392">
        <f>+G8/(G9-B10)</f>
        <v>335062014.10704052</v>
      </c>
      <c r="G16" s="392"/>
    </row>
    <row r="17" spans="1:7">
      <c r="F17" s="392"/>
    </row>
    <row r="18" spans="1:7" ht="15.75">
      <c r="A18" s="425" t="s">
        <v>254</v>
      </c>
      <c r="B18" s="425"/>
      <c r="C18" s="425"/>
      <c r="D18" s="425"/>
      <c r="E18" s="425"/>
      <c r="F18" s="425"/>
      <c r="G18" s="425"/>
    </row>
    <row r="19" spans="1:7" ht="15.75">
      <c r="A19" s="425"/>
      <c r="B19" s="425"/>
      <c r="C19" s="425"/>
      <c r="D19" s="425"/>
      <c r="E19" s="425"/>
      <c r="F19" s="425"/>
      <c r="G19" s="425"/>
    </row>
    <row r="20" spans="1:7" ht="16.5" thickBot="1">
      <c r="A20" s="425"/>
      <c r="B20" s="425"/>
      <c r="C20" s="390" t="str">
        <f>C6</f>
        <v>2015P</v>
      </c>
      <c r="D20" s="390" t="str">
        <f>D6</f>
        <v>2016P</v>
      </c>
      <c r="E20" s="390" t="str">
        <f>E6</f>
        <v>2017P</v>
      </c>
      <c r="F20" s="390" t="str">
        <f>F6</f>
        <v>2018P</v>
      </c>
      <c r="G20" s="390" t="str">
        <f>G6</f>
        <v>2019P</v>
      </c>
    </row>
    <row r="22" spans="1:7">
      <c r="A22" s="388" t="s">
        <v>237</v>
      </c>
      <c r="B22" s="388"/>
      <c r="C22" s="392">
        <f>Valoraciones!B43</f>
        <v>-6446155.4677595729</v>
      </c>
      <c r="D22" s="392">
        <f>Valoraciones!C43</f>
        <v>10271122.388422215</v>
      </c>
      <c r="E22" s="392">
        <f>Valoraciones!D43</f>
        <v>18986023.579670317</v>
      </c>
      <c r="F22" s="392">
        <f>Valoraciones!E43</f>
        <v>27030870.96721391</v>
      </c>
      <c r="G22" s="392">
        <f>Valoraciones!F43</f>
        <v>28101573.603867602</v>
      </c>
    </row>
    <row r="23" spans="1:7">
      <c r="A23" s="38" t="s">
        <v>240</v>
      </c>
      <c r="C23" s="368">
        <f>C9</f>
        <v>0.11446282306240972</v>
      </c>
      <c r="D23" s="368">
        <f>D9</f>
        <v>0.11468661489353074</v>
      </c>
      <c r="E23" s="368">
        <f>E9</f>
        <v>0.11681866159362198</v>
      </c>
      <c r="F23" s="368">
        <f>F9</f>
        <v>0.11736976758800426</v>
      </c>
      <c r="G23" s="368">
        <f>G9</f>
        <v>0.1181023275080117</v>
      </c>
    </row>
    <row r="24" spans="1:7">
      <c r="A24" s="388" t="s">
        <v>242</v>
      </c>
      <c r="B24" s="388"/>
      <c r="C24" s="391">
        <f>Valoraciones!$B$14</f>
        <v>0</v>
      </c>
      <c r="D24" s="368"/>
      <c r="E24" s="368"/>
      <c r="F24" s="368"/>
      <c r="G24" s="368"/>
    </row>
    <row r="25" spans="1:7">
      <c r="C25" s="368"/>
      <c r="D25" s="368"/>
      <c r="E25" s="368"/>
      <c r="F25" s="368"/>
      <c r="G25" s="368"/>
    </row>
    <row r="26" spans="1:7">
      <c r="A26" s="427" t="str">
        <f>C20</f>
        <v>2015P</v>
      </c>
      <c r="B26" s="392">
        <f>PV(C23,1,,-C22)</f>
        <v>-5784091.9718132131</v>
      </c>
      <c r="G26" s="392"/>
    </row>
    <row r="27" spans="1:7">
      <c r="A27" s="427" t="str">
        <f>D20</f>
        <v>2016P</v>
      </c>
      <c r="B27" s="392">
        <f>PV($C$9,1,,-C27)</f>
        <v>8267982.1899137767</v>
      </c>
      <c r="C27" s="392">
        <f>PV(D23,1,,-D22)</f>
        <v>9214358.7724010311</v>
      </c>
      <c r="D27" s="392"/>
      <c r="E27" s="392"/>
      <c r="F27" s="392"/>
      <c r="G27" s="392"/>
    </row>
    <row r="28" spans="1:7">
      <c r="A28" s="427" t="str">
        <f>E20</f>
        <v>2017P</v>
      </c>
      <c r="B28" s="392">
        <f>PV($C$9,1,,-C28)</f>
        <v>13684627.551861756</v>
      </c>
      <c r="C28" s="392">
        <f>PV(D$9,1,,-D28)</f>
        <v>15251008.654005483</v>
      </c>
      <c r="D28" s="392">
        <f>PV(E$9,1,,-E22)</f>
        <v>17000095.210245315</v>
      </c>
      <c r="E28" s="392"/>
      <c r="F28" s="392"/>
      <c r="G28" s="392"/>
    </row>
    <row r="29" spans="1:7">
      <c r="A29" s="427" t="str">
        <f>F20</f>
        <v>2018P</v>
      </c>
      <c r="B29" s="392">
        <f>PV($C$9,1,,-C29)</f>
        <v>17436611.402517125</v>
      </c>
      <c r="C29" s="392">
        <f>PV(D$9,1,,-D29)</f>
        <v>19432455.168291438</v>
      </c>
      <c r="D29" s="392">
        <f>PV(E$9,1,,-E29)</f>
        <v>21661097.67061308</v>
      </c>
      <c r="E29" s="392">
        <f>PV(F$9,1,,-F22)</f>
        <v>24191518.109142821</v>
      </c>
      <c r="F29" s="392"/>
      <c r="G29" s="392"/>
    </row>
    <row r="30" spans="1:7">
      <c r="A30" s="427" t="str">
        <f>G20</f>
        <v>2019P</v>
      </c>
      <c r="B30" s="392">
        <f>PV($C$9,1,,-C30)</f>
        <v>153487931.25892466</v>
      </c>
      <c r="C30" s="392">
        <f>PV(D$9,1,,-D30)</f>
        <v>171056593.17683026</v>
      </c>
      <c r="D30" s="392">
        <f>PV(E$9,1,,-E30)</f>
        <v>190674494.80350077</v>
      </c>
      <c r="E30" s="392">
        <f>PV(F$9,1,,-F30)</f>
        <v>212948834.08648574</v>
      </c>
      <c r="F30" s="392">
        <f>+G22/(G23-C24)</f>
        <v>237942589.25135306</v>
      </c>
      <c r="G30" s="392"/>
    </row>
  </sheetData>
  <phoneticPr fontId="0" type="noConversion"/>
  <printOptions horizontalCentered="1" verticalCentered="1"/>
  <pageMargins left="0.75" right="0.75" top="1" bottom="1" header="0.5" footer="0.5"/>
  <pageSetup scale="97" orientation="landscape" horizontalDpi="4294967295"/>
  <headerFooter alignWithMargins="0">
    <oddHeader>&amp;C&amp;A</oddHeader>
    <oddFooter>&amp;CCía. Modelo - EVA&amp;RPágina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showGridLines="0" zoomScale="70" zoomScaleNormal="70" zoomScalePageLayoutView="70" workbookViewId="0">
      <selection activeCell="F11" sqref="F11"/>
    </sheetView>
  </sheetViews>
  <sheetFormatPr baseColWidth="10" defaultColWidth="8.88671875" defaultRowHeight="15"/>
  <cols>
    <col min="1" max="1" width="17.5546875" style="38" bestFit="1" customWidth="1"/>
    <col min="2" max="2" width="12.88671875" style="38" hidden="1" customWidth="1"/>
    <col min="3" max="4" width="0" style="38" hidden="1" customWidth="1"/>
    <col min="5" max="5" width="14.33203125" style="38" bestFit="1" customWidth="1"/>
    <col min="6" max="7" width="12.88671875" style="38" bestFit="1" customWidth="1"/>
    <col min="8" max="8" width="13.88671875" style="38" bestFit="1" customWidth="1"/>
    <col min="9" max="12" width="12.88671875" style="38" bestFit="1" customWidth="1"/>
    <col min="13" max="13" width="8.88671875" style="38"/>
    <col min="14" max="14" width="13.6640625" style="38" hidden="1" customWidth="1"/>
    <col min="15" max="15" width="8.88671875" style="38" customWidth="1"/>
    <col min="16" max="16384" width="8.88671875" style="38"/>
  </cols>
  <sheetData>
    <row r="1" spans="1:19" ht="15.75">
      <c r="A1" s="88" t="str">
        <f>+Balance!A1</f>
        <v>Compañía Modelo - EVA</v>
      </c>
    </row>
    <row r="2" spans="1:19" ht="15.75">
      <c r="A2" s="389" t="s">
        <v>261</v>
      </c>
    </row>
    <row r="4" spans="1:19" ht="50.25" customHeight="1" thickBot="1">
      <c r="A4" s="599"/>
      <c r="B4" s="600" t="s">
        <v>267</v>
      </c>
      <c r="C4" s="600" t="s">
        <v>268</v>
      </c>
      <c r="D4" s="601" t="s">
        <v>269</v>
      </c>
      <c r="E4" s="593" t="s">
        <v>270</v>
      </c>
      <c r="F4" s="607" t="s">
        <v>1068</v>
      </c>
      <c r="G4" s="601" t="s">
        <v>1061</v>
      </c>
      <c r="H4" s="601" t="s">
        <v>1062</v>
      </c>
      <c r="I4" s="601" t="s">
        <v>1063</v>
      </c>
      <c r="J4" s="601" t="s">
        <v>1065</v>
      </c>
      <c r="K4" s="601" t="s">
        <v>1067</v>
      </c>
      <c r="L4" s="601" t="s">
        <v>1056</v>
      </c>
    </row>
    <row r="5" spans="1:19">
      <c r="A5" s="599"/>
      <c r="B5" s="599"/>
      <c r="C5" s="599"/>
      <c r="D5" s="599"/>
      <c r="E5" s="594"/>
      <c r="F5" s="608"/>
      <c r="G5" s="599"/>
      <c r="H5" s="599"/>
      <c r="I5" s="599"/>
      <c r="J5" s="599"/>
      <c r="K5" s="599"/>
      <c r="L5" s="599"/>
    </row>
    <row r="6" spans="1:19">
      <c r="A6" s="599" t="s">
        <v>262</v>
      </c>
      <c r="B6" s="599"/>
      <c r="C6" s="602"/>
      <c r="D6" s="602"/>
      <c r="E6" s="595">
        <v>204517198.54032651</v>
      </c>
      <c r="F6" s="609">
        <v>177031540.58532894</v>
      </c>
      <c r="G6" s="610">
        <v>203992193.65305397</v>
      </c>
      <c r="H6" s="610">
        <v>150789861.69526377</v>
      </c>
      <c r="I6" s="611">
        <v>195849088.38647228</v>
      </c>
      <c r="J6" s="611">
        <v>172304144.74114013</v>
      </c>
      <c r="K6" s="611">
        <v>204068591.31747553</v>
      </c>
      <c r="L6" s="611">
        <v>201568709.29772615</v>
      </c>
      <c r="N6" s="254">
        <f>+Valoraciones!B16</f>
        <v>204517198.54032651</v>
      </c>
    </row>
    <row r="7" spans="1:19">
      <c r="A7" s="599"/>
      <c r="B7" s="599"/>
      <c r="C7" s="602"/>
      <c r="D7" s="602"/>
      <c r="E7" s="595"/>
      <c r="F7" s="609"/>
      <c r="G7" s="610"/>
      <c r="H7" s="610"/>
      <c r="I7" s="611"/>
      <c r="J7" s="611"/>
      <c r="K7" s="611"/>
      <c r="L7" s="611"/>
      <c r="N7" s="254"/>
    </row>
    <row r="8" spans="1:19">
      <c r="A8" s="599" t="s">
        <v>263</v>
      </c>
      <c r="B8" s="599"/>
      <c r="C8" s="602"/>
      <c r="D8" s="602"/>
      <c r="E8" s="595">
        <v>194868010.55421489</v>
      </c>
      <c r="F8" s="609">
        <v>97679207.421550021</v>
      </c>
      <c r="G8" s="610">
        <v>193350304.61741495</v>
      </c>
      <c r="H8" s="611">
        <v>98569586.891323149</v>
      </c>
      <c r="I8" s="611">
        <v>180829992.37597138</v>
      </c>
      <c r="J8" s="611">
        <v>211759589.67198113</v>
      </c>
      <c r="K8" s="611">
        <v>194549255.79852697</v>
      </c>
      <c r="L8" s="611">
        <v>181192023.1848461</v>
      </c>
      <c r="N8" s="254">
        <f>+Valoraciones!B20</f>
        <v>194868010.55421489</v>
      </c>
    </row>
    <row r="9" spans="1:19" ht="15.75" thickBot="1">
      <c r="A9" s="599"/>
      <c r="B9" s="599"/>
      <c r="C9" s="599"/>
      <c r="D9" s="599"/>
      <c r="E9" s="594"/>
      <c r="F9" s="608"/>
      <c r="G9" s="599"/>
      <c r="H9" s="599"/>
      <c r="I9" s="599"/>
      <c r="J9" s="599"/>
      <c r="K9" s="599"/>
      <c r="L9" s="599"/>
    </row>
    <row r="10" spans="1:19" ht="15.75">
      <c r="A10" s="599" t="s">
        <v>264</v>
      </c>
      <c r="B10" s="603"/>
      <c r="C10" s="603"/>
      <c r="D10" s="603"/>
      <c r="E10" s="596">
        <f>SUM(E6:E9)</f>
        <v>399385209.09454143</v>
      </c>
      <c r="F10" s="612">
        <f t="shared" ref="F10:N10" si="0">SUM(F6:F9)</f>
        <v>274710748.00687897</v>
      </c>
      <c r="G10" s="603">
        <f t="shared" si="0"/>
        <v>397342498.27046895</v>
      </c>
      <c r="H10" s="603">
        <f t="shared" si="0"/>
        <v>249359448.58658692</v>
      </c>
      <c r="I10" s="603">
        <f t="shared" si="0"/>
        <v>376679080.76244366</v>
      </c>
      <c r="J10" s="603">
        <f t="shared" si="0"/>
        <v>384063734.41312122</v>
      </c>
      <c r="K10" s="603">
        <f t="shared" si="0"/>
        <v>398617847.1160025</v>
      </c>
      <c r="L10" s="603">
        <f t="shared" si="0"/>
        <v>382760732.48257226</v>
      </c>
      <c r="N10" s="419">
        <f t="shared" si="0"/>
        <v>399385209.09454143</v>
      </c>
    </row>
    <row r="11" spans="1:19" ht="15.75">
      <c r="A11" s="599"/>
      <c r="B11" s="604"/>
      <c r="C11" s="605"/>
      <c r="D11" s="605"/>
      <c r="E11" s="597"/>
      <c r="F11" s="613">
        <f t="shared" ref="F11:L11" si="1">F10/$E$10-1</f>
        <v>-0.31216594467861192</v>
      </c>
      <c r="G11" s="605">
        <f t="shared" si="1"/>
        <v>-5.1146381427182863E-3</v>
      </c>
      <c r="H11" s="605">
        <f t="shared" si="1"/>
        <v>-0.37564175410522227</v>
      </c>
      <c r="I11" s="605">
        <f t="shared" si="1"/>
        <v>-5.6852702140811728E-2</v>
      </c>
      <c r="J11" s="605">
        <f t="shared" si="1"/>
        <v>-3.8362649223179779E-2</v>
      </c>
      <c r="K11" s="605">
        <f t="shared" si="1"/>
        <v>-1.921358029954745E-3</v>
      </c>
      <c r="L11" s="605">
        <f t="shared" si="1"/>
        <v>-4.16251684674529E-2</v>
      </c>
      <c r="N11" s="420"/>
    </row>
    <row r="12" spans="1:19">
      <c r="A12" s="599"/>
      <c r="B12" s="599"/>
      <c r="C12" s="599"/>
      <c r="D12" s="599"/>
      <c r="E12" s="594"/>
      <c r="F12" s="608"/>
      <c r="G12" s="599"/>
      <c r="H12" s="599"/>
      <c r="I12" s="599"/>
      <c r="J12" s="599"/>
      <c r="K12" s="599"/>
      <c r="L12" s="599"/>
    </row>
    <row r="13" spans="1:19">
      <c r="A13" s="599" t="s">
        <v>265</v>
      </c>
      <c r="B13" s="606"/>
      <c r="C13" s="606"/>
      <c r="D13" s="606"/>
      <c r="E13" s="598">
        <f>+E6/E10</f>
        <v>0.51208005174751914</v>
      </c>
      <c r="F13" s="614">
        <f t="shared" ref="F13:L13" si="2">F6/F10</f>
        <v>0.64442888336096671</v>
      </c>
      <c r="G13" s="606">
        <f t="shared" si="2"/>
        <v>0.51339133000114567</v>
      </c>
      <c r="H13" s="606">
        <f t="shared" si="2"/>
        <v>0.60470883517736007</v>
      </c>
      <c r="I13" s="606">
        <f t="shared" si="2"/>
        <v>0.51993619605859243</v>
      </c>
      <c r="J13" s="606">
        <f t="shared" si="2"/>
        <v>0.4486342481787145</v>
      </c>
      <c r="K13" s="606">
        <f t="shared" si="2"/>
        <v>0.51194042814166607</v>
      </c>
      <c r="L13" s="606">
        <f t="shared" si="2"/>
        <v>0.52661804671121515</v>
      </c>
    </row>
    <row r="14" spans="1:19">
      <c r="A14" s="599" t="s">
        <v>266</v>
      </c>
      <c r="B14" s="606"/>
      <c r="C14" s="606"/>
      <c r="D14" s="606"/>
      <c r="E14" s="598">
        <f>+E8/E10</f>
        <v>0.48791994825248086</v>
      </c>
      <c r="F14" s="614">
        <f t="shared" ref="F14:L14" si="3">F8/F10</f>
        <v>0.35557111663903318</v>
      </c>
      <c r="G14" s="606">
        <f t="shared" si="3"/>
        <v>0.48660866999885427</v>
      </c>
      <c r="H14" s="606">
        <f t="shared" si="3"/>
        <v>0.39529116482263998</v>
      </c>
      <c r="I14" s="606">
        <f t="shared" si="3"/>
        <v>0.48006380394140757</v>
      </c>
      <c r="J14" s="606">
        <f t="shared" si="3"/>
        <v>0.55136575182128555</v>
      </c>
      <c r="K14" s="606">
        <f t="shared" si="3"/>
        <v>0.48805957185833387</v>
      </c>
      <c r="L14" s="606">
        <f t="shared" si="3"/>
        <v>0.47338195328878485</v>
      </c>
    </row>
    <row r="16" spans="1:19">
      <c r="S16" s="356"/>
    </row>
    <row r="17" spans="1:5">
      <c r="A17" s="38" t="s">
        <v>284</v>
      </c>
      <c r="B17" s="421">
        <f>Valoraciones!B25/Balance!M57</f>
        <v>2.39540062729579</v>
      </c>
    </row>
    <row r="18" spans="1:5">
      <c r="A18" s="38" t="s">
        <v>285</v>
      </c>
      <c r="B18" s="421">
        <f>Valoraciones!B25/FCL!M10</f>
        <v>5.5775239929692395</v>
      </c>
    </row>
    <row r="19" spans="1:5">
      <c r="A19" s="38" t="s">
        <v>286</v>
      </c>
      <c r="B19" s="421">
        <f>+Resultados!H28*1000/Valoraciones!D61</f>
        <v>0.67000180265114251</v>
      </c>
    </row>
    <row r="20" spans="1:5">
      <c r="C20" s="421"/>
    </row>
    <row r="21" spans="1:5" hidden="1">
      <c r="A21" s="422" t="s">
        <v>283</v>
      </c>
      <c r="B21" s="356">
        <v>0</v>
      </c>
      <c r="C21" s="356">
        <f>B21+0.5%</f>
        <v>5.0000000000000001E-3</v>
      </c>
      <c r="D21" s="356">
        <f>C21+0.5%</f>
        <v>0.01</v>
      </c>
      <c r="E21" s="356">
        <f>D21+0.5%</f>
        <v>1.4999999999999999E-2</v>
      </c>
    </row>
    <row r="22" spans="1:5" hidden="1">
      <c r="A22" s="38" t="s">
        <v>168</v>
      </c>
    </row>
    <row r="23" spans="1:5" hidden="1">
      <c r="A23" s="368">
        <f>A24-0.5%</f>
        <v>0.11971651562889399</v>
      </c>
      <c r="B23" s="423"/>
      <c r="C23" s="423"/>
      <c r="D23" s="423"/>
      <c r="E23" s="423"/>
    </row>
    <row r="24" spans="1:5" hidden="1">
      <c r="A24" s="368">
        <f>A25-0.5%</f>
        <v>0.12471651562889399</v>
      </c>
      <c r="B24" s="423"/>
      <c r="C24" s="423"/>
      <c r="D24" s="423"/>
      <c r="E24" s="423"/>
    </row>
    <row r="25" spans="1:5" hidden="1">
      <c r="A25" s="368">
        <v>0.129716515628894</v>
      </c>
      <c r="B25" s="424"/>
      <c r="C25" s="423"/>
      <c r="D25" s="423"/>
      <c r="E25" s="423"/>
    </row>
    <row r="26" spans="1:5" hidden="1">
      <c r="A26" s="368">
        <f>A25+0.5%</f>
        <v>0.134716515628894</v>
      </c>
      <c r="B26" s="423"/>
      <c r="C26" s="423"/>
      <c r="D26" s="423"/>
      <c r="E26" s="423"/>
    </row>
    <row r="27" spans="1:5" hidden="1">
      <c r="A27" s="368">
        <f>A26+0.5%</f>
        <v>0.13971651562889401</v>
      </c>
      <c r="B27" s="423"/>
      <c r="C27" s="423"/>
      <c r="D27" s="423"/>
      <c r="E27" s="423"/>
    </row>
    <row r="28" spans="1:5" hidden="1"/>
    <row r="29" spans="1:5" hidden="1"/>
    <row r="30" spans="1:5" hidden="1">
      <c r="A30" s="422" t="s">
        <v>283</v>
      </c>
      <c r="B30" s="356">
        <v>0</v>
      </c>
      <c r="C30" s="356">
        <f>B30+0.5%</f>
        <v>5.0000000000000001E-3</v>
      </c>
      <c r="D30" s="356">
        <f>C30+0.5%</f>
        <v>0.01</v>
      </c>
      <c r="E30" s="356">
        <f>D30+0.5%</f>
        <v>1.4999999999999999E-2</v>
      </c>
    </row>
    <row r="31" spans="1:5" hidden="1">
      <c r="A31" s="38" t="s">
        <v>168</v>
      </c>
    </row>
    <row r="32" spans="1:5" hidden="1">
      <c r="A32" s="368">
        <f>A33-0.5%</f>
        <v>0.11971651562889399</v>
      </c>
      <c r="B32" s="368">
        <f t="shared" ref="B32:E33" si="4">B23/$B$34-1</f>
        <v>-1</v>
      </c>
      <c r="C32" s="368">
        <f t="shared" si="4"/>
        <v>-1</v>
      </c>
      <c r="D32" s="368">
        <f t="shared" si="4"/>
        <v>-1</v>
      </c>
      <c r="E32" s="368">
        <f t="shared" si="4"/>
        <v>-1</v>
      </c>
    </row>
    <row r="33" spans="1:5" hidden="1">
      <c r="A33" s="368">
        <f>A34-0.5%</f>
        <v>0.12471651562889399</v>
      </c>
      <c r="B33" s="368">
        <f t="shared" si="4"/>
        <v>-1</v>
      </c>
      <c r="C33" s="368">
        <f t="shared" si="4"/>
        <v>-1</v>
      </c>
      <c r="D33" s="368">
        <f t="shared" si="4"/>
        <v>-1</v>
      </c>
      <c r="E33" s="368">
        <f t="shared" si="4"/>
        <v>-1</v>
      </c>
    </row>
    <row r="34" spans="1:5" hidden="1">
      <c r="A34" s="368">
        <v>0.129716515628894</v>
      </c>
      <c r="B34" s="424">
        <v>12672.9871792416</v>
      </c>
      <c r="C34" s="368">
        <f t="shared" ref="C34:E36" si="5">C25/$B$34-1</f>
        <v>-1</v>
      </c>
      <c r="D34" s="368">
        <f t="shared" si="5"/>
        <v>-1</v>
      </c>
      <c r="E34" s="368">
        <f t="shared" si="5"/>
        <v>-1</v>
      </c>
    </row>
    <row r="35" spans="1:5" hidden="1">
      <c r="A35" s="368">
        <f>A34+0.5%</f>
        <v>0.134716515628894</v>
      </c>
      <c r="B35" s="368">
        <f>B26/$B$34-1</f>
        <v>-1</v>
      </c>
      <c r="C35" s="368">
        <f t="shared" si="5"/>
        <v>-1</v>
      </c>
      <c r="D35" s="368">
        <f t="shared" si="5"/>
        <v>-1</v>
      </c>
      <c r="E35" s="368">
        <f t="shared" si="5"/>
        <v>-1</v>
      </c>
    </row>
    <row r="36" spans="1:5" hidden="1">
      <c r="A36" s="368">
        <f>A35+0.5%</f>
        <v>0.13971651562889401</v>
      </c>
      <c r="B36" s="368">
        <f>B27/$B$34-1</f>
        <v>-1</v>
      </c>
      <c r="C36" s="368">
        <f t="shared" si="5"/>
        <v>-1</v>
      </c>
      <c r="D36" s="368">
        <f t="shared" si="5"/>
        <v>-1</v>
      </c>
      <c r="E36" s="368">
        <f t="shared" si="5"/>
        <v>-1</v>
      </c>
    </row>
  </sheetData>
  <phoneticPr fontId="11" type="noConversion"/>
  <pageMargins left="0.75" right="0.75" top="1" bottom="1" header="0.5" footer="0.5"/>
  <pageSetup orientation="portrait" horizontalDpi="4294967295"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pageSetUpPr fitToPage="1"/>
  </sheetPr>
  <dimension ref="A1:Y35"/>
  <sheetViews>
    <sheetView showGridLines="0" zoomScale="70" zoomScaleNormal="70" zoomScalePageLayoutView="125" workbookViewId="0">
      <selection activeCell="B17" sqref="B17"/>
    </sheetView>
  </sheetViews>
  <sheetFormatPr baseColWidth="10" defaultColWidth="8.88671875" defaultRowHeight="15"/>
  <cols>
    <col min="1" max="1" width="3.6640625" customWidth="1"/>
    <col min="2" max="2" width="26.33203125" bestFit="1" customWidth="1"/>
    <col min="3" max="3" width="13.5546875" customWidth="1"/>
    <col min="4" max="4" width="10.44140625" customWidth="1"/>
    <col min="5" max="5" width="13.5546875" customWidth="1"/>
    <col min="6" max="6" width="10.109375" customWidth="1"/>
    <col min="7" max="7" width="13.5546875" customWidth="1"/>
    <col min="8" max="8" width="9.88671875" customWidth="1"/>
    <col min="9" max="9" width="13.5546875" customWidth="1"/>
    <col min="10" max="10" width="9.5546875" customWidth="1"/>
    <col min="11" max="11" width="13.6640625" customWidth="1"/>
    <col min="12" max="12" width="9.5546875" customWidth="1"/>
    <col min="13" max="13" width="12.33203125" customWidth="1"/>
    <col min="14" max="14" width="9.5546875" customWidth="1"/>
    <col min="15" max="15" width="12.33203125" customWidth="1"/>
    <col min="16" max="16" width="9.5546875" customWidth="1"/>
    <col min="17" max="17" width="12.6640625" customWidth="1"/>
    <col min="18" max="18" width="9.5546875" customWidth="1"/>
    <col min="19" max="19" width="13.5546875" customWidth="1"/>
    <col min="20" max="20" width="9.5546875" customWidth="1"/>
    <col min="21" max="21" width="13.33203125" customWidth="1"/>
    <col min="22" max="22" width="9.6640625" customWidth="1"/>
    <col min="23" max="23" width="12.5546875" customWidth="1"/>
  </cols>
  <sheetData>
    <row r="1" spans="1:24" ht="15.75">
      <c r="A1" s="1" t="str">
        <f>+Balance!A1</f>
        <v>Compañía Modelo - EVA</v>
      </c>
      <c r="B1" s="2"/>
      <c r="C1" s="2"/>
      <c r="D1" s="2"/>
      <c r="E1" s="2"/>
      <c r="F1" s="2"/>
      <c r="G1" s="2"/>
      <c r="H1" s="2"/>
      <c r="I1" s="2"/>
    </row>
    <row r="2" spans="1:24" ht="15.75">
      <c r="A2" s="1" t="s">
        <v>149</v>
      </c>
      <c r="B2" s="2"/>
      <c r="C2" s="2"/>
      <c r="D2" s="2"/>
      <c r="E2" s="2"/>
      <c r="F2" s="2"/>
      <c r="G2" s="2"/>
      <c r="H2" s="2"/>
      <c r="I2" s="2"/>
    </row>
    <row r="3" spans="1:24" ht="15.75">
      <c r="A3" s="1"/>
      <c r="B3" s="2"/>
      <c r="C3" s="2"/>
      <c r="D3" s="2"/>
      <c r="E3" s="2"/>
      <c r="F3" s="2"/>
      <c r="G3" s="2"/>
      <c r="H3" s="2"/>
      <c r="I3" s="2"/>
    </row>
    <row r="4" spans="1:24" ht="16.5" thickBot="1">
      <c r="A4" s="2"/>
      <c r="B4" s="2"/>
      <c r="C4" s="3">
        <f>'KWOp.%'!$C$4</f>
        <v>2009</v>
      </c>
      <c r="D4" s="3"/>
      <c r="E4" s="3">
        <f>C4+1</f>
        <v>2010</v>
      </c>
      <c r="F4" s="3"/>
      <c r="G4" s="3">
        <f>E4+1</f>
        <v>2011</v>
      </c>
      <c r="H4" s="3"/>
      <c r="I4" s="3">
        <f>G4+1</f>
        <v>2012</v>
      </c>
      <c r="J4" s="3"/>
      <c r="K4" s="3">
        <f>I4+1</f>
        <v>2013</v>
      </c>
      <c r="L4" s="3"/>
      <c r="M4" s="3" t="s">
        <v>342</v>
      </c>
      <c r="O4" s="3" t="s">
        <v>343</v>
      </c>
      <c r="P4" s="3"/>
      <c r="Q4" s="3" t="s">
        <v>344</v>
      </c>
      <c r="R4" s="3"/>
      <c r="S4" s="3" t="s">
        <v>345</v>
      </c>
      <c r="T4" s="3"/>
      <c r="U4" s="3" t="s">
        <v>346</v>
      </c>
      <c r="V4" s="3"/>
      <c r="W4" s="3" t="s">
        <v>347</v>
      </c>
      <c r="X4" s="3"/>
    </row>
    <row r="6" spans="1:24" ht="15.75">
      <c r="A6" s="24" t="s">
        <v>150</v>
      </c>
      <c r="B6" s="25"/>
      <c r="C6" s="25"/>
      <c r="D6" s="25"/>
      <c r="E6" s="45"/>
      <c r="F6" s="25"/>
      <c r="G6" s="25"/>
      <c r="H6" s="25"/>
      <c r="I6" s="25"/>
      <c r="K6" s="25"/>
      <c r="M6" s="25"/>
      <c r="O6" s="25"/>
      <c r="Q6" s="25"/>
      <c r="S6" s="25"/>
      <c r="U6" s="25"/>
      <c r="W6" s="25"/>
    </row>
    <row r="7" spans="1:24">
      <c r="A7" s="25"/>
      <c r="B7" s="25" t="s">
        <v>52</v>
      </c>
      <c r="C7" s="28">
        <f>+KWOp.!C23</f>
        <v>36062268</v>
      </c>
      <c r="E7" s="28">
        <f>+KWOp.!D23</f>
        <v>38658456</v>
      </c>
      <c r="G7" s="28">
        <f>+KWOp.!E23</f>
        <v>27856523</v>
      </c>
      <c r="I7" s="28">
        <f>+KWOp.!F23</f>
        <v>62709642</v>
      </c>
      <c r="J7" s="28"/>
      <c r="K7" s="28">
        <f>+KWOp.!G23</f>
        <v>53390744</v>
      </c>
      <c r="L7" s="28"/>
      <c r="M7" s="28">
        <f>+KWOp.!H23</f>
        <v>62995867.040349409</v>
      </c>
      <c r="O7" s="28">
        <f>+KWOp.!I23</f>
        <v>60678515.123396516</v>
      </c>
      <c r="Q7" s="28">
        <f>+KWOp.!J23</f>
        <v>66340367.596772045</v>
      </c>
      <c r="S7" s="28">
        <f>+KWOp.!K23</f>
        <v>60131874.593507692</v>
      </c>
      <c r="T7" s="28"/>
      <c r="U7" s="28">
        <f>+KWOp.!L23</f>
        <v>57218849.767350435</v>
      </c>
      <c r="W7" s="28">
        <f>+KWOp.!M23</f>
        <v>53263705.080333479</v>
      </c>
    </row>
    <row r="8" spans="1:24">
      <c r="A8" s="25"/>
      <c r="B8" s="25" t="s">
        <v>1085</v>
      </c>
      <c r="C8" s="28">
        <f>-KWOp.!C27</f>
        <v>-1198581</v>
      </c>
      <c r="E8" s="28">
        <f>-KWOp.!D27</f>
        <v>-1375272</v>
      </c>
      <c r="G8" s="28">
        <f>-KWOp.!E27</f>
        <v>-6990518</v>
      </c>
      <c r="I8" s="28">
        <f>-KWOp.!F27</f>
        <v>-5485392</v>
      </c>
      <c r="J8" s="28"/>
      <c r="K8" s="28">
        <f>-KWOp.!G27</f>
        <v>-7499105</v>
      </c>
      <c r="L8" s="28"/>
      <c r="M8" s="28">
        <f>-KWOp.!H27</f>
        <v>-3517639.4643158028</v>
      </c>
      <c r="O8" s="28">
        <f>-KWOp.!I27</f>
        <v>-5102413.7010380924</v>
      </c>
      <c r="Q8" s="28">
        <f>-KWOp.!J27</f>
        <v>-6642810.3528321367</v>
      </c>
      <c r="S8" s="28">
        <f>-KWOp.!K27</f>
        <v>-7715769.8995759981</v>
      </c>
      <c r="T8" s="28"/>
      <c r="U8" s="28">
        <f>-KWOp.!L27</f>
        <v>-7800934.0809393199</v>
      </c>
      <c r="V8" s="28"/>
      <c r="W8" s="28">
        <f>-KWOp.!M27</f>
        <v>-7823168.7584638828</v>
      </c>
    </row>
    <row r="9" spans="1:24">
      <c r="A9" s="25"/>
      <c r="B9" s="25" t="s">
        <v>151</v>
      </c>
      <c r="C9" s="28">
        <f>+Balance!C16+Balance!C19+Balance!C17+Balance!C20+Balance!C24</f>
        <v>76198310</v>
      </c>
      <c r="D9" s="28"/>
      <c r="E9" s="28">
        <f>+Balance!D16+Balance!D19+Balance!D17+Balance!D20+Balance!D24</f>
        <v>96098377</v>
      </c>
      <c r="F9" s="28"/>
      <c r="G9" s="28">
        <f>+Balance!E16+Balance!E19+Balance!E17+Balance!E20+Balance!E24</f>
        <v>71228165</v>
      </c>
      <c r="H9" s="28"/>
      <c r="I9" s="28">
        <f>+Balance!F16+Balance!F19+Balance!F17+Balance!F20+Balance!F24</f>
        <v>196771187</v>
      </c>
      <c r="K9" s="28">
        <f>+Balance!G16+Balance!G19+Balance!G17+Balance!G20+Balance!G24</f>
        <v>198014015</v>
      </c>
      <c r="M9" s="28">
        <f>+Balance!H16+Balance!H19+Balance!H17+Balance!H20+Balance!H24</f>
        <v>171123370.2949622</v>
      </c>
      <c r="O9" s="28">
        <f>+Balance!I16+Balance!I19+Balance!I17+Balance!I20+Balance!I24</f>
        <v>144218807.67290846</v>
      </c>
      <c r="Q9" s="28">
        <f>+Balance!J16+Balance!J19+Balance!J17+Balance!J20+Balance!J24</f>
        <v>132090578.62508118</v>
      </c>
      <c r="S9" s="28">
        <f>+Balance!K16+Balance!K19+Balance!K17+Balance!K20+Balance!K24</f>
        <v>106137283.19881326</v>
      </c>
      <c r="U9" s="28">
        <f>+Balance!L16+Balance!L19+Balance!L17+Balance!L20+Balance!L24</f>
        <v>90904736.140154243</v>
      </c>
      <c r="W9" s="28">
        <f>+Balance!M16+Balance!M19+Balance!M17+Balance!M20+Balance!M24</f>
        <v>99799153.202089846</v>
      </c>
    </row>
    <row r="10" spans="1:24">
      <c r="A10" s="25"/>
      <c r="B10" s="503" t="s">
        <v>1080</v>
      </c>
      <c r="C10" s="28"/>
      <c r="D10" s="28"/>
      <c r="E10" s="28"/>
      <c r="F10" s="28"/>
      <c r="G10" s="28"/>
      <c r="H10" s="28"/>
      <c r="I10" s="28"/>
      <c r="K10" s="28"/>
      <c r="M10" s="28"/>
      <c r="O10" s="28"/>
      <c r="Q10" s="28"/>
      <c r="S10" s="28"/>
      <c r="U10" s="28"/>
      <c r="W10" s="28"/>
    </row>
    <row r="11" spans="1:24" ht="15.75" thickBot="1">
      <c r="A11" s="25"/>
      <c r="B11" s="25"/>
      <c r="C11" s="28"/>
      <c r="D11" s="28"/>
      <c r="E11" s="28"/>
      <c r="F11" s="28"/>
      <c r="G11" s="28"/>
      <c r="H11" s="28"/>
      <c r="I11" s="28"/>
      <c r="K11" s="28"/>
      <c r="M11" s="28"/>
      <c r="O11" s="28"/>
      <c r="Q11" s="28"/>
      <c r="S11" s="28"/>
      <c r="U11" s="28"/>
      <c r="W11" s="28"/>
    </row>
    <row r="12" spans="1:24" ht="17.25" thickTop="1" thickBot="1">
      <c r="A12" s="26" t="s">
        <v>153</v>
      </c>
      <c r="B12" s="27"/>
      <c r="C12" s="29">
        <f>SUM(C7:C11)</f>
        <v>111061997</v>
      </c>
      <c r="D12" s="29"/>
      <c r="E12" s="29">
        <f>SUM(E7:E11)</f>
        <v>133381561</v>
      </c>
      <c r="F12" s="29"/>
      <c r="G12" s="29">
        <f>SUM(G7:G11)</f>
        <v>92094170</v>
      </c>
      <c r="H12" s="29"/>
      <c r="I12" s="29">
        <f>SUM(I7:I11)</f>
        <v>253995437</v>
      </c>
      <c r="J12" s="29"/>
      <c r="K12" s="29">
        <f>SUM(K7:K11)</f>
        <v>243905654</v>
      </c>
      <c r="L12" s="29"/>
      <c r="M12" s="29">
        <f>SUM(M7:M11)</f>
        <v>230601597.87099582</v>
      </c>
      <c r="N12" s="29"/>
      <c r="O12" s="29">
        <f>SUM(O7:O11)</f>
        <v>199794909.09526688</v>
      </c>
      <c r="P12" s="29"/>
      <c r="Q12" s="29">
        <f>SUM(Q7:Q11)</f>
        <v>191788135.86902109</v>
      </c>
      <c r="R12" s="29"/>
      <c r="S12" s="29">
        <f>SUM(S7:S11)</f>
        <v>158553387.89274496</v>
      </c>
      <c r="T12" s="29"/>
      <c r="U12" s="29">
        <f>SUM(U7:U11)</f>
        <v>140322651.82656536</v>
      </c>
      <c r="V12" s="29"/>
      <c r="W12" s="29">
        <f>SUM(W7:W11)</f>
        <v>145239689.52395946</v>
      </c>
      <c r="X12" s="29"/>
    </row>
    <row r="13" spans="1:24" s="38" customFormat="1" ht="15.75" thickTop="1">
      <c r="A13" s="388"/>
      <c r="B13" s="388"/>
      <c r="C13" s="235"/>
      <c r="D13" s="235"/>
      <c r="E13" s="235"/>
      <c r="F13" s="235"/>
      <c r="G13" s="235"/>
      <c r="H13" s="235"/>
      <c r="I13" s="235"/>
      <c r="J13" s="236"/>
      <c r="K13" s="235"/>
      <c r="L13" s="236"/>
      <c r="M13" s="235"/>
      <c r="N13" s="236"/>
      <c r="O13" s="235"/>
      <c r="P13" s="236"/>
      <c r="Q13" s="235"/>
      <c r="R13" s="236"/>
      <c r="S13" s="235"/>
      <c r="T13" s="236"/>
      <c r="U13" s="235"/>
      <c r="V13" s="236"/>
      <c r="W13" s="235"/>
    </row>
    <row r="14" spans="1:24" s="38" customFormat="1" ht="15.75">
      <c r="A14" s="389" t="s">
        <v>154</v>
      </c>
      <c r="B14" s="388"/>
      <c r="C14" s="254"/>
      <c r="D14" s="411"/>
      <c r="E14" s="254"/>
      <c r="F14" s="411"/>
      <c r="G14" s="254"/>
      <c r="H14" s="411"/>
      <c r="I14" s="254"/>
      <c r="J14" s="254"/>
      <c r="K14" s="254"/>
      <c r="L14" s="254"/>
      <c r="M14" s="254"/>
      <c r="N14" s="254"/>
      <c r="O14" s="254"/>
      <c r="P14" s="254"/>
      <c r="Q14" s="254"/>
      <c r="R14" s="254"/>
      <c r="S14" s="254"/>
      <c r="T14" s="254"/>
      <c r="U14" s="254"/>
      <c r="V14" s="254"/>
      <c r="W14" s="254"/>
      <c r="X14" s="254"/>
    </row>
    <row r="15" spans="1:24" ht="15.75">
      <c r="A15" s="24"/>
      <c r="B15" s="25" t="s">
        <v>1022</v>
      </c>
      <c r="C15" s="28">
        <f>-PasivoFciero.!C20</f>
        <v>-122138</v>
      </c>
      <c r="D15" s="35">
        <f>+C15/C$25</f>
        <v>1.0997281095170655E-3</v>
      </c>
      <c r="E15" s="28">
        <f>-PasivoFciero.!D20</f>
        <v>-28796818</v>
      </c>
      <c r="F15" s="35">
        <f>+E15/E$25</f>
        <v>0.21589804305859039</v>
      </c>
      <c r="G15" s="28">
        <f>-PasivoFciero.!E20</f>
        <v>-4197411</v>
      </c>
      <c r="H15" s="35">
        <f>+G15/G$25</f>
        <v>4.557738019681376E-2</v>
      </c>
      <c r="I15" s="28">
        <f>-PasivoFciero.!F20</f>
        <v>-63136362</v>
      </c>
      <c r="J15" s="35">
        <f>+I15/I$25</f>
        <v>0.24857281983376733</v>
      </c>
      <c r="K15" s="28">
        <f>-PasivoFciero.!G20</f>
        <v>-52139865</v>
      </c>
      <c r="L15" s="35">
        <f>+K15/K$25</f>
        <v>0.21377062870383481</v>
      </c>
      <c r="M15" s="28">
        <f>-PasivoFciero.!H20</f>
        <v>-40217450.720014229</v>
      </c>
      <c r="N15" s="35">
        <f>+M15/M$25</f>
        <v>0.17440230723168212</v>
      </c>
      <c r="O15" s="28">
        <f>-PasivoFciero.!I20</f>
        <v>-27582482.101446908</v>
      </c>
      <c r="P15" s="35">
        <f>+O15/O$25</f>
        <v>0.13805397858408361</v>
      </c>
      <c r="Q15" s="28">
        <f>-PasivoFciero.!J20</f>
        <v>-25761962.75078465</v>
      </c>
      <c r="R15" s="35">
        <f>+Q15/Q$25</f>
        <v>0.13432511158238905</v>
      </c>
      <c r="S15" s="28">
        <f>-PasivoFciero.!K20</f>
        <v>-7935141.9786319686</v>
      </c>
      <c r="T15" s="35">
        <f>+S15/S$25</f>
        <v>5.0047129765525902E-2</v>
      </c>
      <c r="U15" s="28">
        <f>-PasivoFciero.!L20</f>
        <v>-4082834.2729640231</v>
      </c>
      <c r="V15" s="35">
        <f>+U15/U$25</f>
        <v>2.9096045576520922E-2</v>
      </c>
      <c r="W15" s="28">
        <f>-PasivoFciero.!M20</f>
        <v>-1.862645149230957E-9</v>
      </c>
      <c r="X15" s="35">
        <f>+W15/W$25</f>
        <v>1.282462910335322E-17</v>
      </c>
    </row>
    <row r="16" spans="1:24">
      <c r="A16" s="25"/>
      <c r="B16" s="25" t="s">
        <v>295</v>
      </c>
      <c r="C16" s="28">
        <f>-Balance!C37</f>
        <v>-27457</v>
      </c>
      <c r="D16" s="35">
        <f>+C16/C$25</f>
        <v>2.4722227892228518E-4</v>
      </c>
      <c r="E16" s="28">
        <f>-Balance!D37</f>
        <v>-43691</v>
      </c>
      <c r="F16" s="35">
        <f>+E16/E$25</f>
        <v>3.2756401763809018E-4</v>
      </c>
      <c r="G16" s="28">
        <f>-Balance!E37</f>
        <v>-39080</v>
      </c>
      <c r="H16" s="35">
        <f>+G16/G$25</f>
        <v>4.2434825136053672E-4</v>
      </c>
      <c r="I16" s="28">
        <f>-Balance!F37</f>
        <v>-53412</v>
      </c>
      <c r="J16" s="35">
        <f>+I16/I$25</f>
        <v>2.1028724228616753E-4</v>
      </c>
      <c r="K16" s="28">
        <f>-Balance!G37</f>
        <v>-51922</v>
      </c>
      <c r="L16" s="35">
        <f>+K16/K$25</f>
        <v>2.1287739397791902E-4</v>
      </c>
      <c r="M16" s="28">
        <f>-Balance!H37</f>
        <v>0</v>
      </c>
      <c r="N16" s="35">
        <f>+M16/M$25</f>
        <v>0</v>
      </c>
      <c r="O16" s="28">
        <f>-Balance!I37</f>
        <v>0</v>
      </c>
      <c r="P16" s="35">
        <f>+O16/O$25</f>
        <v>0</v>
      </c>
      <c r="Q16" s="28">
        <f>-Balance!J37</f>
        <v>0</v>
      </c>
      <c r="R16" s="35">
        <f>+Q16/Q$25</f>
        <v>0</v>
      </c>
      <c r="S16" s="28">
        <f>-Balance!K37</f>
        <v>0</v>
      </c>
      <c r="T16" s="35">
        <f>+S16/S$25</f>
        <v>0</v>
      </c>
      <c r="U16" s="28">
        <f>-Balance!L37</f>
        <v>0</v>
      </c>
      <c r="V16" s="35">
        <f>+U16/U$25</f>
        <v>0</v>
      </c>
      <c r="W16" s="28">
        <f>-Balance!M37</f>
        <v>0</v>
      </c>
      <c r="X16" s="35">
        <f>+W16/W$25</f>
        <v>0</v>
      </c>
    </row>
    <row r="17" spans="1:24" ht="15.75" thickBot="1">
      <c r="A17" s="25"/>
      <c r="B17" s="25" t="s">
        <v>994</v>
      </c>
      <c r="C17" s="28">
        <f>+Balance!C18+Balance!C21+Balance!C22</f>
        <v>3738386</v>
      </c>
      <c r="D17" s="35">
        <f>+C17/C$25</f>
        <v>-3.3660352784760386E-2</v>
      </c>
      <c r="E17" s="28">
        <f>Balance!D18+Balance!D21+Balance!D22</f>
        <v>12608016</v>
      </c>
      <c r="F17" s="35">
        <f>+E17/E$25</f>
        <v>-9.4525929262441299E-2</v>
      </c>
      <c r="G17" s="28">
        <f>Balance!E18+Balance!E21+Balance!E22</f>
        <v>61240472</v>
      </c>
      <c r="H17" s="35">
        <f>+G17/G$25</f>
        <v>-0.66497664292973158</v>
      </c>
      <c r="I17" s="28">
        <f>Balance!F18+Balance!F21+Balance!F22</f>
        <v>16193459</v>
      </c>
      <c r="J17" s="35">
        <f>+I17/I$25</f>
        <v>-6.3754920920095118E-2</v>
      </c>
      <c r="K17" s="28">
        <f>Balance!G18+Balance!G21+Balance!G22</f>
        <v>14527930</v>
      </c>
      <c r="L17" s="35">
        <f>+K17/K$25</f>
        <v>-5.9563727866677497E-2</v>
      </c>
      <c r="M17" s="28">
        <f>Balance!H18+Balance!H21+Balance!H22</f>
        <v>19176964.938166481</v>
      </c>
      <c r="N17" s="35">
        <f>+M17/M$25</f>
        <v>-8.3160590018524244E-2</v>
      </c>
      <c r="O17" s="28">
        <f>Balance!I18+Balance!I21+Balance!I22</f>
        <v>22332662.80526869</v>
      </c>
      <c r="P17" s="35">
        <f>+O17/O$25</f>
        <v>-0.11177793721770934</v>
      </c>
      <c r="Q17" s="28">
        <f>Balance!J18+Balance!J21+Balance!J22</f>
        <v>25601794.620129641</v>
      </c>
      <c r="R17" s="35">
        <f>+Q17/Q$25</f>
        <v>-0.13348998103623058</v>
      </c>
      <c r="S17" s="28">
        <f>Balance!K18+Balance!K21+Balance!K22</f>
        <v>19620678.43523236</v>
      </c>
      <c r="T17" s="35">
        <f>+S17/S$25</f>
        <v>-0.12374808697563101</v>
      </c>
      <c r="U17" s="28">
        <f>Balance!L18+Balance!L21+Balance!L22</f>
        <v>20319827.131459855</v>
      </c>
      <c r="V17" s="35">
        <f>+U17/U$25</f>
        <v>-0.14480789000891001</v>
      </c>
      <c r="W17" s="28">
        <f>Balance!M18+Balance!M21+Balance!M22</f>
        <v>21490336.570011456</v>
      </c>
      <c r="X17" s="35">
        <f>+W17/W$25</f>
        <v>-0.14796462757837481</v>
      </c>
    </row>
    <row r="18" spans="1:24" ht="15.75">
      <c r="A18" s="25"/>
      <c r="B18" s="24" t="s">
        <v>155</v>
      </c>
      <c r="C18" s="31">
        <f>SUM(C15:C17)</f>
        <v>3588791</v>
      </c>
      <c r="D18" s="35">
        <f>+C18/C$25</f>
        <v>-3.2313402396321037E-2</v>
      </c>
      <c r="E18" s="31">
        <f>SUM(E15:E17)</f>
        <v>-16232493</v>
      </c>
      <c r="F18" s="35">
        <f>+E18/E$25</f>
        <v>0.12169967781378717</v>
      </c>
      <c r="G18" s="31">
        <f>SUM(G15:G17)</f>
        <v>57003981</v>
      </c>
      <c r="H18" s="35">
        <f>+G18/G$25</f>
        <v>-0.61897491448155728</v>
      </c>
      <c r="I18" s="31">
        <f>SUM(I15:I17)</f>
        <v>-46996315</v>
      </c>
      <c r="J18" s="35">
        <f>+I18/I$25</f>
        <v>0.1850281861559584</v>
      </c>
      <c r="K18" s="31">
        <f>SUM(K15:K17)</f>
        <v>-37663857</v>
      </c>
      <c r="L18" s="35">
        <f>+K18/K$25</f>
        <v>0.15441977823113523</v>
      </c>
      <c r="M18" s="31">
        <f>SUM(M15:M17)</f>
        <v>-21040485.781847749</v>
      </c>
      <c r="N18" s="35">
        <f>+M18/M$25</f>
        <v>9.1241717213157866E-2</v>
      </c>
      <c r="O18" s="31">
        <f>SUM(O15:O17)</f>
        <v>-5249819.296178218</v>
      </c>
      <c r="P18" s="35">
        <f>+O18/O$25</f>
        <v>2.6276041366374261E-2</v>
      </c>
      <c r="Q18" s="31">
        <f>SUM(Q15:Q17)</f>
        <v>-160168.1306550093</v>
      </c>
      <c r="R18" s="35">
        <f>+Q18/Q$25</f>
        <v>8.3513054615846406E-4</v>
      </c>
      <c r="S18" s="31">
        <f>SUM(S15:S17)</f>
        <v>11685536.45660039</v>
      </c>
      <c r="T18" s="35">
        <f>+S18/S$25</f>
        <v>-7.3700957210105097E-2</v>
      </c>
      <c r="U18" s="31">
        <f>SUM(U15:U17)</f>
        <v>16236992.858495831</v>
      </c>
      <c r="V18" s="35">
        <f>+U18/U$25</f>
        <v>-0.11571184443238908</v>
      </c>
      <c r="W18" s="31">
        <f>SUM(W15:W17)</f>
        <v>21490336.570011452</v>
      </c>
      <c r="X18" s="35">
        <f>+W18/W$25</f>
        <v>-0.14796462757837478</v>
      </c>
    </row>
    <row r="19" spans="1:24">
      <c r="C19" s="30">
        <f>-C15-C16</f>
        <v>149595</v>
      </c>
      <c r="D19" s="30"/>
      <c r="E19" s="30">
        <f>-E15-E16</f>
        <v>28840509</v>
      </c>
      <c r="F19" s="30"/>
      <c r="G19" s="30"/>
      <c r="H19" s="30"/>
      <c r="I19" s="30"/>
      <c r="J19" s="30"/>
      <c r="K19" s="30"/>
      <c r="L19" s="30"/>
      <c r="M19" s="30"/>
      <c r="N19" s="30"/>
      <c r="O19" s="30"/>
      <c r="P19" s="30"/>
      <c r="Q19" s="30"/>
      <c r="R19" s="30"/>
      <c r="S19" s="30"/>
      <c r="T19" s="30"/>
      <c r="U19" s="30"/>
      <c r="V19" s="30"/>
      <c r="W19" s="30"/>
      <c r="X19" s="30"/>
    </row>
    <row r="20" spans="1:24" ht="15.75">
      <c r="A20" s="24" t="s">
        <v>156</v>
      </c>
      <c r="B20" s="25"/>
      <c r="C20" s="28"/>
      <c r="D20" s="28"/>
      <c r="E20" s="28">
        <f>+E19-C19</f>
        <v>28690914</v>
      </c>
      <c r="F20" s="28"/>
      <c r="G20" s="28"/>
      <c r="H20" s="28"/>
      <c r="I20" s="28"/>
      <c r="J20" s="28"/>
      <c r="K20" s="28"/>
      <c r="L20" s="28"/>
      <c r="M20" s="28"/>
      <c r="N20" s="28"/>
      <c r="O20" s="28"/>
      <c r="P20" s="28"/>
      <c r="Q20" s="28"/>
      <c r="R20" s="28"/>
      <c r="S20" s="28"/>
      <c r="T20" s="28"/>
      <c r="U20" s="28"/>
      <c r="V20" s="28"/>
      <c r="W20" s="28"/>
      <c r="X20" s="28"/>
    </row>
    <row r="21" spans="1:24">
      <c r="A21" s="25"/>
      <c r="B21" s="25" t="s">
        <v>157</v>
      </c>
      <c r="C21" s="28">
        <f>-Balance!C57+Balance!C23</f>
        <v>-114650788</v>
      </c>
      <c r="D21" s="35">
        <f>+C21/C$25</f>
        <v>1.032313402396321</v>
      </c>
      <c r="E21" s="28">
        <f>-Balance!D57+Balance!D23</f>
        <v>-117149068</v>
      </c>
      <c r="F21" s="35">
        <f>+E21/E$25</f>
        <v>0.87830032218621279</v>
      </c>
      <c r="G21" s="28">
        <f>-Balance!E57+Balance!E23</f>
        <v>-149098151</v>
      </c>
      <c r="H21" s="35">
        <f>+G21/G$25</f>
        <v>1.6189749144815573</v>
      </c>
      <c r="I21" s="28">
        <f>-Balance!F57+Balance!F23</f>
        <v>-206999122</v>
      </c>
      <c r="J21" s="35">
        <f>+I21/I$25</f>
        <v>0.8149718138440416</v>
      </c>
      <c r="K21" s="28">
        <f>-Balance!G57+Balance!G23</f>
        <v>-206241797</v>
      </c>
      <c r="L21" s="35">
        <f>+K21/K$25</f>
        <v>0.84558022176886483</v>
      </c>
      <c r="M21" s="28">
        <f>-Balance!H57+Balance!H23</f>
        <v>-209561112.0891481</v>
      </c>
      <c r="N21" s="35">
        <f>+M21/M$25</f>
        <v>0.90875828278684212</v>
      </c>
      <c r="O21" s="28">
        <f>-Balance!I57+Balance!I23</f>
        <v>-194545089.79908869</v>
      </c>
      <c r="P21" s="35">
        <f>+O21/O$25</f>
        <v>0.97372395863362571</v>
      </c>
      <c r="Q21" s="28">
        <f>-Balance!J57+Balance!J23</f>
        <v>-191627967.73836607</v>
      </c>
      <c r="R21" s="35">
        <f>+Q21/Q$25</f>
        <v>0.99916486945384153</v>
      </c>
      <c r="S21" s="28">
        <f>-Balance!K57+Balance!K23</f>
        <v>-170238924.34934533</v>
      </c>
      <c r="T21" s="35">
        <f>+S21/S$25</f>
        <v>1.0737009572101051</v>
      </c>
      <c r="U21" s="28">
        <f>-Balance!L57+Balance!L23</f>
        <v>-156559644.68506122</v>
      </c>
      <c r="V21" s="35">
        <f>+U21/U$25</f>
        <v>1.115711844432389</v>
      </c>
      <c r="W21" s="28">
        <f>-Balance!M57+Balance!M23</f>
        <v>-166730026.09397095</v>
      </c>
      <c r="X21" s="35">
        <f>+W21/W$25</f>
        <v>1.1479646275783746</v>
      </c>
    </row>
    <row r="22" spans="1:24" ht="15.75" thickBot="1">
      <c r="A22" s="25"/>
      <c r="B22" s="25" t="s">
        <v>152</v>
      </c>
      <c r="C22" s="28">
        <v>0</v>
      </c>
      <c r="D22" s="35">
        <f>+C22/C$25</f>
        <v>0</v>
      </c>
      <c r="E22" s="28">
        <v>0</v>
      </c>
      <c r="F22" s="35">
        <f>+E22/E$25</f>
        <v>0</v>
      </c>
      <c r="G22" s="28">
        <v>0</v>
      </c>
      <c r="H22" s="35">
        <f>+G22/G$25</f>
        <v>0</v>
      </c>
      <c r="I22" s="28">
        <v>0</v>
      </c>
      <c r="J22" s="35">
        <f>+I22/I$25</f>
        <v>0</v>
      </c>
      <c r="K22" s="28">
        <v>0</v>
      </c>
      <c r="L22" s="35">
        <f>+K22/K$25</f>
        <v>0</v>
      </c>
      <c r="M22" s="28">
        <v>0</v>
      </c>
      <c r="N22" s="35">
        <f>+M22/M$25</f>
        <v>0</v>
      </c>
      <c r="O22" s="28">
        <v>0</v>
      </c>
      <c r="P22" s="35">
        <f>+O22/O$25</f>
        <v>0</v>
      </c>
      <c r="Q22" s="28">
        <v>0</v>
      </c>
      <c r="R22" s="35">
        <f>+Q22/Q$25</f>
        <v>0</v>
      </c>
      <c r="S22" s="28">
        <v>0</v>
      </c>
      <c r="T22" s="35">
        <f>+S22/S$25</f>
        <v>0</v>
      </c>
      <c r="U22" s="28">
        <v>0</v>
      </c>
      <c r="V22" s="35">
        <f>+U22/U$25</f>
        <v>0</v>
      </c>
      <c r="W22" s="28">
        <v>0</v>
      </c>
      <c r="X22" s="35">
        <f>+W22/W$25</f>
        <v>0</v>
      </c>
    </row>
    <row r="23" spans="1:24" ht="15.75">
      <c r="A23" s="25"/>
      <c r="B23" s="24" t="s">
        <v>158</v>
      </c>
      <c r="C23" s="31">
        <f t="shared" ref="C23:K23" si="0">SUM(C21:C22)</f>
        <v>-114650788</v>
      </c>
      <c r="D23" s="35">
        <f>+C23/C$25</f>
        <v>1.032313402396321</v>
      </c>
      <c r="E23" s="31">
        <f t="shared" si="0"/>
        <v>-117149068</v>
      </c>
      <c r="F23" s="35">
        <f>+E23/E$25</f>
        <v>0.87830032218621279</v>
      </c>
      <c r="G23" s="31">
        <f t="shared" si="0"/>
        <v>-149098151</v>
      </c>
      <c r="H23" s="35">
        <f>+G23/G$25</f>
        <v>1.6189749144815573</v>
      </c>
      <c r="I23" s="31">
        <f t="shared" si="0"/>
        <v>-206999122</v>
      </c>
      <c r="J23" s="35">
        <f>+I23/I$25</f>
        <v>0.8149718138440416</v>
      </c>
      <c r="K23" s="31">
        <f t="shared" si="0"/>
        <v>-206241797</v>
      </c>
      <c r="L23" s="35">
        <f>+K23/K$25</f>
        <v>0.84558022176886483</v>
      </c>
      <c r="M23" s="31">
        <f>SUM(M21:M22)</f>
        <v>-209561112.0891481</v>
      </c>
      <c r="N23" s="35">
        <f>+M23/M$25</f>
        <v>0.90875828278684212</v>
      </c>
      <c r="O23" s="31">
        <f>SUM(O21:O22)</f>
        <v>-194545089.79908869</v>
      </c>
      <c r="P23" s="35">
        <f>+O23/O$25</f>
        <v>0.97372395863362571</v>
      </c>
      <c r="Q23" s="31">
        <f>SUM(Q21:Q22)</f>
        <v>-191627967.73836607</v>
      </c>
      <c r="R23" s="35">
        <f>+Q23/Q$25</f>
        <v>0.99916486945384153</v>
      </c>
      <c r="S23" s="31">
        <f>SUM(S21:S22)</f>
        <v>-170238924.34934533</v>
      </c>
      <c r="T23" s="35">
        <f>+S23/S$25</f>
        <v>1.0737009572101051</v>
      </c>
      <c r="U23" s="31">
        <f>SUM(U21:U22)</f>
        <v>-156559644.68506122</v>
      </c>
      <c r="V23" s="35">
        <f>+U23/U$25</f>
        <v>1.115711844432389</v>
      </c>
      <c r="W23" s="31">
        <f>SUM(W21:W22)</f>
        <v>-166730026.09397095</v>
      </c>
      <c r="X23" s="35">
        <f>+W23/W$25</f>
        <v>1.1479646275783746</v>
      </c>
    </row>
    <row r="24" spans="1:24" ht="15.75" thickBot="1">
      <c r="A24" s="25"/>
      <c r="B24" s="25"/>
      <c r="C24" s="28"/>
      <c r="D24" s="28"/>
      <c r="E24" s="28"/>
      <c r="F24" s="28"/>
      <c r="G24" s="28"/>
      <c r="H24" s="28"/>
      <c r="I24" s="28"/>
      <c r="K24" s="28"/>
      <c r="M24" s="28"/>
      <c r="O24" s="28"/>
      <c r="Q24" s="28"/>
      <c r="S24" s="28"/>
      <c r="U24" s="28"/>
      <c r="W24" s="28"/>
    </row>
    <row r="25" spans="1:24" ht="17.25" thickTop="1" thickBot="1">
      <c r="A25" s="26" t="s">
        <v>159</v>
      </c>
      <c r="B25" s="27"/>
      <c r="C25" s="29">
        <f t="shared" ref="C25:K25" si="1">C23+C18</f>
        <v>-111061997</v>
      </c>
      <c r="D25" s="29"/>
      <c r="E25" s="29">
        <f t="shared" si="1"/>
        <v>-133381561</v>
      </c>
      <c r="F25" s="29"/>
      <c r="G25" s="29">
        <f>G23+G18</f>
        <v>-92094170</v>
      </c>
      <c r="H25" s="29"/>
      <c r="I25" s="29">
        <f t="shared" si="1"/>
        <v>-253995437</v>
      </c>
      <c r="J25" s="29"/>
      <c r="K25" s="29">
        <f t="shared" si="1"/>
        <v>-243905654</v>
      </c>
      <c r="L25" s="29"/>
      <c r="M25" s="29">
        <f>M23+M18</f>
        <v>-230601597.87099585</v>
      </c>
      <c r="N25" s="29"/>
      <c r="O25" s="29">
        <f>O23+O18</f>
        <v>-199794909.09526691</v>
      </c>
      <c r="P25" s="29"/>
      <c r="Q25" s="29">
        <f>Q23+Q18</f>
        <v>-191788135.86902109</v>
      </c>
      <c r="R25" s="29"/>
      <c r="S25" s="29">
        <f>S23+S18</f>
        <v>-158553387.89274493</v>
      </c>
      <c r="T25" s="29"/>
      <c r="U25" s="29">
        <f>U23+U18</f>
        <v>-140322651.82656538</v>
      </c>
      <c r="V25" s="29"/>
      <c r="W25" s="29">
        <f>W23+W18</f>
        <v>-145239689.52395952</v>
      </c>
      <c r="X25" s="29"/>
    </row>
    <row r="26" spans="1:24" ht="16.5" thickTop="1">
      <c r="A26" s="25"/>
      <c r="B26" s="25" t="s">
        <v>160</v>
      </c>
      <c r="C26" s="25"/>
      <c r="D26" s="25"/>
      <c r="E26" s="20">
        <f>(E25/C25)-1</f>
        <v>0.20096490791535104</v>
      </c>
      <c r="F26" s="24"/>
      <c r="G26" s="20">
        <f>(G25/E25)-1</f>
        <v>-0.30954346830593771</v>
      </c>
      <c r="H26" s="24"/>
      <c r="I26" s="20">
        <f>(I25/G25)-1</f>
        <v>1.7579969177201988</v>
      </c>
      <c r="K26" s="20">
        <f>(K25/I25)-1</f>
        <v>-3.9724268747394875E-2</v>
      </c>
      <c r="M26" s="20">
        <f>(M25/K25)-1</f>
        <v>-5.4545911137444003E-2</v>
      </c>
      <c r="O26" s="20">
        <f>(O25/M25)-1</f>
        <v>-0.13359269432713539</v>
      </c>
      <c r="Q26" s="20">
        <f>(Q25/O25)-1</f>
        <v>-4.0074961181458368E-2</v>
      </c>
      <c r="S26" s="20">
        <f>(S25/Q25)-1</f>
        <v>-0.17328886286779155</v>
      </c>
      <c r="U26" s="20">
        <f>(U25/S25)-1</f>
        <v>-0.11498168729457814</v>
      </c>
      <c r="W26" s="20">
        <f>(W25/U25)-1</f>
        <v>3.5040940528058506E-2</v>
      </c>
    </row>
    <row r="27" spans="1:24">
      <c r="A27" s="25"/>
      <c r="B27" s="25"/>
      <c r="C27" s="25"/>
      <c r="D27" s="25"/>
      <c r="E27" s="25"/>
      <c r="F27" s="25"/>
      <c r="G27" s="25"/>
      <c r="H27" s="25"/>
      <c r="I27" s="25"/>
    </row>
    <row r="28" spans="1:24">
      <c r="A28" t="s">
        <v>161</v>
      </c>
      <c r="C28" s="32">
        <f>+FCL!C8+FCL!C18</f>
        <v>7757164.9219791563</v>
      </c>
      <c r="E28" s="32">
        <f>+FCL!D8+FCL!D18</f>
        <v>7818140.8869156884</v>
      </c>
      <c r="G28" s="32">
        <f>+FCL!E8+FCL!E18</f>
        <v>15273886.089689465</v>
      </c>
      <c r="H28" s="32"/>
      <c r="I28" s="32">
        <f>+FCL!F8+FCL!F18</f>
        <v>3384038</v>
      </c>
      <c r="K28" s="32">
        <f>+FCL!G8+FCL!G18</f>
        <v>10744480.382325683</v>
      </c>
      <c r="M28" s="32">
        <f>+FCL!H8+FCL!H18</f>
        <v>19700168.965318408</v>
      </c>
      <c r="O28" s="32">
        <f>+FCL!I8+FCL!I18</f>
        <v>33140211.71696398</v>
      </c>
      <c r="Q28" s="32">
        <f>+FCL!J8+FCL!J18</f>
        <v>40981555.659228891</v>
      </c>
      <c r="S28" s="32">
        <f>+FCL!K8+FCL!K18</f>
        <v>45552865.531978764</v>
      </c>
      <c r="U28" s="32">
        <f>FCL!L8+FCL!L18</f>
        <v>44571210.63608402</v>
      </c>
      <c r="W28" s="32">
        <f>FCL!M8+FCL!M18</f>
        <v>44510876.100482374</v>
      </c>
    </row>
    <row r="29" spans="1:24">
      <c r="A29" t="s">
        <v>162</v>
      </c>
      <c r="C29" s="32">
        <v>410</v>
      </c>
      <c r="D29" s="32"/>
      <c r="E29" s="32">
        <f>+C12</f>
        <v>111061997</v>
      </c>
      <c r="F29" s="32"/>
      <c r="G29" s="32">
        <f>+E12</f>
        <v>133381561</v>
      </c>
      <c r="H29" s="32"/>
      <c r="I29" s="32">
        <f>+G12</f>
        <v>92094170</v>
      </c>
      <c r="K29" s="32">
        <f>+I12</f>
        <v>253995437</v>
      </c>
      <c r="M29" s="32">
        <f>+K12</f>
        <v>243905654</v>
      </c>
      <c r="O29" s="32">
        <f>+M12</f>
        <v>230601597.87099582</v>
      </c>
      <c r="Q29" s="32">
        <f>+O12</f>
        <v>199794909.09526688</v>
      </c>
      <c r="S29" s="32">
        <f>+Q12</f>
        <v>191788135.86902109</v>
      </c>
      <c r="U29" s="32">
        <f>+S12</f>
        <v>158553387.89274496</v>
      </c>
      <c r="W29" s="32">
        <f>+U12</f>
        <v>140322651.82656536</v>
      </c>
    </row>
    <row r="30" spans="1:24" ht="15.75" thickBot="1"/>
    <row r="31" spans="1:24" ht="17.25" thickTop="1" thickBot="1">
      <c r="A31" s="26" t="s">
        <v>163</v>
      </c>
      <c r="B31" s="27"/>
      <c r="C31" s="36">
        <f>+C28/C29</f>
        <v>18919.914443851601</v>
      </c>
      <c r="D31" s="36"/>
      <c r="E31" s="36">
        <f>+E28/E29</f>
        <v>7.0394384200706275E-2</v>
      </c>
      <c r="F31" s="36"/>
      <c r="G31" s="36">
        <f>+G28/G29</f>
        <v>0.11451272556099014</v>
      </c>
      <c r="H31" s="36"/>
      <c r="I31" s="36">
        <f>+I28/I29</f>
        <v>3.6745409617134288E-2</v>
      </c>
      <c r="J31" s="36"/>
      <c r="K31" s="36">
        <f>+K28/K29</f>
        <v>4.2301863802087447E-2</v>
      </c>
      <c r="L31" s="36"/>
      <c r="M31" s="36">
        <f>+M28/M29</f>
        <v>8.0769628101029625E-2</v>
      </c>
      <c r="N31" s="29"/>
      <c r="O31" s="36">
        <f>+O28/O29</f>
        <v>0.14371197781336895</v>
      </c>
      <c r="P31" s="29"/>
      <c r="Q31" s="36">
        <f>+Q28/Q29</f>
        <v>0.20511811759772081</v>
      </c>
      <c r="R31" s="29"/>
      <c r="S31" s="36">
        <f>+S28/S29</f>
        <v>0.23751659781024426</v>
      </c>
      <c r="T31" s="29"/>
      <c r="U31" s="36">
        <f>+U28/U29</f>
        <v>0.28111168880374016</v>
      </c>
      <c r="V31" s="29"/>
      <c r="W31" s="36">
        <f>+W28/W29</f>
        <v>0.31720378371623492</v>
      </c>
      <c r="X31" s="29"/>
    </row>
    <row r="32" spans="1:24" ht="15.75" thickTop="1"/>
    <row r="33" spans="2:25" s="37" customFormat="1" ht="15.75">
      <c r="B33" s="37" t="s">
        <v>1047</v>
      </c>
      <c r="C33" s="133">
        <f>+C25+C12</f>
        <v>0</v>
      </c>
      <c r="D33" s="133"/>
      <c r="E33" s="133">
        <f>+E25+E12</f>
        <v>0</v>
      </c>
      <c r="F33" s="133"/>
      <c r="G33" s="133">
        <f>+G25+G12</f>
        <v>0</v>
      </c>
      <c r="H33" s="133"/>
      <c r="I33" s="133">
        <f>+I25+I12</f>
        <v>0</v>
      </c>
      <c r="J33" s="133"/>
      <c r="K33" s="133">
        <f>+K25+K12</f>
        <v>0</v>
      </c>
      <c r="L33" s="133"/>
      <c r="M33" s="133">
        <f>+M25+M12</f>
        <v>0</v>
      </c>
      <c r="N33" s="133"/>
      <c r="O33" s="133">
        <f>+O25+O12</f>
        <v>0</v>
      </c>
      <c r="P33" s="133"/>
      <c r="Q33" s="133">
        <f>+Q25+Q12</f>
        <v>0</v>
      </c>
      <c r="R33" s="133"/>
      <c r="S33" s="133">
        <f>+S25+S12</f>
        <v>0</v>
      </c>
      <c r="T33" s="133"/>
      <c r="U33" s="133">
        <f>+U25+U12</f>
        <v>0</v>
      </c>
      <c r="V33" s="133"/>
      <c r="W33" s="133">
        <f>+W25+W12</f>
        <v>0</v>
      </c>
      <c r="X33" s="133"/>
      <c r="Y33" s="133"/>
    </row>
    <row r="35" spans="2:25">
      <c r="H35" s="43"/>
    </row>
  </sheetData>
  <phoneticPr fontId="0" type="noConversion"/>
  <printOptions horizontalCentered="1" verticalCentered="1"/>
  <pageMargins left="0.51181102362204722" right="0.51181102362204722" top="0.51181102362204722" bottom="0.51181102362204722" header="0.51181102362204722" footer="0.51181102362204722"/>
  <pageSetup scale="63" firstPageNumber="11" orientation="landscape" blackAndWhite="1" horizontalDpi="300" verticalDpi="300" r:id="rId1"/>
  <headerFooter alignWithMargins="0">
    <oddHeader>&amp;C&amp;A</oddHeader>
    <oddFooter>&amp;CCia.Modelo -  EVA&amp;RPágina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H40"/>
  <sheetViews>
    <sheetView showGridLines="0" zoomScale="75" zoomScaleNormal="75" zoomScalePageLayoutView="75" workbookViewId="0">
      <selection activeCell="C14" sqref="C14"/>
    </sheetView>
  </sheetViews>
  <sheetFormatPr baseColWidth="10" defaultRowHeight="15"/>
  <cols>
    <col min="1" max="1" width="3.6640625" style="38" customWidth="1"/>
    <col min="2" max="2" width="26.33203125" style="38" customWidth="1"/>
    <col min="3" max="3" width="22.6640625" style="38" bestFit="1" customWidth="1"/>
    <col min="4" max="8" width="13.33203125" style="38" customWidth="1"/>
    <col min="9" max="16384" width="11.5546875" style="38"/>
  </cols>
  <sheetData>
    <row r="1" spans="1:8" ht="15.75">
      <c r="A1" s="88" t="str">
        <f>+Balance!A1</f>
        <v>Compañía Modelo - EVA</v>
      </c>
      <c r="B1" s="60"/>
      <c r="C1" s="60"/>
      <c r="D1" s="60"/>
      <c r="E1" s="60"/>
      <c r="F1" s="60"/>
    </row>
    <row r="2" spans="1:8" ht="15.75">
      <c r="A2" s="88" t="s">
        <v>214</v>
      </c>
      <c r="B2" s="60"/>
      <c r="C2" s="60"/>
      <c r="D2" s="60"/>
      <c r="E2" s="60"/>
      <c r="F2" s="60"/>
    </row>
    <row r="3" spans="1:8" ht="15.75">
      <c r="A3" s="88"/>
      <c r="B3" s="60"/>
      <c r="C3" s="60"/>
      <c r="D3" s="60"/>
      <c r="E3" s="60"/>
      <c r="F3" s="60"/>
    </row>
    <row r="4" spans="1:8" ht="16.5" thickBot="1">
      <c r="A4" s="60"/>
      <c r="B4" s="60"/>
      <c r="C4" s="390" t="str">
        <f>Indicadores!B4</f>
        <v>2014P</v>
      </c>
      <c r="D4" s="390" t="str">
        <f>Indicadores!C4</f>
        <v>2015P</v>
      </c>
      <c r="E4" s="390" t="str">
        <f>Indicadores!D4</f>
        <v>2016P</v>
      </c>
      <c r="F4" s="390" t="str">
        <f>Indicadores!E4</f>
        <v>2017P</v>
      </c>
      <c r="G4" s="390" t="str">
        <f>Indicadores!F4</f>
        <v>2018P</v>
      </c>
      <c r="H4" s="390" t="str">
        <f>Indicadores!G4</f>
        <v>2019P</v>
      </c>
    </row>
    <row r="6" spans="1:8" ht="15.75">
      <c r="A6" s="389" t="s">
        <v>215</v>
      </c>
      <c r="B6" s="388"/>
      <c r="C6" s="388"/>
      <c r="D6" s="388"/>
      <c r="E6" s="388"/>
      <c r="F6" s="388"/>
    </row>
    <row r="7" spans="1:8">
      <c r="A7" s="388"/>
      <c r="B7" s="388" t="s">
        <v>52</v>
      </c>
      <c r="C7" s="411">
        <f>+Indicadores!B18</f>
        <v>62995867.040349409</v>
      </c>
      <c r="D7" s="411">
        <f>+Indicadores!C18</f>
        <v>60678515.123396516</v>
      </c>
      <c r="E7" s="411">
        <f>+Indicadores!D18</f>
        <v>66340367.596772045</v>
      </c>
      <c r="F7" s="411">
        <f>+Indicadores!E18</f>
        <v>60131874.593507692</v>
      </c>
      <c r="G7" s="411">
        <f>+Indicadores!F18</f>
        <v>57218849.767350435</v>
      </c>
      <c r="H7" s="411">
        <f>+Indicadores!G18</f>
        <v>53263705.080333479</v>
      </c>
    </row>
    <row r="8" spans="1:8">
      <c r="A8" s="388"/>
      <c r="B8" s="388" t="s">
        <v>151</v>
      </c>
      <c r="C8" s="411">
        <f>+Indicadores!B24+Indicadores!B28</f>
        <v>57971832.071653605</v>
      </c>
      <c r="D8" s="411">
        <f>+Indicadores!C24+Indicadores!C28</f>
        <v>-9096097.4102485776</v>
      </c>
      <c r="E8" s="411">
        <f>+Indicadores!D24+Indicadores!D28</f>
        <v>-375740633.85436648</v>
      </c>
      <c r="F8" s="411">
        <f>+Indicadores!E24+Indicadores!E28</f>
        <v>-773324035.69525278</v>
      </c>
      <c r="G8" s="411">
        <f>+Indicadores!F24+Indicadores!F28</f>
        <v>-1191178674.9839425</v>
      </c>
      <c r="H8" s="411">
        <f>+Indicadores!G24+Indicadores!G28</f>
        <v>-1595333504.9564261</v>
      </c>
    </row>
    <row r="9" spans="1:8">
      <c r="A9" s="388"/>
      <c r="B9" s="388" t="s">
        <v>152</v>
      </c>
      <c r="C9" s="411">
        <v>0</v>
      </c>
      <c r="D9" s="411">
        <v>0</v>
      </c>
      <c r="E9" s="411">
        <v>0</v>
      </c>
      <c r="F9" s="411">
        <v>0</v>
      </c>
      <c r="G9" s="411">
        <v>0</v>
      </c>
      <c r="H9" s="411">
        <v>0</v>
      </c>
    </row>
    <row r="10" spans="1:8" ht="15.75" thickBot="1">
      <c r="A10" s="388"/>
      <c r="B10" s="388"/>
      <c r="C10" s="411"/>
      <c r="D10" s="411"/>
      <c r="E10" s="411"/>
      <c r="F10" s="411"/>
    </row>
    <row r="11" spans="1:8" ht="17.25" thickTop="1" thickBot="1">
      <c r="A11" s="409" t="s">
        <v>153</v>
      </c>
      <c r="B11" s="412"/>
      <c r="C11" s="413">
        <f t="shared" ref="C11:H11" si="0">SUM(C7:C9)</f>
        <v>120967699.11200301</v>
      </c>
      <c r="D11" s="413">
        <f t="shared" si="0"/>
        <v>51582417.713147938</v>
      </c>
      <c r="E11" s="413">
        <f t="shared" si="0"/>
        <v>-309400266.25759447</v>
      </c>
      <c r="F11" s="413">
        <f t="shared" si="0"/>
        <v>-713192161.10174513</v>
      </c>
      <c r="G11" s="413">
        <f t="shared" si="0"/>
        <v>-1133959825.2165921</v>
      </c>
      <c r="H11" s="413">
        <f t="shared" si="0"/>
        <v>-1542069799.8760927</v>
      </c>
    </row>
    <row r="12" spans="1:8" ht="15.75" thickTop="1">
      <c r="A12" s="388"/>
      <c r="B12" s="388"/>
      <c r="C12" s="411"/>
      <c r="D12" s="411"/>
      <c r="E12" s="411"/>
      <c r="F12" s="411"/>
    </row>
    <row r="13" spans="1:8" ht="15.75">
      <c r="A13" s="389" t="s">
        <v>154</v>
      </c>
      <c r="B13" s="388"/>
      <c r="C13" s="411"/>
      <c r="D13" s="411"/>
      <c r="E13" s="411"/>
      <c r="F13" s="411"/>
    </row>
    <row r="14" spans="1:8">
      <c r="A14" s="388"/>
      <c r="B14" s="388" t="s">
        <v>216</v>
      </c>
      <c r="C14" s="411">
        <f>Proy.WACC!B16*AnalVr.Proy.!C11</f>
        <v>1522462686843140</v>
      </c>
      <c r="D14" s="411">
        <f>Proy.WACC!C16*AnalVr.Proy.!D11</f>
        <v>508255768887440.44</v>
      </c>
      <c r="E14" s="411">
        <f>Proy.WACC!D16*AnalVr.Proy.!E11</f>
        <v>-2090836690027086.7</v>
      </c>
      <c r="F14" s="411">
        <f>Proy.WACC!E16*AnalVr.Proy.!F11</f>
        <v>-4501441322671417</v>
      </c>
      <c r="G14" s="411">
        <f>Proy.WACC!F16*AnalVr.Proy.!G11</f>
        <v>-2204542391733795.5</v>
      </c>
      <c r="H14" s="411">
        <f>Proy.WACC!G16*AnalVr.Proy.!H11</f>
        <v>-1542523780408036.2</v>
      </c>
    </row>
    <row r="15" spans="1:8">
      <c r="B15" s="38" t="s">
        <v>217</v>
      </c>
      <c r="C15" s="411">
        <f>Proy.WACC!B17*AnalVr.Proy.!C11</f>
        <v>4784776814217317</v>
      </c>
      <c r="D15" s="411">
        <f>Proy.WACC!C17*AnalVr.Proy.!D11</f>
        <v>1566257573510275.7</v>
      </c>
      <c r="E15" s="411">
        <f>Proy.WACC!D17*AnalVr.Proy.!E11</f>
        <v>-6443190616205920</v>
      </c>
      <c r="F15" s="411">
        <f>Proy.WACC!E17*AnalVr.Proy.!F11</f>
        <v>-1.3871788565783348E+16</v>
      </c>
      <c r="G15" s="411">
        <f>Proy.WACC!F17*AnalVr.Proy.!G11</f>
        <v>-6793589819424555</v>
      </c>
      <c r="H15" s="411">
        <f>Proy.WACC!G17*AnalVr.Proy.!H11</f>
        <v>-4753491649828847</v>
      </c>
    </row>
    <row r="16" spans="1:8">
      <c r="B16" s="38" t="s">
        <v>156</v>
      </c>
      <c r="C16" s="411">
        <f t="shared" ref="C16:H16" si="1">+C11-C14-C15</f>
        <v>-6307239380092758</v>
      </c>
      <c r="D16" s="411">
        <f t="shared" si="1"/>
        <v>-2074513290815298.5</v>
      </c>
      <c r="E16" s="411">
        <f t="shared" si="1"/>
        <v>8534026996832740</v>
      </c>
      <c r="F16" s="411">
        <f t="shared" si="1"/>
        <v>1.8373229175262604E+16</v>
      </c>
      <c r="G16" s="411">
        <f t="shared" si="1"/>
        <v>8998131077198525</v>
      </c>
      <c r="H16" s="411">
        <f t="shared" si="1"/>
        <v>6296013888167083</v>
      </c>
    </row>
    <row r="17" spans="1:8" ht="15.75" thickBot="1"/>
    <row r="18" spans="1:8" ht="17.25" thickTop="1" thickBot="1">
      <c r="A18" s="409" t="s">
        <v>218</v>
      </c>
      <c r="B18" s="412"/>
      <c r="C18" s="413">
        <f t="shared" ref="C18:H18" si="2">SUM(C14:C17)</f>
        <v>120967699</v>
      </c>
      <c r="D18" s="413">
        <f t="shared" si="2"/>
        <v>51582417.75</v>
      </c>
      <c r="E18" s="413">
        <f t="shared" si="2"/>
        <v>-309400267</v>
      </c>
      <c r="F18" s="413">
        <f t="shared" si="2"/>
        <v>-713192160</v>
      </c>
      <c r="G18" s="413">
        <f t="shared" si="2"/>
        <v>-1133959825</v>
      </c>
      <c r="H18" s="413">
        <f t="shared" si="2"/>
        <v>-1542069800</v>
      </c>
    </row>
    <row r="19" spans="1:8" ht="15.75" thickTop="1"/>
    <row r="20" spans="1:8">
      <c r="A20" s="38" t="s">
        <v>219</v>
      </c>
      <c r="C20" s="368">
        <f>(C11-AnalVr.!K12)/AnalVr.!K12</f>
        <v>-0.50403897110149398</v>
      </c>
      <c r="D20" s="368">
        <f>(D11-C11)/C11</f>
        <v>-0.57358519595062984</v>
      </c>
      <c r="E20" s="368">
        <f>(E11-D11)/D11</f>
        <v>-6.9981730204695474</v>
      </c>
      <c r="F20" s="368">
        <f>(F11-E11)/E11</f>
        <v>1.3050793385806896</v>
      </c>
      <c r="G20" s="368">
        <f>(G11-F11)/F11</f>
        <v>0.58997797096485416</v>
      </c>
      <c r="H20" s="368">
        <f>(H11-G11)/G11</f>
        <v>0.3598980894949691</v>
      </c>
    </row>
    <row r="22" spans="1:8">
      <c r="A22" s="38" t="s">
        <v>161</v>
      </c>
      <c r="C22" s="393">
        <f>+Proy.FCL!C8+Proy.FCL!C13</f>
        <v>51925734.135902137</v>
      </c>
      <c r="D22" s="393">
        <f>+Proy.FCL!D8+Proy.FCL!D13</f>
        <v>60462952.459292993</v>
      </c>
      <c r="E22" s="393">
        <f>+Proy.FCL!E8+Proy.FCL!E13</f>
        <v>70427391.044789821</v>
      </c>
      <c r="F22" s="393">
        <f>+Proy.FCL!F8+Proy.FCL!F13</f>
        <v>76705202.064836472</v>
      </c>
      <c r="G22" s="393">
        <f>+Proy.FCL!G8+Proy.FCL!G13</f>
        <v>76705202.064836472</v>
      </c>
      <c r="H22" s="393">
        <f>+Proy.FCL!H8+Proy.FCL!H13</f>
        <v>76705202.064836472</v>
      </c>
    </row>
    <row r="23" spans="1:8">
      <c r="A23" s="38" t="s">
        <v>162</v>
      </c>
      <c r="C23" s="393">
        <f>+AnalVr.!M12</f>
        <v>230601597.87099582</v>
      </c>
      <c r="D23" s="393">
        <f>+C11</f>
        <v>120967699.11200301</v>
      </c>
      <c r="E23" s="393">
        <f>+D11</f>
        <v>51582417.713147938</v>
      </c>
      <c r="F23" s="393">
        <f>+E11</f>
        <v>-309400266.25759447</v>
      </c>
      <c r="G23" s="393">
        <f>+F11</f>
        <v>-713192161.10174513</v>
      </c>
      <c r="H23" s="393">
        <f>+G11</f>
        <v>-1133959825.2165921</v>
      </c>
    </row>
    <row r="24" spans="1:8" ht="15.75" thickBot="1"/>
    <row r="25" spans="1:8" ht="17.25" thickTop="1" thickBot="1">
      <c r="A25" s="409" t="s">
        <v>163</v>
      </c>
      <c r="B25" s="412"/>
      <c r="C25" s="414">
        <f t="shared" ref="C25:H25" si="3">+C22/C23</f>
        <v>0.22517508384721022</v>
      </c>
      <c r="D25" s="414">
        <f t="shared" si="3"/>
        <v>0.49982725060605504</v>
      </c>
      <c r="E25" s="414">
        <f t="shared" si="3"/>
        <v>1.3653371471736668</v>
      </c>
      <c r="F25" s="414">
        <f t="shared" si="3"/>
        <v>-0.24791575971358326</v>
      </c>
      <c r="G25" s="414">
        <f t="shared" si="3"/>
        <v>-0.10755194216708951</v>
      </c>
      <c r="H25" s="414">
        <f t="shared" si="3"/>
        <v>-6.7643668108070223E-2</v>
      </c>
    </row>
    <row r="26" spans="1:8" ht="15.75" thickTop="1"/>
    <row r="27" spans="1:8">
      <c r="A27" s="38" t="s">
        <v>168</v>
      </c>
      <c r="C27" s="368">
        <f>+Proy.WACC!C42</f>
        <v>0.1133831017411461</v>
      </c>
      <c r="D27" s="368">
        <f>+Proy.WACC!D42</f>
        <v>0.11446282306240972</v>
      </c>
      <c r="E27" s="368">
        <f>+Proy.WACC!E42</f>
        <v>0.11468661489353074</v>
      </c>
      <c r="F27" s="368">
        <f>+Proy.WACC!F42</f>
        <v>0.11681866159362198</v>
      </c>
      <c r="G27" s="368">
        <f>+Proy.WACC!G42</f>
        <v>0.11736976758800426</v>
      </c>
      <c r="H27" s="368">
        <f>+Proy.WACC!H42</f>
        <v>0.1181023275080117</v>
      </c>
    </row>
    <row r="28" spans="1:8">
      <c r="A28" s="388" t="s">
        <v>169</v>
      </c>
      <c r="B28" s="415"/>
      <c r="C28" s="415">
        <f t="shared" ref="C28:H28" si="4">C25-C27</f>
        <v>0.11179198210606411</v>
      </c>
      <c r="D28" s="415">
        <f t="shared" si="4"/>
        <v>0.3853644275436453</v>
      </c>
      <c r="E28" s="415">
        <f t="shared" si="4"/>
        <v>1.250650532280136</v>
      </c>
      <c r="F28" s="415">
        <f t="shared" si="4"/>
        <v>-0.36473442130720524</v>
      </c>
      <c r="G28" s="415">
        <f t="shared" si="4"/>
        <v>-0.22492170975509376</v>
      </c>
      <c r="H28" s="415">
        <f t="shared" si="4"/>
        <v>-0.1857459956160819</v>
      </c>
    </row>
    <row r="29" spans="1:8" ht="15.75" thickBot="1">
      <c r="A29" s="388"/>
      <c r="B29" s="415"/>
      <c r="C29" s="415"/>
      <c r="D29" s="415"/>
      <c r="E29" s="415"/>
      <c r="F29" s="415"/>
      <c r="G29" s="415"/>
      <c r="H29" s="415"/>
    </row>
    <row r="30" spans="1:8" ht="17.25" thickTop="1" thickBot="1">
      <c r="A30" s="409" t="s">
        <v>170</v>
      </c>
      <c r="B30" s="416"/>
      <c r="C30" s="417">
        <f t="shared" ref="C30:H30" si="5">C28*C23</f>
        <v>25779409.702824157</v>
      </c>
      <c r="D30" s="417">
        <f t="shared" si="5"/>
        <v>46616648.119568974</v>
      </c>
      <c r="E30" s="417">
        <f t="shared" si="5"/>
        <v>64511578.169244789</v>
      </c>
      <c r="F30" s="417">
        <f t="shared" si="5"/>
        <v>112848927.06575894</v>
      </c>
      <c r="G30" s="417">
        <f t="shared" si="5"/>
        <v>160412400.2589348</v>
      </c>
      <c r="H30" s="417">
        <f t="shared" si="5"/>
        <v>210628496.72349411</v>
      </c>
    </row>
    <row r="31" spans="1:8" ht="15.75" thickTop="1"/>
    <row r="32" spans="1:8">
      <c r="A32" s="38" t="s">
        <v>161</v>
      </c>
      <c r="C32" s="393">
        <f t="shared" ref="C32:H32" si="6">+C22</f>
        <v>51925734.135902137</v>
      </c>
      <c r="D32" s="393">
        <f t="shared" si="6"/>
        <v>60462952.459292993</v>
      </c>
      <c r="E32" s="393">
        <f t="shared" si="6"/>
        <v>70427391.044789821</v>
      </c>
      <c r="F32" s="393">
        <f t="shared" si="6"/>
        <v>76705202.064836472</v>
      </c>
      <c r="G32" s="393">
        <f t="shared" si="6"/>
        <v>76705202.064836472</v>
      </c>
      <c r="H32" s="393">
        <f t="shared" si="6"/>
        <v>76705202.064836472</v>
      </c>
    </row>
    <row r="33" spans="1:8">
      <c r="A33" s="38" t="s">
        <v>220</v>
      </c>
      <c r="C33" s="393" t="e">
        <f>+Proy.FCL!C23</f>
        <v>#REF!</v>
      </c>
      <c r="D33" s="393" t="e">
        <f>+Proy.FCL!D23</f>
        <v>#REF!</v>
      </c>
      <c r="E33" s="393" t="e">
        <f>+Proy.FCL!E23</f>
        <v>#REF!</v>
      </c>
      <c r="F33" s="393" t="e">
        <f>+Proy.FCL!F23</f>
        <v>#REF!</v>
      </c>
      <c r="G33" s="393" t="e">
        <f>+Proy.FCL!G23</f>
        <v>#REF!</v>
      </c>
      <c r="H33" s="393" t="e">
        <f>+Proy.FCL!H23</f>
        <v>#REF!</v>
      </c>
    </row>
    <row r="34" spans="1:8" ht="15.75" thickBot="1"/>
    <row r="35" spans="1:8" ht="17.25" thickTop="1" thickBot="1">
      <c r="A35" s="409" t="s">
        <v>221</v>
      </c>
      <c r="B35" s="412"/>
      <c r="C35" s="418" t="e">
        <f t="shared" ref="C35:H35" si="7">SUM(C32:C34)</f>
        <v>#REF!</v>
      </c>
      <c r="D35" s="418" t="e">
        <f t="shared" si="7"/>
        <v>#REF!</v>
      </c>
      <c r="E35" s="418" t="e">
        <f t="shared" si="7"/>
        <v>#REF!</v>
      </c>
      <c r="F35" s="418" t="e">
        <f t="shared" si="7"/>
        <v>#REF!</v>
      </c>
      <c r="G35" s="418" t="e">
        <f t="shared" si="7"/>
        <v>#REF!</v>
      </c>
      <c r="H35" s="418" t="e">
        <f t="shared" si="7"/>
        <v>#REF!</v>
      </c>
    </row>
    <row r="36" spans="1:8" ht="15.75" thickTop="1"/>
    <row r="37" spans="1:8">
      <c r="A37" s="38" t="s">
        <v>222</v>
      </c>
      <c r="C37" s="393">
        <f>C16-AnalVr.!W23</f>
        <v>-6307239213362732</v>
      </c>
      <c r="D37" s="393">
        <f>D16-C16</f>
        <v>4232726089277459.5</v>
      </c>
      <c r="E37" s="393">
        <f>E16-D16</f>
        <v>1.0608540287648038E+16</v>
      </c>
      <c r="F37" s="393">
        <f>F16-E16</f>
        <v>9839202178429864</v>
      </c>
      <c r="G37" s="393">
        <f>G16-F16</f>
        <v>-9375098098064080</v>
      </c>
      <c r="H37" s="393">
        <f>H16-G16</f>
        <v>-2702117189031442</v>
      </c>
    </row>
    <row r="38" spans="1:8" ht="15.75" thickBot="1"/>
    <row r="39" spans="1:8" ht="17.25" thickTop="1" thickBot="1">
      <c r="A39" s="409" t="s">
        <v>223</v>
      </c>
      <c r="B39" s="412"/>
      <c r="C39" s="418" t="e">
        <f t="shared" ref="C39:H39" si="8">+C35-C37</f>
        <v>#REF!</v>
      </c>
      <c r="D39" s="418" t="e">
        <f t="shared" si="8"/>
        <v>#REF!</v>
      </c>
      <c r="E39" s="418" t="e">
        <f t="shared" si="8"/>
        <v>#REF!</v>
      </c>
      <c r="F39" s="418" t="e">
        <f t="shared" si="8"/>
        <v>#REF!</v>
      </c>
      <c r="G39" s="418" t="e">
        <f t="shared" si="8"/>
        <v>#REF!</v>
      </c>
      <c r="H39" s="418" t="e">
        <f t="shared" si="8"/>
        <v>#REF!</v>
      </c>
    </row>
    <row r="40" spans="1:8" ht="15.75" thickTop="1"/>
  </sheetData>
  <phoneticPr fontId="0" type="noConversion"/>
  <printOptions horizontalCentered="1" verticalCentered="1"/>
  <pageMargins left="0.78740157480314965" right="0.78740157480314965" top="0.98425196850393704" bottom="0.98425196850393704" header="0.51181102362204722" footer="0.51181102362204722"/>
  <pageSetup scale="67" firstPageNumber="17" orientation="portrait" blackAndWhite="1" horizontalDpi="300" verticalDpi="300"/>
  <headerFooter alignWithMargins="0">
    <oddHeader>&amp;A</oddHeader>
    <oddFooter>&amp;CCia.Modelo -  EVA&amp;RPágina &amp;P</oddFooter>
  </headerFooter>
  <legacy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9" tint="0.39997558519241921"/>
  </sheetPr>
  <dimension ref="A3:H32"/>
  <sheetViews>
    <sheetView showGridLines="0" zoomScale="80" zoomScaleNormal="80" zoomScalePageLayoutView="90" workbookViewId="0">
      <selection activeCell="K22" sqref="K22"/>
    </sheetView>
  </sheetViews>
  <sheetFormatPr baseColWidth="10" defaultColWidth="10.6640625" defaultRowHeight="15"/>
  <cols>
    <col min="1" max="1" width="16.88671875" style="46" bestFit="1" customWidth="1"/>
    <col min="2" max="2" width="10.6640625" style="46"/>
    <col min="3" max="8" width="13.6640625" style="46" bestFit="1" customWidth="1"/>
    <col min="9" max="16384" width="10.6640625" style="46"/>
  </cols>
  <sheetData>
    <row r="3" spans="1:8" s="133" customFormat="1" ht="15.75">
      <c r="C3" s="133">
        <v>2014</v>
      </c>
      <c r="D3" s="133">
        <f>+C3+1</f>
        <v>2015</v>
      </c>
      <c r="E3" s="133">
        <f>+D3+1</f>
        <v>2016</v>
      </c>
      <c r="F3" s="133">
        <f>+E3+1</f>
        <v>2017</v>
      </c>
      <c r="G3" s="133">
        <f>+F3+1</f>
        <v>2018</v>
      </c>
      <c r="H3" s="133">
        <f>+G3+1</f>
        <v>2019</v>
      </c>
    </row>
    <row r="4" spans="1:8">
      <c r="A4" s="254" t="s">
        <v>204</v>
      </c>
      <c r="C4" s="46">
        <f>+Resultados!H7</f>
        <v>222718250.63338894</v>
      </c>
      <c r="D4" s="46">
        <f>+Resultados!I7</f>
        <v>246041696.33152092</v>
      </c>
      <c r="E4" s="46">
        <f>+Resultados!J7</f>
        <v>269311276.07352322</v>
      </c>
      <c r="F4" s="46">
        <f>+Resultados!K7</f>
        <v>294325514.03584743</v>
      </c>
      <c r="G4" s="46">
        <f>+Resultados!L7</f>
        <v>294325514.03584743</v>
      </c>
      <c r="H4" s="46">
        <f>+Resultados!M7</f>
        <v>294325514.03584743</v>
      </c>
    </row>
    <row r="5" spans="1:8">
      <c r="A5" s="254" t="s">
        <v>40</v>
      </c>
      <c r="C5" s="46">
        <f>+Resultados!H16</f>
        <v>36816122.26756689</v>
      </c>
      <c r="D5" s="46">
        <f>+Resultados!I16</f>
        <v>48282042.485250436</v>
      </c>
      <c r="E5" s="46">
        <f>+Resultados!J16</f>
        <v>60175197.592656881</v>
      </c>
      <c r="F5" s="46">
        <f>+Resultados!K16</f>
        <v>67837332.952438518</v>
      </c>
      <c r="G5" s="46">
        <f>+Resultados!L16</f>
        <v>67837332.952438518</v>
      </c>
      <c r="H5" s="46">
        <f>+Resultados!M16</f>
        <v>67837332.952438518</v>
      </c>
    </row>
    <row r="6" spans="1:8">
      <c r="A6" s="254" t="s">
        <v>978</v>
      </c>
      <c r="C6" s="46">
        <f>+Resultados!H22</f>
        <v>-1854634.813318925</v>
      </c>
      <c r="D6" s="46">
        <f>+Resultados!I22</f>
        <v>-1123180.3489848655</v>
      </c>
      <c r="E6" s="46">
        <f>+Resultados!J22</f>
        <v>-1132867.817109155</v>
      </c>
      <c r="F6" s="46">
        <f>+Resultados!K22</f>
        <v>-111296.78147925995</v>
      </c>
      <c r="G6" s="46">
        <f>+Resultados!L22</f>
        <v>486346.59650898166</v>
      </c>
      <c r="H6" s="46">
        <f>+Resultados!M22</f>
        <v>642379.42124273954</v>
      </c>
    </row>
    <row r="7" spans="1:8">
      <c r="A7" s="254" t="s">
        <v>979</v>
      </c>
      <c r="C7" s="46">
        <f t="shared" ref="C7:H7" si="0">+C5+C6</f>
        <v>34961487.454247966</v>
      </c>
      <c r="D7" s="46">
        <f t="shared" si="0"/>
        <v>47158862.136265568</v>
      </c>
      <c r="E7" s="46">
        <f t="shared" si="0"/>
        <v>59042329.775547728</v>
      </c>
      <c r="F7" s="46">
        <f t="shared" si="0"/>
        <v>67726036.170959264</v>
      </c>
      <c r="G7" s="46">
        <f t="shared" si="0"/>
        <v>68323679.548947498</v>
      </c>
      <c r="H7" s="46">
        <f t="shared" si="0"/>
        <v>68479712.373681262</v>
      </c>
    </row>
    <row r="9" spans="1:8">
      <c r="A9" s="254" t="s">
        <v>980</v>
      </c>
      <c r="B9" s="356">
        <v>2.5000000000000001E-2</v>
      </c>
      <c r="C9" s="46">
        <f t="shared" ref="C9:H9" si="1">+C4*$B$9</f>
        <v>5567956.2658347236</v>
      </c>
      <c r="D9" s="46">
        <f t="shared" si="1"/>
        <v>6151042.4082880234</v>
      </c>
      <c r="E9" s="46">
        <f t="shared" si="1"/>
        <v>6732781.901838081</v>
      </c>
      <c r="F9" s="46">
        <f t="shared" si="1"/>
        <v>7358137.8508961862</v>
      </c>
      <c r="G9" s="46">
        <f t="shared" si="1"/>
        <v>7358137.8508961862</v>
      </c>
      <c r="H9" s="46">
        <f t="shared" si="1"/>
        <v>7358137.8508961862</v>
      </c>
    </row>
    <row r="10" spans="1:8">
      <c r="A10" s="254" t="s">
        <v>981</v>
      </c>
      <c r="B10" s="356">
        <v>8.0000000000000002E-3</v>
      </c>
      <c r="C10" s="46">
        <f t="shared" ref="C10:H10" si="2">+C4*$B$10</f>
        <v>1781746.0050671115</v>
      </c>
      <c r="D10" s="46">
        <f t="shared" si="2"/>
        <v>1968333.5706521673</v>
      </c>
      <c r="E10" s="46">
        <f t="shared" si="2"/>
        <v>2154490.2085881857</v>
      </c>
      <c r="F10" s="46">
        <f t="shared" si="2"/>
        <v>2354604.1122867796</v>
      </c>
      <c r="G10" s="46">
        <f t="shared" si="2"/>
        <v>2354604.1122867796</v>
      </c>
      <c r="H10" s="46">
        <f t="shared" si="2"/>
        <v>2354604.1122867796</v>
      </c>
    </row>
    <row r="11" spans="1:8">
      <c r="B11" s="39"/>
    </row>
    <row r="12" spans="1:8">
      <c r="A12" s="254" t="s">
        <v>983</v>
      </c>
      <c r="B12" s="356">
        <v>4.0000000000000001E-3</v>
      </c>
      <c r="C12" s="46">
        <f t="shared" ref="C12:H12" si="3">+C4*$B$12</f>
        <v>890873.00253355573</v>
      </c>
      <c r="D12" s="46">
        <f t="shared" si="3"/>
        <v>984166.78532608366</v>
      </c>
      <c r="E12" s="46">
        <f t="shared" si="3"/>
        <v>1077245.1042940929</v>
      </c>
      <c r="F12" s="46">
        <f t="shared" si="3"/>
        <v>1177302.0561433898</v>
      </c>
      <c r="G12" s="46">
        <f t="shared" si="3"/>
        <v>1177302.0561433898</v>
      </c>
      <c r="H12" s="46">
        <f t="shared" si="3"/>
        <v>1177302.0561433898</v>
      </c>
    </row>
    <row r="13" spans="1:8">
      <c r="A13" s="254" t="s">
        <v>982</v>
      </c>
      <c r="B13" s="356">
        <v>0.5</v>
      </c>
      <c r="C13" s="46">
        <f t="shared" ref="C13:H13" si="4">+C12*$B$13</f>
        <v>445436.50126677786</v>
      </c>
      <c r="D13" s="46">
        <f t="shared" si="4"/>
        <v>492083.39266304183</v>
      </c>
      <c r="E13" s="46">
        <f t="shared" si="4"/>
        <v>538622.55214704643</v>
      </c>
      <c r="F13" s="46">
        <f t="shared" si="4"/>
        <v>588651.02807169489</v>
      </c>
      <c r="G13" s="46">
        <f t="shared" si="4"/>
        <v>588651.02807169489</v>
      </c>
      <c r="H13" s="46">
        <f t="shared" si="4"/>
        <v>588651.02807169489</v>
      </c>
    </row>
    <row r="14" spans="1:8">
      <c r="B14" s="39"/>
    </row>
    <row r="15" spans="1:8">
      <c r="A15" s="254" t="s">
        <v>984</v>
      </c>
      <c r="B15" s="356">
        <v>8.0000000000000002E-3</v>
      </c>
      <c r="C15" s="46">
        <f t="shared" ref="C15:H15" si="5">+C4*$B$15</f>
        <v>1781746.0050671115</v>
      </c>
      <c r="D15" s="46">
        <f t="shared" si="5"/>
        <v>1968333.5706521673</v>
      </c>
      <c r="E15" s="46">
        <f t="shared" si="5"/>
        <v>2154490.2085881857</v>
      </c>
      <c r="F15" s="46">
        <f t="shared" si="5"/>
        <v>2354604.1122867796</v>
      </c>
      <c r="G15" s="46">
        <f t="shared" si="5"/>
        <v>2354604.1122867796</v>
      </c>
      <c r="H15" s="46">
        <f t="shared" si="5"/>
        <v>2354604.1122867796</v>
      </c>
    </row>
    <row r="16" spans="1:8">
      <c r="B16" s="39"/>
    </row>
    <row r="17" spans="1:8">
      <c r="A17" s="254" t="s">
        <v>985</v>
      </c>
      <c r="B17" s="39"/>
      <c r="C17" s="46">
        <f t="shared" ref="C17:H17" si="6">+C7+C13+C15</f>
        <v>37188669.960581854</v>
      </c>
      <c r="D17" s="46">
        <f t="shared" si="6"/>
        <v>49619279.099580772</v>
      </c>
      <c r="E17" s="46">
        <f t="shared" si="6"/>
        <v>61735442.536282957</v>
      </c>
      <c r="F17" s="46">
        <f t="shared" si="6"/>
        <v>70669291.311317742</v>
      </c>
      <c r="G17" s="46">
        <f t="shared" si="6"/>
        <v>71266934.689305976</v>
      </c>
      <c r="H17" s="46">
        <f t="shared" si="6"/>
        <v>71422967.51403974</v>
      </c>
    </row>
    <row r="18" spans="1:8">
      <c r="B18" s="39"/>
    </row>
    <row r="19" spans="1:8">
      <c r="A19" s="254" t="s">
        <v>986</v>
      </c>
      <c r="B19" s="39"/>
    </row>
    <row r="20" spans="1:8">
      <c r="B20" s="39"/>
    </row>
    <row r="21" spans="1:8">
      <c r="A21" s="254" t="s">
        <v>987</v>
      </c>
      <c r="B21" s="39">
        <v>0.25</v>
      </c>
      <c r="C21" s="46">
        <f t="shared" ref="C21:H21" si="7">+C17*$B$21</f>
        <v>9297167.4901454635</v>
      </c>
      <c r="D21" s="46">
        <f t="shared" si="7"/>
        <v>12404819.774895193</v>
      </c>
      <c r="E21" s="46">
        <f t="shared" si="7"/>
        <v>15433860.634070739</v>
      </c>
      <c r="F21" s="46">
        <f t="shared" si="7"/>
        <v>17667322.827829435</v>
      </c>
      <c r="G21" s="46">
        <f t="shared" si="7"/>
        <v>17816733.672326494</v>
      </c>
      <c r="H21" s="46">
        <f t="shared" si="7"/>
        <v>17855741.878509935</v>
      </c>
    </row>
    <row r="22" spans="1:8">
      <c r="A22" s="254" t="s">
        <v>988</v>
      </c>
      <c r="B22" s="39">
        <v>0.08</v>
      </c>
      <c r="C22" s="46">
        <f t="shared" ref="C22:H22" si="8">+C17*$B$22</f>
        <v>2975093.5968465484</v>
      </c>
      <c r="D22" s="46">
        <f t="shared" si="8"/>
        <v>3969542.3279664619</v>
      </c>
      <c r="E22" s="46">
        <f t="shared" si="8"/>
        <v>4938835.4029026367</v>
      </c>
      <c r="F22" s="46">
        <f t="shared" si="8"/>
        <v>5653543.3049054192</v>
      </c>
      <c r="G22" s="46">
        <f t="shared" si="8"/>
        <v>5701354.7751444783</v>
      </c>
      <c r="H22" s="46">
        <f t="shared" si="8"/>
        <v>5713837.4011231791</v>
      </c>
    </row>
    <row r="24" spans="1:8">
      <c r="A24" s="254" t="s">
        <v>989</v>
      </c>
      <c r="C24" s="46">
        <f t="shared" ref="C24:H25" si="9">+C21-C9</f>
        <v>3729211.2243107399</v>
      </c>
      <c r="D24" s="46">
        <f t="shared" si="9"/>
        <v>6253777.3666071696</v>
      </c>
      <c r="E24" s="46">
        <f t="shared" si="9"/>
        <v>8701078.7322326582</v>
      </c>
      <c r="F24" s="46">
        <f t="shared" si="9"/>
        <v>10309184.976933248</v>
      </c>
      <c r="G24" s="46">
        <f t="shared" si="9"/>
        <v>10458595.821430307</v>
      </c>
      <c r="H24" s="46">
        <f t="shared" si="9"/>
        <v>10497604.027613748</v>
      </c>
    </row>
    <row r="25" spans="1:8">
      <c r="A25" s="254" t="s">
        <v>990</v>
      </c>
      <c r="C25" s="46">
        <f t="shared" si="9"/>
        <v>1193347.5917794369</v>
      </c>
      <c r="D25" s="46">
        <f t="shared" si="9"/>
        <v>2001208.7573142946</v>
      </c>
      <c r="E25" s="46">
        <f t="shared" si="9"/>
        <v>2784345.194314451</v>
      </c>
      <c r="F25" s="46">
        <f t="shared" si="9"/>
        <v>3298939.1926186397</v>
      </c>
      <c r="G25" s="46">
        <f t="shared" si="9"/>
        <v>3346750.6628576987</v>
      </c>
      <c r="H25" s="46">
        <f t="shared" si="9"/>
        <v>3359233.2888363996</v>
      </c>
    </row>
    <row r="27" spans="1:8">
      <c r="A27" s="254" t="s">
        <v>991</v>
      </c>
      <c r="B27" s="46">
        <v>24</v>
      </c>
      <c r="C27" s="46">
        <f t="shared" ref="C27:H27" si="10">+(C21*75%)-C9</f>
        <v>1404919.351774374</v>
      </c>
      <c r="D27" s="46">
        <f t="shared" si="10"/>
        <v>3152572.4228833718</v>
      </c>
      <c r="E27" s="46">
        <f t="shared" si="10"/>
        <v>4842613.5737149734</v>
      </c>
      <c r="F27" s="46">
        <f t="shared" si="10"/>
        <v>5892354.2699758904</v>
      </c>
      <c r="G27" s="46">
        <f t="shared" si="10"/>
        <v>6004412.4033486852</v>
      </c>
      <c r="H27" s="46">
        <f t="shared" si="10"/>
        <v>6033668.5579862641</v>
      </c>
    </row>
    <row r="30" spans="1:8">
      <c r="A30" s="254" t="s">
        <v>992</v>
      </c>
      <c r="C30" s="46">
        <f t="shared" ref="C30:H30" si="11">+C9+C10+B24+B25-B27+C27</f>
        <v>8754597.6226762086</v>
      </c>
      <c r="D30" s="46">
        <f t="shared" si="11"/>
        <v>14789587.866139363</v>
      </c>
      <c r="E30" s="46">
        <f t="shared" si="11"/>
        <v>18832299.385179333</v>
      </c>
      <c r="F30" s="46">
        <f t="shared" si="11"/>
        <v>22247906.585990991</v>
      </c>
      <c r="G30" s="46">
        <f t="shared" si="11"/>
        <v>23432924.266107645</v>
      </c>
      <c r="H30" s="46">
        <f t="shared" si="11"/>
        <v>23547344.602108553</v>
      </c>
    </row>
    <row r="32" spans="1:8">
      <c r="A32" s="254" t="s">
        <v>993</v>
      </c>
      <c r="D32" s="34">
        <f>+D30/D7</f>
        <v>0.31361205924360175</v>
      </c>
      <c r="E32" s="34">
        <f>+E30/E7</f>
        <v>0.31896267401322459</v>
      </c>
      <c r="F32" s="34">
        <f>+F30/F7</f>
        <v>0.32849857815140865</v>
      </c>
      <c r="G32" s="34">
        <f>+G30/G7</f>
        <v>0.34296929586937946</v>
      </c>
      <c r="H32" s="34">
        <f>+H30/H7</f>
        <v>0.34385869604146407</v>
      </c>
    </row>
  </sheetData>
  <phoneticPr fontId="67" type="noConversion"/>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dimension ref="A1:M37"/>
  <sheetViews>
    <sheetView showGridLines="0" zoomScale="75" zoomScaleNormal="75" zoomScalePageLayoutView="75" workbookViewId="0">
      <selection activeCell="F41" sqref="F41"/>
    </sheetView>
  </sheetViews>
  <sheetFormatPr baseColWidth="10" defaultColWidth="8.88671875" defaultRowHeight="15"/>
  <cols>
    <col min="1" max="1" width="26.88671875" style="38" customWidth="1"/>
    <col min="2" max="2" width="13.6640625" style="38" customWidth="1"/>
    <col min="3" max="3" width="13.44140625" style="38" bestFit="1" customWidth="1"/>
    <col min="4" max="4" width="17.21875" style="38" customWidth="1"/>
    <col min="5" max="5" width="15.77734375" style="38" customWidth="1"/>
    <col min="6" max="7" width="14.88671875" style="38" bestFit="1" customWidth="1"/>
    <col min="8" max="8" width="3.6640625" style="38" customWidth="1"/>
    <col min="9" max="9" width="20" style="38" customWidth="1"/>
    <col min="10" max="10" width="14.6640625" style="38" customWidth="1"/>
    <col min="11" max="13" width="13.77734375" style="38" customWidth="1"/>
    <col min="14" max="16384" width="8.88671875" style="38"/>
  </cols>
  <sheetData>
    <row r="1" spans="1:13" ht="15.75">
      <c r="A1" s="88" t="str">
        <f>+Balance!A1</f>
        <v>Compañía Modelo - EVA</v>
      </c>
      <c r="B1" s="388"/>
      <c r="C1" s="388"/>
      <c r="D1" s="388"/>
      <c r="E1" s="388"/>
      <c r="F1" s="388"/>
      <c r="G1" s="388"/>
      <c r="H1" s="388"/>
      <c r="I1" s="388"/>
      <c r="J1" s="388"/>
      <c r="K1" s="388"/>
    </row>
    <row r="2" spans="1:13" ht="15.75">
      <c r="A2" s="389" t="s">
        <v>203</v>
      </c>
      <c r="B2" s="388"/>
      <c r="C2" s="388"/>
      <c r="D2" s="388"/>
      <c r="E2" s="388"/>
      <c r="F2" s="388"/>
      <c r="G2" s="388"/>
      <c r="H2" s="388"/>
      <c r="I2" s="388"/>
      <c r="J2" s="388"/>
    </row>
    <row r="3" spans="1:13" ht="25.5" customHeight="1">
      <c r="I3" s="589" t="s">
        <v>1094</v>
      </c>
      <c r="J3" s="590" t="s">
        <v>1101</v>
      </c>
      <c r="K3" s="591" t="s">
        <v>342</v>
      </c>
      <c r="L3" s="590" t="s">
        <v>345</v>
      </c>
      <c r="M3" s="592" t="s">
        <v>347</v>
      </c>
    </row>
    <row r="4" spans="1:13" ht="16.5" thickBot="1">
      <c r="A4" s="388"/>
      <c r="B4" s="390" t="s">
        <v>342</v>
      </c>
      <c r="C4" s="390" t="s">
        <v>343</v>
      </c>
      <c r="D4" s="390" t="s">
        <v>344</v>
      </c>
      <c r="E4" s="390" t="s">
        <v>345</v>
      </c>
      <c r="F4" s="390" t="s">
        <v>346</v>
      </c>
      <c r="G4" s="390" t="s">
        <v>347</v>
      </c>
      <c r="H4" s="388"/>
      <c r="I4" s="573" t="s">
        <v>341</v>
      </c>
      <c r="J4" s="574" t="s">
        <v>287</v>
      </c>
      <c r="K4" s="575">
        <f>+Resultados!H7</f>
        <v>222718250.63338894</v>
      </c>
      <c r="L4" s="575">
        <f>+Resultados!K7</f>
        <v>294325514.03584743</v>
      </c>
      <c r="M4" s="576">
        <f>+Resultados!M7</f>
        <v>294325514.03584743</v>
      </c>
    </row>
    <row r="5" spans="1:13" ht="15.75">
      <c r="I5" s="573" t="s">
        <v>1104</v>
      </c>
      <c r="J5" s="574" t="s">
        <v>287</v>
      </c>
      <c r="K5" s="575">
        <f>+Resultados!H28</f>
        <v>22689226.367255956</v>
      </c>
      <c r="L5" s="575">
        <f>+Resultados!K28</f>
        <v>44405170.038224414</v>
      </c>
      <c r="M5" s="576">
        <f>+Resultados!M28</f>
        <v>44910133.09404815</v>
      </c>
    </row>
    <row r="6" spans="1:13" ht="15.75">
      <c r="A6" s="388" t="s">
        <v>184</v>
      </c>
      <c r="B6" s="391">
        <f t="shared" ref="B6:G6" si="0">B7+B8+(B7*B8)</f>
        <v>0.22054692192207628</v>
      </c>
      <c r="C6" s="391">
        <f t="shared" si="0"/>
        <v>0.1385262389504926</v>
      </c>
      <c r="D6" s="391">
        <f t="shared" si="0"/>
        <v>0.12894543601245073</v>
      </c>
      <c r="E6" s="391">
        <f t="shared" si="0"/>
        <v>0.12676160239245068</v>
      </c>
      <c r="F6" s="391">
        <f t="shared" si="0"/>
        <v>3.1E-2</v>
      </c>
      <c r="G6" s="391">
        <f t="shared" si="0"/>
        <v>3.1E-2</v>
      </c>
      <c r="H6" s="388"/>
      <c r="I6" s="573" t="s">
        <v>1095</v>
      </c>
      <c r="J6" s="574" t="s">
        <v>287</v>
      </c>
      <c r="K6" s="575">
        <f>+Resultados!H28+Balance!H36+CapitalFijo!H41</f>
        <v>43431962.203430168</v>
      </c>
      <c r="L6" s="575">
        <f>+Resultados!K28+Balance!K36+CapitalFijo!K41</f>
        <v>70358326.66669336</v>
      </c>
      <c r="M6" s="576">
        <f>+Resultados!M28+Balance!M36+CapitalFijo!M41</f>
        <v>71209734.052910447</v>
      </c>
    </row>
    <row r="7" spans="1:13" ht="15.75">
      <c r="A7" s="388" t="s">
        <v>185</v>
      </c>
      <c r="B7" s="391">
        <f>+Resultados!H7/Resultados!G7-1</f>
        <v>0.17858914824456962</v>
      </c>
      <c r="C7" s="391">
        <f>+Resultados!I7/Resultados!H7-1</f>
        <v>0.10472175329952704</v>
      </c>
      <c r="D7" s="391">
        <f>+Resultados!J7/Resultados!I7-1</f>
        <v>9.4575757235263458E-2</v>
      </c>
      <c r="E7" s="391">
        <f>+Resultados!K7/Resultados!J7-1</f>
        <v>9.2882252562997758E-2</v>
      </c>
      <c r="F7" s="391">
        <f>+Resultados!L7/Resultados!K7-1</f>
        <v>0</v>
      </c>
      <c r="G7" s="391">
        <f>+Resultados!M7/Resultados!L7-1</f>
        <v>0</v>
      </c>
      <c r="H7" s="388"/>
      <c r="I7" s="573" t="s">
        <v>1105</v>
      </c>
      <c r="J7" s="574" t="s">
        <v>1103</v>
      </c>
      <c r="K7" s="577">
        <f>+K6/Resultados!H7</f>
        <v>0.19500854590907532</v>
      </c>
      <c r="L7" s="577">
        <f>+L6/Resultados!K7</f>
        <v>0.23904936307398772</v>
      </c>
      <c r="M7" s="578">
        <f>+M6/Resultados!M7</f>
        <v>0.24194210374924358</v>
      </c>
    </row>
    <row r="8" spans="1:13" ht="15.75">
      <c r="A8" s="388" t="s">
        <v>183</v>
      </c>
      <c r="B8" s="391">
        <f>+Supuestos!F30</f>
        <v>3.56E-2</v>
      </c>
      <c r="C8" s="391">
        <f>+Supuestos!G30</f>
        <v>3.0600000000000002E-2</v>
      </c>
      <c r="D8" s="391">
        <f>+Supuestos!H30</f>
        <v>3.1400000000000004E-2</v>
      </c>
      <c r="E8" s="391">
        <f>+Supuestos!I30</f>
        <v>3.1E-2</v>
      </c>
      <c r="F8" s="391">
        <f>+Supuestos!J30</f>
        <v>3.1E-2</v>
      </c>
      <c r="G8" s="391">
        <f>+Supuestos!K30</f>
        <v>3.1E-2</v>
      </c>
      <c r="H8" s="388"/>
      <c r="I8" s="573" t="s">
        <v>1096</v>
      </c>
      <c r="J8" s="574" t="s">
        <v>1103</v>
      </c>
      <c r="K8" s="579">
        <f>+Resultados!H28/Proy.WACC!C19</f>
        <v>0.10827021359575469</v>
      </c>
      <c r="L8" s="579">
        <f>+Resultados!K28/Proy.WACC!F19</f>
        <v>0.26084028789503555</v>
      </c>
      <c r="M8" s="580">
        <f>+Resultados!M28/Proy.WACC!H19</f>
        <v>0.26935840020043111</v>
      </c>
    </row>
    <row r="9" spans="1:13" ht="15.75">
      <c r="A9" s="388" t="s">
        <v>186</v>
      </c>
      <c r="B9" s="571">
        <f>+Resultados!H9/Resultados!H7</f>
        <v>0.35325059588795199</v>
      </c>
      <c r="C9" s="571">
        <f>+Resultados!I9/Resultados!I7</f>
        <v>0.37233743465089009</v>
      </c>
      <c r="D9" s="571">
        <f>+Resultados!J9/Resultados!J7</f>
        <v>0.39031232020666434</v>
      </c>
      <c r="E9" s="571">
        <f>+Resultados!K9/Resultados!K7</f>
        <v>0.38897537167719037</v>
      </c>
      <c r="F9" s="571">
        <f>+Resultados!L9/Resultados!L7</f>
        <v>0.38897537167719037</v>
      </c>
      <c r="G9" s="571">
        <f>+Resultados!M9/Resultados!M7</f>
        <v>0.38897537167719037</v>
      </c>
      <c r="H9" s="388"/>
      <c r="I9" s="573" t="s">
        <v>1097</v>
      </c>
      <c r="J9" s="574" t="s">
        <v>1103</v>
      </c>
      <c r="K9" s="579">
        <f>+Resultados!H28/Balance!H27</f>
        <v>8.0517370035598834E-2</v>
      </c>
      <c r="L9" s="579">
        <f>+Resultados!K28/Balance!K27</f>
        <v>0.19902595265747977</v>
      </c>
      <c r="M9" s="580">
        <f>+Resultados!M28/Balance!M27</f>
        <v>0.20518183212966321</v>
      </c>
    </row>
    <row r="10" spans="1:13" ht="15.75">
      <c r="A10" s="388" t="s">
        <v>171</v>
      </c>
      <c r="B10" s="571">
        <f>-Imptos.!H28</f>
        <v>0.34</v>
      </c>
      <c r="C10" s="571">
        <f>-Imptos.!I28</f>
        <v>0.34</v>
      </c>
      <c r="D10" s="571">
        <f>-Imptos.!J28</f>
        <v>0.33</v>
      </c>
      <c r="E10" s="571">
        <f>-Imptos.!K28</f>
        <v>0.33</v>
      </c>
      <c r="F10" s="571">
        <f>-Imptos.!L28</f>
        <v>0.33</v>
      </c>
      <c r="G10" s="571">
        <f>-Imptos.!M28</f>
        <v>0.33</v>
      </c>
      <c r="H10" s="388"/>
      <c r="I10" s="573" t="s">
        <v>1098</v>
      </c>
      <c r="J10" s="574" t="s">
        <v>1103</v>
      </c>
      <c r="K10" s="579">
        <f>+Resultados!H28/Proy.WACC!C20</f>
        <v>9.0837364552342106E-2</v>
      </c>
      <c r="L10" s="579">
        <f>+Resultados!K28/Proy.WACC!F20</f>
        <v>0.24922353153508184</v>
      </c>
      <c r="M10" s="580">
        <f>+Resultados!M28/Proy.WACC!H20</f>
        <v>0.26935840020043111</v>
      </c>
    </row>
    <row r="11" spans="1:13" ht="15.75">
      <c r="A11" s="388" t="s">
        <v>188</v>
      </c>
      <c r="B11" s="571">
        <f>+KWOp.!H23/Resultados!H7</f>
        <v>0.28285004422042342</v>
      </c>
      <c r="C11" s="571">
        <f>+KWOp.!I23/Resultados!I7</f>
        <v>0.24661882936149659</v>
      </c>
      <c r="D11" s="571">
        <f>+KWOp.!J23/Resultados!J7</f>
        <v>0.2463334196918692</v>
      </c>
      <c r="E11" s="571">
        <f>+KWOp.!K23/Resultados!K7</f>
        <v>0.204303982243904</v>
      </c>
      <c r="F11" s="571">
        <f>+KWOp.!L23/Resultados!L7</f>
        <v>0.1944066927217919</v>
      </c>
      <c r="G11" s="571">
        <f>+KWOp.!M23/Resultados!M7</f>
        <v>0.18096869805804949</v>
      </c>
      <c r="H11" s="388"/>
      <c r="I11" s="573" t="s">
        <v>186</v>
      </c>
      <c r="J11" s="574" t="s">
        <v>1103</v>
      </c>
      <c r="K11" s="579">
        <f>+B9</f>
        <v>0.35325059588795199</v>
      </c>
      <c r="L11" s="577">
        <f>+E9</f>
        <v>0.38897537167719037</v>
      </c>
      <c r="M11" s="578">
        <f>+G9</f>
        <v>0.38897537167719037</v>
      </c>
    </row>
    <row r="12" spans="1:13" ht="15.75">
      <c r="A12" s="388" t="s">
        <v>75</v>
      </c>
      <c r="B12" s="571">
        <f>+CapitalFijo!G9/Resultados!H7</f>
        <v>0.76834013291817826</v>
      </c>
      <c r="C12" s="571">
        <f>+CapitalFijo!H9/Resultados!I7</f>
        <v>0.58615596390046631</v>
      </c>
      <c r="D12" s="571">
        <f>+CapitalFijo!I9/Resultados!J7</f>
        <v>0.49047548454309747</v>
      </c>
      <c r="E12" s="571">
        <f>+CapitalFijo!J9/Resultados!K7</f>
        <v>0.36061190123628306</v>
      </c>
      <c r="F12" s="571">
        <f>+CapitalFijo!K9/Resultados!L7</f>
        <v>0.30885781831704356</v>
      </c>
      <c r="G12" s="571">
        <f>+CapitalFijo!L9/Resultados!M7</f>
        <v>0.33907747865152715</v>
      </c>
      <c r="H12" s="388"/>
      <c r="I12" s="573" t="s">
        <v>1106</v>
      </c>
      <c r="J12" s="574" t="s">
        <v>1107</v>
      </c>
      <c r="K12" s="664">
        <f>+Valoraciones!B30/Indicadores!K6</f>
        <v>7.9951567112737241</v>
      </c>
      <c r="L12" s="664"/>
      <c r="M12" s="665"/>
    </row>
    <row r="13" spans="1:13" ht="15.75">
      <c r="A13" s="388" t="s">
        <v>190</v>
      </c>
      <c r="B13" s="571">
        <f>-Balance!H24/Balance!H16</f>
        <v>0.58154197104879324</v>
      </c>
      <c r="C13" s="571">
        <f>-Balance!I24/Balance!I16</f>
        <v>0.6630498156185467</v>
      </c>
      <c r="D13" s="571">
        <f>-Balance!J24/Balance!J16</f>
        <v>0.71653782258841203</v>
      </c>
      <c r="E13" s="571">
        <f>-Balance!K24/Balance!K16</f>
        <v>0.79424636237478541</v>
      </c>
      <c r="F13" s="571">
        <f>-Balance!L24/Balance!L16</f>
        <v>0.84953881001569065</v>
      </c>
      <c r="G13" s="571">
        <f>-Balance!M24/Balance!M16</f>
        <v>0.85252362162272688</v>
      </c>
      <c r="H13" s="388"/>
      <c r="I13" s="573" t="s">
        <v>1099</v>
      </c>
      <c r="J13" s="574" t="s">
        <v>1102</v>
      </c>
      <c r="K13" s="581">
        <f>+'KWOp.%'!P7</f>
        <v>59.999999999999986</v>
      </c>
      <c r="L13" s="582">
        <f>+'KWOp.%'!S7</f>
        <v>49.999999999999993</v>
      </c>
      <c r="M13" s="583">
        <f>+'KWOp.%'!U7</f>
        <v>50</v>
      </c>
    </row>
    <row r="14" spans="1:13" ht="15.75">
      <c r="I14" s="584" t="s">
        <v>1100</v>
      </c>
      <c r="J14" s="585" t="s">
        <v>1102</v>
      </c>
      <c r="K14" s="586">
        <f>+'KWOp.%'!P8</f>
        <v>83.000000000000171</v>
      </c>
      <c r="L14" s="587">
        <f>+'KWOp.%'!S8</f>
        <v>65</v>
      </c>
      <c r="M14" s="588">
        <f>+'KWOp.%'!U8</f>
        <v>64.999999999999943</v>
      </c>
    </row>
    <row r="15" spans="1:13" hidden="1">
      <c r="A15" s="388" t="s">
        <v>204</v>
      </c>
      <c r="B15" s="392">
        <f>Resultados!H7</f>
        <v>222718250.63338894</v>
      </c>
      <c r="C15" s="392">
        <f>Resultados!I7</f>
        <v>246041696.33152092</v>
      </c>
      <c r="D15" s="392">
        <f>Resultados!J7</f>
        <v>269311276.07352322</v>
      </c>
      <c r="E15" s="392">
        <f>Resultados!K7</f>
        <v>294325514.03584743</v>
      </c>
      <c r="F15" s="392">
        <f>Resultados!L7</f>
        <v>294325514.03584743</v>
      </c>
      <c r="G15" s="392">
        <f>Resultados!M7</f>
        <v>294325514.03584743</v>
      </c>
      <c r="H15" s="388"/>
      <c r="I15" s="388"/>
      <c r="J15" s="388"/>
      <c r="K15" s="388"/>
    </row>
    <row r="16" spans="1:13" hidden="1">
      <c r="A16" s="388" t="s">
        <v>81</v>
      </c>
      <c r="B16" s="392">
        <f>B15*B9</f>
        <v>78675354.751366884</v>
      </c>
      <c r="C16" s="392">
        <f t="shared" ref="C16:G16" si="1">C15*C9</f>
        <v>91610534.029231817</v>
      </c>
      <c r="D16" s="392">
        <f t="shared" si="1"/>
        <v>105115509.02207437</v>
      </c>
      <c r="E16" s="392">
        <f t="shared" si="1"/>
        <v>114485376.21617386</v>
      </c>
      <c r="F16" s="392">
        <f t="shared" si="1"/>
        <v>114485376.21617386</v>
      </c>
      <c r="G16" s="392">
        <f t="shared" si="1"/>
        <v>114485376.21617386</v>
      </c>
      <c r="H16" s="388"/>
      <c r="I16" s="388"/>
      <c r="J16" s="388"/>
      <c r="K16" s="388"/>
    </row>
    <row r="17" spans="1:11" hidden="1">
      <c r="A17" s="388" t="s">
        <v>205</v>
      </c>
      <c r="B17" s="392">
        <f t="shared" ref="B17:G17" si="2">B16*-B10</f>
        <v>-26749620.615464743</v>
      </c>
      <c r="C17" s="392">
        <f t="shared" si="2"/>
        <v>-31147581.56993882</v>
      </c>
      <c r="D17" s="392">
        <f t="shared" si="2"/>
        <v>-34688117.977284543</v>
      </c>
      <c r="E17" s="392">
        <f t="shared" si="2"/>
        <v>-37780174.151337378</v>
      </c>
      <c r="F17" s="392">
        <f t="shared" si="2"/>
        <v>-37780174.151337378</v>
      </c>
      <c r="G17" s="392">
        <f t="shared" si="2"/>
        <v>-37780174.151337378</v>
      </c>
      <c r="H17" s="388"/>
      <c r="I17" s="388"/>
      <c r="J17" s="388"/>
      <c r="K17" s="388"/>
    </row>
    <row r="18" spans="1:11" hidden="1">
      <c r="A18" s="388" t="s">
        <v>206</v>
      </c>
      <c r="B18" s="392">
        <f t="shared" ref="B18:G18" si="3">B15*B11</f>
        <v>62995867.040349409</v>
      </c>
      <c r="C18" s="392">
        <f t="shared" si="3"/>
        <v>60678515.123396516</v>
      </c>
      <c r="D18" s="392">
        <f t="shared" si="3"/>
        <v>66340367.596772045</v>
      </c>
      <c r="E18" s="392">
        <f t="shared" si="3"/>
        <v>60131874.593507692</v>
      </c>
      <c r="F18" s="392">
        <f t="shared" si="3"/>
        <v>57218849.767350435</v>
      </c>
      <c r="G18" s="392">
        <f t="shared" si="3"/>
        <v>53263705.080333479</v>
      </c>
      <c r="H18" s="392"/>
      <c r="I18" s="388"/>
      <c r="J18" s="388"/>
      <c r="K18" s="388"/>
    </row>
    <row r="19" spans="1:11" hidden="1">
      <c r="B19" s="393"/>
      <c r="C19" s="393"/>
      <c r="D19" s="393"/>
      <c r="E19" s="393"/>
      <c r="F19" s="393"/>
      <c r="G19" s="393"/>
    </row>
    <row r="20" spans="1:11" ht="15.75" hidden="1">
      <c r="A20" s="389" t="s">
        <v>207</v>
      </c>
      <c r="B20" s="392"/>
      <c r="C20" s="392"/>
      <c r="D20" s="392"/>
      <c r="E20" s="392"/>
      <c r="F20" s="392"/>
      <c r="G20" s="392"/>
      <c r="H20" s="388"/>
      <c r="I20" s="388"/>
      <c r="J20" s="388"/>
      <c r="K20" s="388"/>
    </row>
    <row r="21" spans="1:11" hidden="1">
      <c r="B21" s="393"/>
      <c r="C21" s="393"/>
      <c r="D21" s="393"/>
      <c r="E21" s="393"/>
      <c r="F21" s="393"/>
      <c r="G21" s="393"/>
    </row>
    <row r="22" spans="1:11" hidden="1">
      <c r="A22" s="388" t="s">
        <v>208</v>
      </c>
      <c r="B22" s="392">
        <f>+CapitalFijo!F6</f>
        <v>360743796</v>
      </c>
      <c r="C22" s="392">
        <f>+CapitalFijo!G6</f>
        <v>363672932.77503407</v>
      </c>
      <c r="D22" s="392">
        <f>+CapitalFijo!H6</f>
        <v>366202369.28638977</v>
      </c>
      <c r="E22" s="392">
        <f>+CapitalFijo!I6</f>
        <v>383329378.15873557</v>
      </c>
      <c r="F22" s="392">
        <f>+CapitalFijo!J6</f>
        <v>385045388.11665332</v>
      </c>
      <c r="G22" s="392">
        <f>+CapitalFijo!K6</f>
        <v>387026568.13924778</v>
      </c>
      <c r="H22" s="388"/>
      <c r="I22" s="388"/>
      <c r="J22" s="388"/>
      <c r="K22" s="388"/>
    </row>
    <row r="23" spans="1:11" hidden="1">
      <c r="A23" s="388" t="s">
        <v>209</v>
      </c>
      <c r="B23" s="392">
        <f>B15*B12</f>
        <v>171123370.2949622</v>
      </c>
      <c r="C23" s="392">
        <f t="shared" ref="C23:G23" si="4">C15*C12</f>
        <v>144218807.67290846</v>
      </c>
      <c r="D23" s="392">
        <f t="shared" si="4"/>
        <v>132090578.6250812</v>
      </c>
      <c r="E23" s="392">
        <f t="shared" si="4"/>
        <v>106137283.19881326</v>
      </c>
      <c r="F23" s="392">
        <f t="shared" si="4"/>
        <v>90904736.140154213</v>
      </c>
      <c r="G23" s="392">
        <f t="shared" si="4"/>
        <v>99799153.202089816</v>
      </c>
      <c r="H23" s="388"/>
      <c r="I23" s="388"/>
      <c r="J23" s="388"/>
      <c r="K23" s="388"/>
    </row>
    <row r="24" spans="1:11" ht="15.75" hidden="1">
      <c r="A24" s="389" t="s">
        <v>210</v>
      </c>
      <c r="B24" s="394">
        <f t="shared" ref="B24:G24" si="5">SUM(B22:B23)</f>
        <v>531867166.29496217</v>
      </c>
      <c r="C24" s="394">
        <f t="shared" si="5"/>
        <v>507891740.4479425</v>
      </c>
      <c r="D24" s="394">
        <f t="shared" si="5"/>
        <v>498292947.91147095</v>
      </c>
      <c r="E24" s="394">
        <f t="shared" si="5"/>
        <v>489466661.35754883</v>
      </c>
      <c r="F24" s="394">
        <f t="shared" si="5"/>
        <v>475950124.25680757</v>
      </c>
      <c r="G24" s="394">
        <f t="shared" si="5"/>
        <v>486825721.34133756</v>
      </c>
      <c r="H24" s="388"/>
      <c r="I24" s="388"/>
      <c r="J24" s="388"/>
      <c r="K24" s="388"/>
    </row>
    <row r="25" spans="1:11" hidden="1">
      <c r="B25" s="393"/>
      <c r="C25" s="393"/>
      <c r="D25" s="393"/>
      <c r="E25" s="393"/>
      <c r="F25" s="393"/>
      <c r="G25" s="393"/>
    </row>
    <row r="26" spans="1:11" hidden="1">
      <c r="A26" s="388" t="s">
        <v>211</v>
      </c>
      <c r="B26" s="392">
        <f t="shared" ref="B26:G26" si="6">B13*B24</f>
        <v>309303080.22330856</v>
      </c>
      <c r="C26" s="392">
        <f t="shared" si="6"/>
        <v>336757524.85819107</v>
      </c>
      <c r="D26" s="392">
        <f t="shared" si="6"/>
        <v>357045743.90764642</v>
      </c>
      <c r="E26" s="392">
        <f t="shared" si="6"/>
        <v>388757115.28696412</v>
      </c>
      <c r="F26" s="392">
        <f t="shared" si="6"/>
        <v>404338102.18794841</v>
      </c>
      <c r="G26" s="392">
        <f t="shared" si="6"/>
        <v>415030427.05701351</v>
      </c>
      <c r="H26" s="388"/>
      <c r="I26" s="388"/>
      <c r="J26" s="388"/>
      <c r="K26" s="388"/>
    </row>
    <row r="27" spans="1:11" hidden="1">
      <c r="A27" s="388" t="s">
        <v>212</v>
      </c>
      <c r="B27" s="392">
        <f t="shared" ref="B27:G27" si="7">B23-B26</f>
        <v>-138179709.92834637</v>
      </c>
      <c r="C27" s="392">
        <f t="shared" si="7"/>
        <v>-192538717.18528262</v>
      </c>
      <c r="D27" s="392">
        <f t="shared" si="7"/>
        <v>-224955165.28256524</v>
      </c>
      <c r="E27" s="392">
        <f t="shared" si="7"/>
        <v>-282619832.08815086</v>
      </c>
      <c r="F27" s="392">
        <f t="shared" si="7"/>
        <v>-313433366.04779422</v>
      </c>
      <c r="G27" s="392">
        <f t="shared" si="7"/>
        <v>-315231273.85492373</v>
      </c>
      <c r="H27" s="388"/>
      <c r="I27" s="388"/>
      <c r="J27" s="388"/>
      <c r="K27" s="388"/>
    </row>
    <row r="28" spans="1:11" hidden="1">
      <c r="A28" s="38" t="s">
        <v>213</v>
      </c>
      <c r="B28" s="60">
        <f>CapitalFijo!E7-B26</f>
        <v>-473895334.22330856</v>
      </c>
      <c r="C28" s="60">
        <f>CapitalFijo!F7-C26</f>
        <v>-516987837.85819107</v>
      </c>
      <c r="D28" s="60">
        <f>+C28-D26</f>
        <v>-874033581.76583743</v>
      </c>
      <c r="E28" s="60">
        <f>+D28-E26</f>
        <v>-1262790697.0528016</v>
      </c>
      <c r="F28" s="60">
        <f>+E28-F26</f>
        <v>-1667128799.2407501</v>
      </c>
      <c r="G28" s="60">
        <f>+F28-G26</f>
        <v>-2082159226.2977636</v>
      </c>
    </row>
    <row r="29" spans="1:11" hidden="1"/>
    <row r="32" spans="1:11" ht="15" customHeight="1">
      <c r="D32" s="666" t="s">
        <v>1144</v>
      </c>
      <c r="E32" s="668" t="s">
        <v>1143</v>
      </c>
    </row>
    <row r="33" spans="4:7" ht="15" customHeight="1">
      <c r="D33" s="667"/>
      <c r="E33" s="669"/>
    </row>
    <row r="34" spans="4:7" ht="15" customHeight="1">
      <c r="D34" s="667"/>
      <c r="E34" s="669"/>
    </row>
    <row r="35" spans="4:7" ht="15" customHeight="1">
      <c r="D35" s="670">
        <v>7.3</v>
      </c>
      <c r="E35" s="672">
        <f>+Valoraciones!E30</f>
        <v>10.253985867112508</v>
      </c>
    </row>
    <row r="36" spans="4:7">
      <c r="D36" s="671"/>
      <c r="E36" s="673"/>
    </row>
    <row r="37" spans="4:7">
      <c r="G37" s="130"/>
    </row>
  </sheetData>
  <mergeCells count="5">
    <mergeCell ref="K12:M12"/>
    <mergeCell ref="D32:D34"/>
    <mergeCell ref="E32:E34"/>
    <mergeCell ref="D35:D36"/>
    <mergeCell ref="E35:E36"/>
  </mergeCells>
  <phoneticPr fontId="0" type="noConversion"/>
  <printOptions horizontalCentered="1" verticalCentered="1"/>
  <pageMargins left="0.51181102362204722" right="0.51181102362204722" top="0.51181102362204722" bottom="0.51181102362204722" header="0.51181102362204722" footer="0.51181102362204722"/>
  <pageSetup scale="110" firstPageNumber="15" orientation="landscape" blackAndWhite="1" horizontalDpi="300" verticalDpi="300"/>
  <headerFooter alignWithMargins="0">
    <oddHeader>&amp;C&amp;A</oddHeader>
    <oddFooter>&amp;CCia.Modelo -  EVA&amp;RPágina &amp;P</oddFooter>
  </headerFooter>
  <legacy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dimension ref="A1:N41"/>
  <sheetViews>
    <sheetView showGridLines="0" topLeftCell="A3" zoomScale="70" zoomScaleNormal="70" zoomScalePageLayoutView="70" workbookViewId="0">
      <selection activeCell="A5" sqref="A5:I30"/>
    </sheetView>
  </sheetViews>
  <sheetFormatPr baseColWidth="10" defaultColWidth="8.88671875" defaultRowHeight="15"/>
  <cols>
    <col min="1" max="1" width="3.6640625" customWidth="1"/>
    <col min="2" max="2" width="31.6640625" customWidth="1"/>
    <col min="3" max="4" width="11.5546875" customWidth="1"/>
    <col min="5" max="5" width="14.109375" customWidth="1"/>
    <col min="6" max="6" width="11.5546875" customWidth="1"/>
    <col min="7" max="7" width="12.44140625" bestFit="1" customWidth="1"/>
    <col min="8" max="9" width="12.44140625" customWidth="1"/>
    <col min="10" max="10" width="13.88671875" customWidth="1"/>
    <col min="11" max="13" width="13.44140625" customWidth="1"/>
  </cols>
  <sheetData>
    <row r="1" spans="1:14" ht="15.75">
      <c r="A1" s="1" t="str">
        <f>+Balance!A1</f>
        <v>Compañía Modelo - EVA</v>
      </c>
      <c r="B1" s="2"/>
      <c r="C1" s="2"/>
      <c r="D1" s="2"/>
      <c r="E1" s="2"/>
      <c r="F1" s="2"/>
    </row>
    <row r="2" spans="1:14" ht="15.75">
      <c r="A2" s="1" t="s">
        <v>52</v>
      </c>
      <c r="B2" s="2"/>
      <c r="C2" s="2"/>
      <c r="D2" s="2"/>
      <c r="E2" s="2"/>
      <c r="F2" s="2"/>
    </row>
    <row r="3" spans="1:14">
      <c r="A3" s="38" t="s">
        <v>287</v>
      </c>
      <c r="B3" s="2"/>
      <c r="C3" s="2"/>
      <c r="D3" s="2"/>
      <c r="E3" s="2"/>
      <c r="F3" s="2"/>
    </row>
    <row r="5" spans="1:14" ht="16.5" thickBot="1">
      <c r="A5" s="2"/>
      <c r="B5" s="2"/>
      <c r="C5" s="3">
        <f>Balance!$C$5</f>
        <v>2009</v>
      </c>
      <c r="D5" s="3">
        <f>C5+1</f>
        <v>2010</v>
      </c>
      <c r="E5" s="3">
        <f>D5+1</f>
        <v>2011</v>
      </c>
      <c r="F5" s="3">
        <f>E5+1</f>
        <v>2012</v>
      </c>
      <c r="G5" s="3">
        <f>F5+1</f>
        <v>2013</v>
      </c>
      <c r="H5" s="3" t="s">
        <v>342</v>
      </c>
      <c r="I5" s="3" t="s">
        <v>343</v>
      </c>
      <c r="J5" s="3" t="s">
        <v>344</v>
      </c>
      <c r="K5" s="3" t="s">
        <v>345</v>
      </c>
      <c r="L5" s="3" t="s">
        <v>346</v>
      </c>
      <c r="M5" s="3" t="s">
        <v>347</v>
      </c>
    </row>
    <row r="6" spans="1:14" ht="15.75">
      <c r="A6" s="1" t="s">
        <v>53</v>
      </c>
      <c r="B6" s="2"/>
      <c r="C6" s="2"/>
      <c r="D6" s="2"/>
      <c r="E6" s="2"/>
      <c r="F6" s="2"/>
      <c r="G6" s="2"/>
      <c r="H6" s="2"/>
      <c r="I6" s="2"/>
      <c r="J6" s="2"/>
      <c r="K6" s="2"/>
      <c r="L6" s="2"/>
      <c r="M6" s="2"/>
    </row>
    <row r="7" spans="1:14" ht="15.75">
      <c r="A7" s="1"/>
      <c r="B7" s="2" t="s">
        <v>4</v>
      </c>
      <c r="C7" s="2">
        <f>Balance!C8</f>
        <v>11094671</v>
      </c>
      <c r="D7" s="2">
        <f>Balance!D8</f>
        <v>2028428</v>
      </c>
      <c r="E7" s="2">
        <f>Balance!E8</f>
        <v>572128</v>
      </c>
      <c r="F7" s="2">
        <f>Balance!F8</f>
        <v>22402629</v>
      </c>
      <c r="G7" s="2">
        <f>Balance!G8</f>
        <v>2915796</v>
      </c>
      <c r="H7" s="2">
        <f>Balance!H8</f>
        <v>3023965.623548218</v>
      </c>
      <c r="I7" s="2">
        <f>Balance!I8</f>
        <v>3123912.151307404</v>
      </c>
      <c r="J7" s="2">
        <f>Balance!J8</f>
        <v>3230018.3035351662</v>
      </c>
      <c r="K7" s="2">
        <f>Balance!K8</f>
        <v>3333848.7371521411</v>
      </c>
      <c r="L7" s="2">
        <f>Balance!L8</f>
        <v>3448014.4666273431</v>
      </c>
      <c r="M7" s="2">
        <f>Balance!M8</f>
        <v>3569536.6732453359</v>
      </c>
    </row>
    <row r="8" spans="1:14" ht="15.75">
      <c r="A8" s="1"/>
      <c r="B8" s="2" t="s">
        <v>5</v>
      </c>
      <c r="C8" s="2">
        <f>Balance!C9</f>
        <v>13447568</v>
      </c>
      <c r="D8" s="2">
        <f>Balance!D9</f>
        <v>31558624</v>
      </c>
      <c r="E8" s="2">
        <f>Balance!E9</f>
        <v>18146320</v>
      </c>
      <c r="F8" s="2">
        <f>Balance!F9</f>
        <v>24255252</v>
      </c>
      <c r="G8" s="2">
        <f>Balance!G9</f>
        <v>31616780</v>
      </c>
      <c r="H8" s="2">
        <f>Balance!H9</f>
        <v>37119708.438898146</v>
      </c>
      <c r="I8" s="2">
        <f>Balance!I9</f>
        <v>37589703.606204517</v>
      </c>
      <c r="J8" s="2">
        <f>Balance!J9</f>
        <v>41144778.28901051</v>
      </c>
      <c r="K8" s="2">
        <f>Balance!K9</f>
        <v>40878543.616089918</v>
      </c>
      <c r="L8" s="2">
        <f>Balance!L9</f>
        <v>40878543.616089918</v>
      </c>
      <c r="M8" s="2">
        <f>Balance!M9</f>
        <v>40878543.616089925</v>
      </c>
    </row>
    <row r="9" spans="1:14" ht="15.75">
      <c r="A9" s="1"/>
      <c r="B9" s="2" t="s">
        <v>6</v>
      </c>
      <c r="C9" s="2">
        <f>Balance!C10</f>
        <v>18068410</v>
      </c>
      <c r="D9" s="2">
        <f>Balance!D10</f>
        <v>20268504</v>
      </c>
      <c r="E9" s="2">
        <f>Balance!E10</f>
        <v>26430760</v>
      </c>
      <c r="F9" s="2">
        <f>Balance!F10</f>
        <v>34016902</v>
      </c>
      <c r="G9" s="2">
        <f>Balance!G10</f>
        <v>43554208</v>
      </c>
      <c r="H9" s="355">
        <f>Balance!H10</f>
        <v>51348930.007142551</v>
      </c>
      <c r="I9" s="355">
        <f>Balance!I10</f>
        <v>51258686.735733517</v>
      </c>
      <c r="J9" s="355">
        <f>Balance!J10</f>
        <v>56106515.848650664</v>
      </c>
      <c r="K9" s="355">
        <f>Balance!K10</f>
        <v>53142106.700916894</v>
      </c>
      <c r="L9" s="355">
        <f>Balance!L10</f>
        <v>53505797.771749288</v>
      </c>
      <c r="M9" s="355">
        <f>Balance!M10</f>
        <v>53142106.700916849</v>
      </c>
      <c r="N9" s="50"/>
    </row>
    <row r="10" spans="1:14" ht="16.5" thickBot="1">
      <c r="A10" s="1"/>
      <c r="B10" s="2" t="str">
        <f>+Balance!B11</f>
        <v>Gastos pagados por anticipado</v>
      </c>
      <c r="C10" s="2">
        <f>+Balance!C11</f>
        <v>281145</v>
      </c>
      <c r="D10" s="2">
        <f>+Balance!D11</f>
        <v>282098</v>
      </c>
      <c r="E10" s="2">
        <f>+Balance!E11</f>
        <v>213553</v>
      </c>
      <c r="F10" s="2">
        <f>+Balance!F11</f>
        <v>369730</v>
      </c>
      <c r="G10" s="2">
        <f>+Balance!G11</f>
        <v>510756</v>
      </c>
      <c r="H10" s="355">
        <f>+Balance!H11</f>
        <v>514075.08214348694</v>
      </c>
      <c r="I10" s="355">
        <f>+Balance!I11</f>
        <v>516963.54720324004</v>
      </c>
      <c r="J10" s="355">
        <f>+Balance!J11</f>
        <v>519869.32755115052</v>
      </c>
      <c r="K10" s="355">
        <f>+Balance!K11</f>
        <v>522559.02289013856</v>
      </c>
      <c r="L10" s="355">
        <f>+Balance!L11</f>
        <v>525363.90540770954</v>
      </c>
      <c r="M10" s="355">
        <f>+Balance!M11</f>
        <v>528185.1318894251</v>
      </c>
      <c r="N10" s="50"/>
    </row>
    <row r="11" spans="1:14" ht="15.75">
      <c r="A11" s="1" t="s">
        <v>54</v>
      </c>
      <c r="B11" s="2"/>
      <c r="C11" s="4">
        <f>SUM(C7:C10)</f>
        <v>42891794</v>
      </c>
      <c r="D11" s="4">
        <f>SUM(D7:D10)</f>
        <v>54137654</v>
      </c>
      <c r="E11" s="4">
        <f>SUM(E7:E10)</f>
        <v>45362761</v>
      </c>
      <c r="F11" s="4">
        <f>SUM(F7:F10)</f>
        <v>81044513</v>
      </c>
      <c r="G11" s="4">
        <f>SUM(G7:G10)</f>
        <v>78597540</v>
      </c>
      <c r="H11" s="4">
        <f t="shared" ref="H11:M11" si="0">SUM(H7:H9)</f>
        <v>91492604.069588915</v>
      </c>
      <c r="I11" s="4">
        <f t="shared" si="0"/>
        <v>91972302.493245438</v>
      </c>
      <c r="J11" s="4">
        <f t="shared" si="0"/>
        <v>100481312.44119634</v>
      </c>
      <c r="K11" s="4">
        <f t="shared" si="0"/>
        <v>97354499.054158956</v>
      </c>
      <c r="L11" s="4">
        <f t="shared" si="0"/>
        <v>97832355.854466558</v>
      </c>
      <c r="M11" s="4">
        <f t="shared" si="0"/>
        <v>97590186.990252107</v>
      </c>
    </row>
    <row r="12" spans="1:14" ht="15.75">
      <c r="A12" s="1"/>
      <c r="B12" s="2"/>
      <c r="C12" s="2"/>
      <c r="D12" s="2"/>
      <c r="E12" s="2"/>
      <c r="F12" s="2"/>
      <c r="G12" s="2"/>
      <c r="H12" s="40">
        <f>+H11/G11-1</f>
        <v>0.16406447415006764</v>
      </c>
      <c r="I12" s="2"/>
      <c r="J12" s="2"/>
      <c r="K12" s="2"/>
      <c r="L12" s="2"/>
      <c r="M12" s="2"/>
    </row>
    <row r="13" spans="1:14" ht="15.75">
      <c r="A13" s="1" t="s">
        <v>55</v>
      </c>
      <c r="B13" s="2"/>
      <c r="C13" s="2"/>
      <c r="D13" s="2"/>
      <c r="E13" s="2"/>
      <c r="F13" s="2"/>
      <c r="G13" s="2"/>
      <c r="H13" s="2"/>
      <c r="I13" s="2"/>
      <c r="J13" s="2"/>
      <c r="K13" s="2"/>
      <c r="L13" s="2"/>
      <c r="M13" s="2"/>
    </row>
    <row r="14" spans="1:14" ht="15.75">
      <c r="A14" s="1"/>
      <c r="B14" s="2" t="s">
        <v>17</v>
      </c>
      <c r="C14" s="2">
        <f>Balance!C33</f>
        <v>2241868</v>
      </c>
      <c r="D14" s="2">
        <f>Balance!D33</f>
        <v>8247486</v>
      </c>
      <c r="E14" s="2">
        <f>Balance!E33</f>
        <v>8194305</v>
      </c>
      <c r="F14" s="2">
        <f>Balance!F33</f>
        <v>7354140</v>
      </c>
      <c r="G14" s="2">
        <f>Balance!G33</f>
        <v>11898726</v>
      </c>
      <c r="H14" s="2">
        <f>Balance!H33</f>
        <v>13634641.024718173</v>
      </c>
      <c r="I14" s="2">
        <f>Balance!I33</f>
        <v>15070063.077629536</v>
      </c>
      <c r="J14" s="2">
        <f>Balance!J33</f>
        <v>16518490.298212625</v>
      </c>
      <c r="K14" s="2">
        <f>Balance!K33</f>
        <v>18092351.740545593</v>
      </c>
      <c r="L14" s="2">
        <f>Balance!L33</f>
        <v>19816168.765679639</v>
      </c>
      <c r="M14" s="2">
        <f>Balance!M33</f>
        <v>21704228.95713919</v>
      </c>
    </row>
    <row r="15" spans="1:14" ht="15.75">
      <c r="A15" s="1"/>
      <c r="B15" s="2" t="s">
        <v>18</v>
      </c>
      <c r="C15" s="2">
        <f>Balance!C34</f>
        <v>3864416</v>
      </c>
      <c r="D15" s="2">
        <f>Balance!D34</f>
        <v>6364084</v>
      </c>
      <c r="E15" s="2">
        <f>Balance!E34</f>
        <v>8263067</v>
      </c>
      <c r="F15" s="2">
        <f>Balance!F34</f>
        <v>8244029</v>
      </c>
      <c r="G15" s="2">
        <f>Balance!G34</f>
        <v>9083475</v>
      </c>
      <c r="H15" s="2">
        <f>Balance!H34</f>
        <v>10408670.716680249</v>
      </c>
      <c r="I15" s="2">
        <f>Balance!I34</f>
        <v>11504470.412552653</v>
      </c>
      <c r="J15" s="2">
        <f>Balance!J34</f>
        <v>12610198.239841554</v>
      </c>
      <c r="K15" s="2">
        <f>Balance!K34</f>
        <v>13811682.420996364</v>
      </c>
      <c r="L15" s="2">
        <f>Balance!L34</f>
        <v>15127642.537430633</v>
      </c>
      <c r="M15" s="2">
        <f>Balance!M34</f>
        <v>16568985.715483312</v>
      </c>
    </row>
    <row r="16" spans="1:14" ht="15.75">
      <c r="A16" s="1"/>
      <c r="B16" s="2" t="s">
        <v>19</v>
      </c>
      <c r="C16" s="2">
        <f>Balance!C35</f>
        <v>606933</v>
      </c>
      <c r="D16" s="2">
        <f>Balance!D35</f>
        <v>739550</v>
      </c>
      <c r="E16" s="2">
        <f>Balance!E35</f>
        <v>879922</v>
      </c>
      <c r="F16" s="2">
        <f>Balance!F35</f>
        <v>1183517</v>
      </c>
      <c r="G16" s="2">
        <f>Balance!G35</f>
        <v>1386805</v>
      </c>
      <c r="H16" s="2">
        <f>Balance!H35</f>
        <v>1430918.9215286693</v>
      </c>
      <c r="I16" s="2">
        <f>Balance!I35</f>
        <v>1479589.9537538444</v>
      </c>
      <c r="J16" s="2">
        <f>Balance!J35</f>
        <v>1530158.0830339252</v>
      </c>
      <c r="K16" s="2">
        <f>Balance!K35</f>
        <v>1579738.2026355832</v>
      </c>
      <c r="L16" s="2">
        <f>Balance!L35</f>
        <v>1632923.5575484256</v>
      </c>
      <c r="M16" s="2">
        <f>Balance!M35</f>
        <v>1686861.6848315108</v>
      </c>
    </row>
    <row r="17" spans="1:13" s="50" customFormat="1" ht="15.75">
      <c r="A17" s="381"/>
      <c r="B17" s="355" t="s">
        <v>995</v>
      </c>
      <c r="C17" s="355">
        <f>+Balance!C39</f>
        <v>116309</v>
      </c>
      <c r="D17" s="355">
        <f>+Balance!D39</f>
        <v>128078</v>
      </c>
      <c r="E17" s="355">
        <f>+Balance!E39</f>
        <v>168944</v>
      </c>
      <c r="F17" s="355">
        <f>+Balance!F39</f>
        <v>0</v>
      </c>
      <c r="G17" s="355">
        <f>+Balance!G39</f>
        <v>0</v>
      </c>
      <c r="H17" s="355">
        <f>+Balance!H39</f>
        <v>0</v>
      </c>
      <c r="I17" s="355">
        <f>+Balance!I39</f>
        <v>0</v>
      </c>
      <c r="J17" s="355">
        <f>+Balance!J39</f>
        <v>0</v>
      </c>
      <c r="K17" s="355">
        <f>+Balance!K39</f>
        <v>0</v>
      </c>
      <c r="L17" s="355">
        <f>+Balance!L39</f>
        <v>0</v>
      </c>
      <c r="M17" s="355">
        <f>+Balance!M39</f>
        <v>0</v>
      </c>
    </row>
    <row r="18" spans="1:13" s="50" customFormat="1" ht="15.75">
      <c r="A18" s="381"/>
      <c r="B18" s="355" t="s">
        <v>301</v>
      </c>
      <c r="C18" s="355">
        <f>+Balance!C40</f>
        <v>0</v>
      </c>
      <c r="D18" s="355">
        <f>+Balance!D40</f>
        <v>0</v>
      </c>
      <c r="E18" s="355">
        <f>+Balance!E40</f>
        <v>0</v>
      </c>
      <c r="F18" s="355">
        <f>+Balance!F40</f>
        <v>1553185</v>
      </c>
      <c r="G18" s="355">
        <f>+Balance!G40</f>
        <v>2837790</v>
      </c>
      <c r="H18" s="355">
        <f>+Balance!H40</f>
        <v>3022506.3663124116</v>
      </c>
      <c r="I18" s="355">
        <f>+Balance!I40</f>
        <v>3239663.9259128897</v>
      </c>
      <c r="J18" s="355">
        <f>+Balance!J40</f>
        <v>3482098.2233361877</v>
      </c>
      <c r="K18" s="355">
        <f>+Balance!K40</f>
        <v>3738852.0964737264</v>
      </c>
      <c r="L18" s="355">
        <f>+Balance!L40</f>
        <v>4036771.2264574235</v>
      </c>
      <c r="M18" s="355">
        <f>+Balance!M40</f>
        <v>4366405.5524646193</v>
      </c>
    </row>
    <row r="19" spans="1:13" ht="16.5" thickBot="1">
      <c r="A19" s="1"/>
      <c r="B19" s="2" t="s">
        <v>24</v>
      </c>
      <c r="C19" s="2">
        <f>Balance!C47</f>
        <v>0</v>
      </c>
      <c r="D19" s="2">
        <f>Balance!D47</f>
        <v>0</v>
      </c>
      <c r="E19" s="2">
        <f>Balance!E47</f>
        <v>0</v>
      </c>
      <c r="F19" s="2">
        <f>Balance!F47</f>
        <v>0</v>
      </c>
      <c r="G19" s="2">
        <f>Balance!G47</f>
        <v>0</v>
      </c>
      <c r="H19" s="2">
        <f>Balance!H47</f>
        <v>0</v>
      </c>
      <c r="I19" s="2">
        <f>Balance!I47</f>
        <v>0</v>
      </c>
      <c r="J19" s="2">
        <f>Balance!J47</f>
        <v>0</v>
      </c>
      <c r="K19" s="2">
        <f>Balance!K47</f>
        <v>0</v>
      </c>
      <c r="L19" s="2">
        <f>Balance!L47</f>
        <v>0</v>
      </c>
      <c r="M19" s="2">
        <f>Balance!M47</f>
        <v>0</v>
      </c>
    </row>
    <row r="20" spans="1:13" ht="15.75">
      <c r="A20" s="1" t="s">
        <v>56</v>
      </c>
      <c r="B20" s="2"/>
      <c r="C20" s="4">
        <f t="shared" ref="C20:M20" si="1">SUM(C14:C19)</f>
        <v>6829526</v>
      </c>
      <c r="D20" s="4">
        <f t="shared" si="1"/>
        <v>15479198</v>
      </c>
      <c r="E20" s="4">
        <f t="shared" si="1"/>
        <v>17506238</v>
      </c>
      <c r="F20" s="4">
        <f t="shared" si="1"/>
        <v>18334871</v>
      </c>
      <c r="G20" s="4">
        <f t="shared" si="1"/>
        <v>25206796</v>
      </c>
      <c r="H20" s="4">
        <f t="shared" si="1"/>
        <v>28496737.029239506</v>
      </c>
      <c r="I20" s="4">
        <f t="shared" si="1"/>
        <v>31293787.369848926</v>
      </c>
      <c r="J20" s="4">
        <f t="shared" si="1"/>
        <v>34140944.844424292</v>
      </c>
      <c r="K20" s="4">
        <f t="shared" si="1"/>
        <v>37222624.460651264</v>
      </c>
      <c r="L20" s="4">
        <f t="shared" si="1"/>
        <v>40613506.087116122</v>
      </c>
      <c r="M20" s="4">
        <f t="shared" si="1"/>
        <v>44326481.909918629</v>
      </c>
    </row>
    <row r="21" spans="1:13" ht="15.75">
      <c r="A21" s="1"/>
      <c r="B21" s="1" t="s">
        <v>57</v>
      </c>
      <c r="C21" s="2"/>
      <c r="D21" s="2"/>
      <c r="E21" s="2"/>
      <c r="F21" s="2"/>
      <c r="G21" s="2"/>
      <c r="H21" s="2"/>
      <c r="I21" s="2"/>
      <c r="J21" s="2"/>
      <c r="K21" s="2"/>
      <c r="L21" s="2"/>
      <c r="M21" s="2"/>
    </row>
    <row r="22" spans="1:13" ht="16.5" thickBot="1">
      <c r="A22" s="1"/>
      <c r="B22" s="1"/>
      <c r="C22" s="2"/>
      <c r="D22" s="2"/>
      <c r="E22" s="2"/>
      <c r="F22" s="2"/>
      <c r="G22" s="2"/>
      <c r="H22" s="2"/>
      <c r="I22" s="2"/>
      <c r="J22" s="2"/>
      <c r="K22" s="2"/>
      <c r="L22" s="2"/>
      <c r="M22" s="2"/>
    </row>
    <row r="23" spans="1:13" ht="16.5" thickTop="1">
      <c r="A23" s="12" t="s">
        <v>58</v>
      </c>
      <c r="B23" s="13"/>
      <c r="C23" s="12">
        <f t="shared" ref="C23:H23" si="2">C11-C20</f>
        <v>36062268</v>
      </c>
      <c r="D23" s="12">
        <f t="shared" si="2"/>
        <v>38658456</v>
      </c>
      <c r="E23" s="12">
        <f t="shared" si="2"/>
        <v>27856523</v>
      </c>
      <c r="F23" s="12">
        <f t="shared" si="2"/>
        <v>62709642</v>
      </c>
      <c r="G23" s="12">
        <f t="shared" si="2"/>
        <v>53390744</v>
      </c>
      <c r="H23" s="12">
        <f t="shared" si="2"/>
        <v>62995867.040349409</v>
      </c>
      <c r="I23" s="12">
        <f>I11-I20</f>
        <v>60678515.123396516</v>
      </c>
      <c r="J23" s="12">
        <f>J11-J20</f>
        <v>66340367.596772045</v>
      </c>
      <c r="K23" s="12">
        <f>K11-K20</f>
        <v>60131874.593507692</v>
      </c>
      <c r="L23" s="12">
        <f>L11-L20</f>
        <v>57218849.767350435</v>
      </c>
      <c r="M23" s="12">
        <f>M11-M20</f>
        <v>53263705.080333479</v>
      </c>
    </row>
    <row r="24" spans="1:13" ht="16.5" thickBot="1">
      <c r="A24" s="14"/>
      <c r="B24" s="14" t="s">
        <v>57</v>
      </c>
      <c r="C24" s="14"/>
      <c r="D24" s="14"/>
      <c r="E24" s="14"/>
      <c r="F24" s="14"/>
      <c r="G24" s="14"/>
      <c r="H24" s="14"/>
      <c r="I24" s="14"/>
      <c r="J24" s="14"/>
      <c r="K24" s="14"/>
      <c r="L24" s="14"/>
      <c r="M24" s="14"/>
    </row>
    <row r="25" spans="1:13" ht="16.5" thickTop="1">
      <c r="A25" s="1"/>
      <c r="B25" s="2" t="s">
        <v>59</v>
      </c>
      <c r="C25" s="6">
        <f>C23/Resultados!C7</f>
        <v>0.43888187525278843</v>
      </c>
      <c r="D25" s="6">
        <f>D23/Resultados!D7</f>
        <v>0.41854966683155254</v>
      </c>
      <c r="E25" s="6">
        <f>E23/Resultados!E7</f>
        <v>0.25537898387768909</v>
      </c>
      <c r="F25" s="6">
        <f>F23/Resultados!F7</f>
        <v>0.47088633087496373</v>
      </c>
      <c r="G25" s="6">
        <f>G23/Resultados!G7</f>
        <v>0.28253522697915046</v>
      </c>
      <c r="H25" s="6">
        <f>H23/Resultados!H7</f>
        <v>0.28285004422042342</v>
      </c>
      <c r="I25" s="6">
        <f>I23/Resultados!I7</f>
        <v>0.24661882936149659</v>
      </c>
      <c r="J25" s="6">
        <f>J23/Resultados!J7</f>
        <v>0.2463334196918692</v>
      </c>
      <c r="K25" s="6">
        <f>K23/Resultados!K7</f>
        <v>0.204303982243904</v>
      </c>
      <c r="L25" s="6">
        <f>L23/Resultados!L7</f>
        <v>0.1944066927217919</v>
      </c>
      <c r="M25" s="6">
        <f>M23/Resultados!M7</f>
        <v>0.18096869805804949</v>
      </c>
    </row>
    <row r="26" spans="1:13" ht="15.75">
      <c r="A26" s="1"/>
      <c r="B26" s="2"/>
      <c r="C26" s="2"/>
      <c r="D26" s="2"/>
      <c r="E26" s="2"/>
      <c r="F26" s="2"/>
      <c r="G26" s="2"/>
      <c r="H26" s="2"/>
      <c r="I26" s="2"/>
      <c r="J26" s="2"/>
      <c r="K26" s="2"/>
      <c r="L26" s="2"/>
      <c r="M26" s="2"/>
    </row>
    <row r="27" spans="1:13" ht="15.75">
      <c r="A27" s="1"/>
      <c r="B27" s="2" t="s">
        <v>20</v>
      </c>
      <c r="C27" s="2">
        <f>Balance!C36+Balance!C48</f>
        <v>1198581</v>
      </c>
      <c r="D27" s="2">
        <f>Balance!D36+Balance!D48</f>
        <v>1375272</v>
      </c>
      <c r="E27" s="2">
        <f>Balance!E36+Balance!E48</f>
        <v>6990518</v>
      </c>
      <c r="F27" s="2">
        <f>Balance!F36+Balance!F48</f>
        <v>5485392</v>
      </c>
      <c r="G27" s="2">
        <f>Balance!G36+Balance!G48</f>
        <v>7499105</v>
      </c>
      <c r="H27" s="2">
        <f>Balance!H36+Balance!H48</f>
        <v>3517639.4643158028</v>
      </c>
      <c r="I27" s="2">
        <f>Balance!I36+Balance!I48</f>
        <v>5102413.7010380924</v>
      </c>
      <c r="J27" s="2">
        <f>Balance!J36+Balance!J48</f>
        <v>6642810.3528321367</v>
      </c>
      <c r="K27" s="2">
        <f>Balance!K36+Balance!K48</f>
        <v>7715769.8995759981</v>
      </c>
      <c r="L27" s="2">
        <f>Balance!L36+Balance!L48</f>
        <v>7800934.0809393199</v>
      </c>
      <c r="M27" s="2">
        <f>Balance!M36+Balance!M48</f>
        <v>7823168.7584638828</v>
      </c>
    </row>
    <row r="28" spans="1:13" ht="16.5" thickBot="1">
      <c r="A28" s="1"/>
      <c r="B28" s="2"/>
      <c r="C28" s="2"/>
      <c r="D28" s="2"/>
      <c r="E28" s="2"/>
      <c r="F28" s="2"/>
      <c r="G28" s="2"/>
      <c r="H28" s="2"/>
      <c r="I28" s="2"/>
      <c r="J28" s="2"/>
      <c r="K28" s="2"/>
      <c r="L28" s="2"/>
      <c r="M28" s="2"/>
    </row>
    <row r="29" spans="1:13" ht="17.25" thickTop="1" thickBot="1">
      <c r="A29" s="5" t="s">
        <v>58</v>
      </c>
      <c r="B29" s="11"/>
      <c r="C29" s="5">
        <f t="shared" ref="C29:H29" si="3">C23-C27</f>
        <v>34863687</v>
      </c>
      <c r="D29" s="5">
        <f t="shared" si="3"/>
        <v>37283184</v>
      </c>
      <c r="E29" s="5">
        <f t="shared" si="3"/>
        <v>20866005</v>
      </c>
      <c r="F29" s="5">
        <f t="shared" si="3"/>
        <v>57224250</v>
      </c>
      <c r="G29" s="5">
        <f t="shared" si="3"/>
        <v>45891639</v>
      </c>
      <c r="H29" s="5">
        <f t="shared" si="3"/>
        <v>59478227.576033607</v>
      </c>
      <c r="I29" s="5">
        <f>I23-I27</f>
        <v>55576101.422358423</v>
      </c>
      <c r="J29" s="5">
        <f>J23-J27</f>
        <v>59697557.243939906</v>
      </c>
      <c r="K29" s="5">
        <f>K23-K27</f>
        <v>52416104.693931691</v>
      </c>
      <c r="L29" s="5">
        <f>L23-L27</f>
        <v>49417915.686411113</v>
      </c>
      <c r="M29" s="5">
        <f>M23-M27</f>
        <v>45440536.321869597</v>
      </c>
    </row>
    <row r="30" spans="1:13" ht="15.75" thickTop="1">
      <c r="A30" s="2"/>
      <c r="B30" s="2" t="s">
        <v>59</v>
      </c>
      <c r="C30" s="6">
        <f>C29/Resultados!C7</f>
        <v>0.42429500908778844</v>
      </c>
      <c r="D30" s="6">
        <f>D29/Resultados!D7</f>
        <v>0.40365979028286775</v>
      </c>
      <c r="E30" s="6">
        <f>E29/Resultados!E7</f>
        <v>0.19129232871190638</v>
      </c>
      <c r="F30" s="6">
        <f>F29/Resultados!F7</f>
        <v>0.42969655479091468</v>
      </c>
      <c r="G30" s="6">
        <f>G29/Resultados!G7</f>
        <v>0.2428511698827466</v>
      </c>
      <c r="H30" s="6">
        <f>H29/Resultados!H7</f>
        <v>0.26705592113301602</v>
      </c>
      <c r="I30" s="6">
        <f>I29/Resultados!I7</f>
        <v>0.22588082528692294</v>
      </c>
      <c r="J30" s="6">
        <f>J29/Resultados!J7</f>
        <v>0.22166749983258108</v>
      </c>
      <c r="K30" s="6">
        <f>K29/Resultados!K7</f>
        <v>0.1780888920406257</v>
      </c>
      <c r="L30" s="6">
        <f>L29/Resultados!L7</f>
        <v>0.16790224880195825</v>
      </c>
      <c r="M30" s="6">
        <f>M29/Resultados!M7</f>
        <v>0.1543887096255446</v>
      </c>
    </row>
    <row r="32" spans="1:13" ht="15.75" hidden="1">
      <c r="A32" s="1" t="s">
        <v>60</v>
      </c>
      <c r="B32" s="2"/>
      <c r="C32" s="355"/>
      <c r="D32" s="2"/>
      <c r="E32" s="2"/>
      <c r="F32" s="2"/>
      <c r="G32" s="2"/>
      <c r="H32" s="2"/>
      <c r="I32" s="2"/>
      <c r="J32" s="2"/>
      <c r="K32" s="2"/>
      <c r="L32" s="2"/>
      <c r="M32" s="2"/>
    </row>
    <row r="33" spans="1:13" ht="15.75" hidden="1">
      <c r="A33" s="1"/>
      <c r="B33" s="2" t="s">
        <v>61</v>
      </c>
      <c r="C33" s="545">
        <v>0.18333333333333332</v>
      </c>
      <c r="D33" s="6">
        <f>(Resultados!D7-Resultados!C7)/Resultados!C7</f>
        <v>0.12406678052537549</v>
      </c>
      <c r="E33" s="6">
        <f>(Resultados!E7-Resultados!D7)/Resultados!D7</f>
        <v>0.18098463963145026</v>
      </c>
      <c r="F33" s="6">
        <f>(Resultados!F7-Resultados!E7)/Resultados!E7</f>
        <v>0.22088985436923822</v>
      </c>
      <c r="G33" s="6">
        <f>(Resultados!G7-Resultados!F7)/Resultados!F7</f>
        <v>0.41897626429496593</v>
      </c>
      <c r="H33" s="6">
        <f>(Resultados!H7-Resultados!G7)/Resultados!G7</f>
        <v>0.17858914824456962</v>
      </c>
      <c r="I33" s="6">
        <f>(Resultados!I7-Resultados!H7)/Resultados!H7</f>
        <v>0.104721753299527</v>
      </c>
      <c r="J33" s="6">
        <f>(Resultados!J7-Resultados!I7)/Resultados!I7</f>
        <v>9.4575757235263361E-2</v>
      </c>
      <c r="K33" s="6">
        <f>(Resultados!K7-Resultados!J7)/Resultados!J7</f>
        <v>9.2882252562997772E-2</v>
      </c>
      <c r="L33" s="6">
        <f>(Resultados!L7-Resultados!K7)/Resultados!K7</f>
        <v>0</v>
      </c>
      <c r="M33" s="6">
        <f>(Resultados!M7-Resultados!L7)/Resultados!L7</f>
        <v>0</v>
      </c>
    </row>
    <row r="34" spans="1:13" ht="15.75" hidden="1">
      <c r="A34" s="1"/>
      <c r="B34" s="10" t="s">
        <v>62</v>
      </c>
      <c r="C34" s="381">
        <v>45</v>
      </c>
      <c r="D34" s="1">
        <f>D23-C23</f>
        <v>2596188</v>
      </c>
      <c r="E34" s="1">
        <f>E23-D23</f>
        <v>-10801933</v>
      </c>
      <c r="F34" s="1">
        <f t="shared" ref="F34:M34" si="4">F23-E23</f>
        <v>34853119</v>
      </c>
      <c r="G34" s="1">
        <f t="shared" si="4"/>
        <v>-9318898</v>
      </c>
      <c r="H34" s="1">
        <f t="shared" si="4"/>
        <v>9605123.040349409</v>
      </c>
      <c r="I34" s="1">
        <f t="shared" si="4"/>
        <v>-2317351.9169528931</v>
      </c>
      <c r="J34" s="1">
        <f>J23-I23</f>
        <v>5661852.4733755291</v>
      </c>
      <c r="K34" s="1">
        <f>K23-J23</f>
        <v>-6208493.0032643527</v>
      </c>
      <c r="L34" s="1">
        <f t="shared" si="4"/>
        <v>-2913024.826157257</v>
      </c>
      <c r="M34" s="1">
        <f t="shared" si="4"/>
        <v>-3955144.6870169565</v>
      </c>
    </row>
    <row r="35" spans="1:13" hidden="1">
      <c r="A35" s="2"/>
      <c r="B35" s="2" t="s">
        <v>63</v>
      </c>
      <c r="C35" s="355">
        <v>22</v>
      </c>
      <c r="D35" s="2">
        <f t="shared" ref="D35:M35" si="5">C23*D33</f>
        <v>4474129.4892032715</v>
      </c>
      <c r="E35" s="2">
        <f t="shared" si="5"/>
        <v>6996586.7278682757</v>
      </c>
      <c r="F35" s="2">
        <f t="shared" si="5"/>
        <v>6153223.308703335</v>
      </c>
      <c r="G35" s="2">
        <f t="shared" si="5"/>
        <v>26273851.540434696</v>
      </c>
      <c r="H35" s="2">
        <f t="shared" si="5"/>
        <v>9535007.4951038659</v>
      </c>
      <c r="I35" s="2">
        <f t="shared" si="5"/>
        <v>6597037.6470892746</v>
      </c>
      <c r="J35" s="2">
        <f t="shared" si="5"/>
        <v>5738716.5157066053</v>
      </c>
      <c r="K35" s="2">
        <f t="shared" si="5"/>
        <v>6161842.7782454947</v>
      </c>
      <c r="L35" s="2">
        <f t="shared" si="5"/>
        <v>0</v>
      </c>
      <c r="M35" s="2">
        <f t="shared" si="5"/>
        <v>0</v>
      </c>
    </row>
    <row r="36" spans="1:13" hidden="1">
      <c r="A36" s="2"/>
      <c r="B36" s="2" t="s">
        <v>64</v>
      </c>
      <c r="C36" s="355">
        <f t="shared" ref="C36:M36" si="6">C34-C35</f>
        <v>23</v>
      </c>
      <c r="D36" s="2">
        <f>D34-D35</f>
        <v>-1877941.4892032715</v>
      </c>
      <c r="E36" s="2">
        <f t="shared" si="6"/>
        <v>-17798519.727868274</v>
      </c>
      <c r="F36" s="2">
        <f t="shared" si="6"/>
        <v>28699895.691296667</v>
      </c>
      <c r="G36" s="2">
        <f t="shared" si="6"/>
        <v>-35592749.540434696</v>
      </c>
      <c r="H36" s="2">
        <f t="shared" si="6"/>
        <v>70115.545245543122</v>
      </c>
      <c r="I36" s="2">
        <f t="shared" si="6"/>
        <v>-8914389.5640421677</v>
      </c>
      <c r="J36" s="2">
        <f t="shared" si="6"/>
        <v>-76864.042331076227</v>
      </c>
      <c r="K36" s="2">
        <f t="shared" si="6"/>
        <v>-12370335.781509846</v>
      </c>
      <c r="L36" s="2">
        <f t="shared" si="6"/>
        <v>-2913024.826157257</v>
      </c>
      <c r="M36" s="2">
        <f t="shared" si="6"/>
        <v>-3955144.6870169565</v>
      </c>
    </row>
    <row r="37" spans="1:13" hidden="1">
      <c r="B37" s="2" t="s">
        <v>260</v>
      </c>
      <c r="D37" s="39">
        <f t="shared" ref="D37:M37" si="7">D36/D34</f>
        <v>-0.72334572427084309</v>
      </c>
      <c r="E37" s="39">
        <f t="shared" si="7"/>
        <v>1.6477161752316252</v>
      </c>
      <c r="F37" s="39">
        <f t="shared" si="7"/>
        <v>0.82345272144213744</v>
      </c>
      <c r="G37" s="39">
        <f t="shared" si="7"/>
        <v>3.8194161520423009</v>
      </c>
      <c r="H37" s="39">
        <f t="shared" si="7"/>
        <v>7.299807087426181E-3</v>
      </c>
      <c r="I37" s="39">
        <f t="shared" si="7"/>
        <v>3.846800090580881</v>
      </c>
      <c r="J37" s="39">
        <f t="shared" si="7"/>
        <v>-1.3575776248590738E-2</v>
      </c>
      <c r="K37" s="39">
        <f t="shared" si="7"/>
        <v>1.9924860630439092</v>
      </c>
      <c r="L37" s="39">
        <f t="shared" si="7"/>
        <v>1</v>
      </c>
      <c r="M37" s="39">
        <f t="shared" si="7"/>
        <v>1</v>
      </c>
    </row>
    <row r="38" spans="1:13">
      <c r="D38" s="39"/>
      <c r="E38" s="39"/>
      <c r="F38" s="39"/>
      <c r="G38" s="39"/>
      <c r="H38" s="39"/>
      <c r="I38" s="39"/>
      <c r="J38" s="39"/>
      <c r="K38" s="39"/>
    </row>
    <row r="41" spans="1:13">
      <c r="D41" s="46"/>
      <c r="E41" s="46"/>
    </row>
  </sheetData>
  <phoneticPr fontId="0" type="noConversion"/>
  <printOptions horizontalCentered="1" verticalCentered="1"/>
  <pageMargins left="0.51181102362204722" right="0.51181102362204722" top="0.51181102362204722" bottom="0.51181102362204722" header="0.51181102362204722" footer="0.51181102362204722"/>
  <pageSetup scale="95" firstPageNumber="4" orientation="landscape" blackAndWhite="1" horizontalDpi="300" verticalDpi="300"/>
  <headerFooter alignWithMargins="0">
    <oddHeader>&amp;C&amp;A</oddHeader>
    <oddFooter>&amp;CCompañía Modelo - EVA&amp;RPágina &amp;P</oddFooter>
  </headerFooter>
  <legacy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pageSetUpPr fitToPage="1"/>
  </sheetPr>
  <dimension ref="A1:V26"/>
  <sheetViews>
    <sheetView showGridLines="0" zoomScale="70" zoomScaleNormal="70" zoomScalePageLayoutView="70" workbookViewId="0">
      <selection activeCell="O29" sqref="O29"/>
    </sheetView>
  </sheetViews>
  <sheetFormatPr baseColWidth="10" defaultColWidth="8.88671875" defaultRowHeight="15"/>
  <cols>
    <col min="1" max="1" width="3.6640625" customWidth="1"/>
    <col min="2" max="2" width="31.6640625" customWidth="1"/>
    <col min="3" max="9" width="7.33203125" customWidth="1"/>
    <col min="10" max="10" width="7.6640625" bestFit="1" customWidth="1"/>
    <col min="11" max="13" width="7.33203125" customWidth="1"/>
    <col min="15" max="15" width="12.77734375" bestFit="1" customWidth="1"/>
    <col min="16" max="16" width="9.5546875" bestFit="1" customWidth="1"/>
  </cols>
  <sheetData>
    <row r="1" spans="1:22" ht="15.75">
      <c r="A1" s="1" t="str">
        <f>+Balance!A1</f>
        <v>Compañía Modelo - EVA</v>
      </c>
      <c r="B1" s="2"/>
      <c r="C1" s="2"/>
      <c r="D1" s="2"/>
      <c r="E1" s="2"/>
      <c r="F1" s="2"/>
    </row>
    <row r="2" spans="1:22" ht="16.5" thickBot="1">
      <c r="A2" s="1" t="s">
        <v>65</v>
      </c>
      <c r="B2" s="2"/>
      <c r="C2" s="2"/>
      <c r="D2" s="2"/>
      <c r="E2" s="2"/>
      <c r="F2" s="2"/>
    </row>
    <row r="3" spans="1:22" ht="16.5" thickBot="1">
      <c r="O3" s="674" t="s">
        <v>1081</v>
      </c>
      <c r="P3" s="675"/>
      <c r="Q3" s="675"/>
      <c r="R3" s="675"/>
      <c r="S3" s="675"/>
      <c r="T3" s="675"/>
      <c r="U3" s="676"/>
    </row>
    <row r="4" spans="1:22" ht="16.5" thickBot="1">
      <c r="A4" s="2"/>
      <c r="B4" s="2"/>
      <c r="C4" s="3">
        <f>Balance!C5</f>
        <v>2009</v>
      </c>
      <c r="D4" s="3">
        <f>C4+1</f>
        <v>2010</v>
      </c>
      <c r="E4" s="3">
        <f>D4+1</f>
        <v>2011</v>
      </c>
      <c r="F4" s="3">
        <f>E4+1</f>
        <v>2012</v>
      </c>
      <c r="G4" s="3">
        <f>F4+1</f>
        <v>2013</v>
      </c>
      <c r="H4" s="284" t="s">
        <v>342</v>
      </c>
      <c r="I4" s="3" t="s">
        <v>343</v>
      </c>
      <c r="J4" s="3" t="s">
        <v>344</v>
      </c>
      <c r="K4" s="3" t="s">
        <v>345</v>
      </c>
      <c r="L4" s="3" t="s">
        <v>346</v>
      </c>
      <c r="M4" s="3" t="s">
        <v>347</v>
      </c>
      <c r="O4" s="485">
        <v>2013</v>
      </c>
      <c r="P4" s="486" t="s">
        <v>342</v>
      </c>
      <c r="Q4" s="487" t="s">
        <v>343</v>
      </c>
      <c r="R4" s="487" t="s">
        <v>344</v>
      </c>
      <c r="S4" s="487" t="s">
        <v>345</v>
      </c>
      <c r="T4" s="487" t="s">
        <v>346</v>
      </c>
      <c r="U4" s="488" t="s">
        <v>347</v>
      </c>
    </row>
    <row r="5" spans="1:22" ht="15.75">
      <c r="A5" s="1" t="s">
        <v>66</v>
      </c>
      <c r="B5" s="2"/>
      <c r="C5" s="2"/>
      <c r="D5" s="2"/>
      <c r="E5" s="2"/>
      <c r="F5" s="2"/>
      <c r="G5" s="2"/>
      <c r="H5" s="285"/>
      <c r="I5" s="2"/>
      <c r="J5" s="2"/>
      <c r="K5" s="2"/>
      <c r="L5" s="2"/>
      <c r="M5" s="2"/>
      <c r="O5" s="489"/>
      <c r="P5" s="490"/>
      <c r="Q5" s="490"/>
      <c r="R5" s="490"/>
      <c r="S5" s="490"/>
      <c r="T5" s="490"/>
      <c r="U5" s="491"/>
    </row>
    <row r="6" spans="1:22" ht="15.75">
      <c r="A6" s="1"/>
      <c r="B6" s="2" t="s">
        <v>4</v>
      </c>
      <c r="C6" s="6">
        <f>KWOp.!C7/Resultados!C7</f>
        <v>0.13502339935449234</v>
      </c>
      <c r="D6" s="6">
        <f>KWOp.!D7/Resultados!D7</f>
        <v>2.1961504711719277E-2</v>
      </c>
      <c r="E6" s="6">
        <f>KWOp.!E7/Resultados!E7</f>
        <v>5.2450719455538119E-3</v>
      </c>
      <c r="F6" s="6">
        <f>KWOp.!F7/Resultados!F7</f>
        <v>0.16822120865820059</v>
      </c>
      <c r="G6" s="6">
        <f>KWOp.!G7/Resultados!G7</f>
        <v>1.5429923296908898E-2</v>
      </c>
      <c r="H6" s="286">
        <f>KWOp.!H7/Resultados!H7</f>
        <v>1.3577538504134059E-2</v>
      </c>
      <c r="I6" s="6">
        <f>KWOp.!I7/Resultados!I7</f>
        <v>1.2696677830972966E-2</v>
      </c>
      <c r="J6" s="6">
        <f>KWOp.!J7/Resultados!J7</f>
        <v>1.199362444316426E-2</v>
      </c>
      <c r="K6" s="6">
        <f>KWOp.!K7/Resultados!K7</f>
        <v>1.1327080318106891E-2</v>
      </c>
      <c r="L6" s="6">
        <f>KWOp.!L7/Resultados!L7</f>
        <v>1.1714969658414974E-2</v>
      </c>
      <c r="M6" s="6">
        <f>KWOp.!M7/Resultados!M7</f>
        <v>1.2127853356303266E-2</v>
      </c>
      <c r="O6" s="489"/>
      <c r="P6" s="490"/>
      <c r="Q6" s="490"/>
      <c r="R6" s="490"/>
      <c r="S6" s="490"/>
      <c r="T6" s="490"/>
      <c r="U6" s="491"/>
    </row>
    <row r="7" spans="1:22" ht="15.75">
      <c r="A7" s="1"/>
      <c r="B7" s="2" t="s">
        <v>5</v>
      </c>
      <c r="C7" s="6">
        <f>KWOp.!C8/Resultados!C7</f>
        <v>0.16365842163419644</v>
      </c>
      <c r="D7" s="6">
        <f>KWOp.!D8/Resultados!D7</f>
        <v>0.3416807841695032</v>
      </c>
      <c r="E7" s="6">
        <f>KWOp.!E8/Resultados!E7</f>
        <v>0.16635919575172348</v>
      </c>
      <c r="F7" s="6">
        <f>KWOp.!F8/Resultados!F7</f>
        <v>0.18213254380765923</v>
      </c>
      <c r="G7" s="6">
        <f>KWOp.!G8/Resultados!G7</f>
        <v>0.16731091279885266</v>
      </c>
      <c r="H7" s="286">
        <f>KWOp.!H8/Resultados!H7</f>
        <v>0.16666666666666663</v>
      </c>
      <c r="I7" s="6">
        <f>KWOp.!I8/Resultados!I7</f>
        <v>0.15277777777777751</v>
      </c>
      <c r="J7" s="6">
        <f>KWOp.!J8/Resultados!J7</f>
        <v>0.15277777777777785</v>
      </c>
      <c r="K7" s="6">
        <f>KWOp.!K8/Resultados!K7</f>
        <v>0.13888888888888887</v>
      </c>
      <c r="L7" s="6">
        <f>KWOp.!L8/Resultados!L7</f>
        <v>0.13888888888888887</v>
      </c>
      <c r="M7" s="6">
        <f>KWOp.!M8/Resultados!M7</f>
        <v>0.1388888888888889</v>
      </c>
      <c r="O7" s="492">
        <f t="shared" ref="O7:U8" si="0">360*G7</f>
        <v>60.231928607586958</v>
      </c>
      <c r="P7" s="493">
        <f t="shared" si="0"/>
        <v>59.999999999999986</v>
      </c>
      <c r="Q7" s="493">
        <f t="shared" si="0"/>
        <v>54.999999999999908</v>
      </c>
      <c r="R7" s="493">
        <f t="shared" si="0"/>
        <v>55.000000000000021</v>
      </c>
      <c r="S7" s="493">
        <f t="shared" si="0"/>
        <v>49.999999999999993</v>
      </c>
      <c r="T7" s="493">
        <f t="shared" si="0"/>
        <v>49.999999999999993</v>
      </c>
      <c r="U7" s="494">
        <f t="shared" si="0"/>
        <v>50</v>
      </c>
      <c r="V7" s="50"/>
    </row>
    <row r="8" spans="1:22" ht="16.5" thickBot="1">
      <c r="A8" s="1"/>
      <c r="B8" s="2" t="s">
        <v>6</v>
      </c>
      <c r="C8" s="6">
        <f>KWOp.!C9/Resultados!C7</f>
        <v>0.2198945907571935</v>
      </c>
      <c r="D8" s="6">
        <f>KWOp.!D9/Resultados!D7</f>
        <v>0.21944424258366629</v>
      </c>
      <c r="E8" s="6">
        <f>KWOp.!E9/Resultados!E7</f>
        <v>0.2423080810162514</v>
      </c>
      <c r="F8" s="6">
        <f>KWOp.!F9/Resultados!F7</f>
        <v>0.25543271592131267</v>
      </c>
      <c r="G8" s="6">
        <f>KWOp.!G9/Resultados!G7</f>
        <v>0.23048186111017915</v>
      </c>
      <c r="H8" s="286">
        <f>KWOp.!H9/Resultados!H7</f>
        <v>0.23055555555555601</v>
      </c>
      <c r="I8" s="6">
        <f>KWOp.!I9/Resultados!I7</f>
        <v>0.20833333333333331</v>
      </c>
      <c r="J8" s="6">
        <f>KWOp.!J9/Resultados!J7</f>
        <v>0.20833333333333331</v>
      </c>
      <c r="K8" s="6">
        <f>KWOp.!K9/Resultados!K7</f>
        <v>0.18055555555555555</v>
      </c>
      <c r="L8" s="6">
        <f>KWOp.!L9/Resultados!L7</f>
        <v>0.18179123188495491</v>
      </c>
      <c r="M8" s="6">
        <f>KWOp.!M9/Resultados!M7</f>
        <v>0.18055555555555539</v>
      </c>
      <c r="O8" s="495">
        <f t="shared" si="0"/>
        <v>82.973469999664502</v>
      </c>
      <c r="P8" s="496">
        <f t="shared" si="0"/>
        <v>83.000000000000171</v>
      </c>
      <c r="Q8" s="496">
        <f t="shared" si="0"/>
        <v>75</v>
      </c>
      <c r="R8" s="496">
        <f t="shared" si="0"/>
        <v>75</v>
      </c>
      <c r="S8" s="496">
        <f t="shared" si="0"/>
        <v>65</v>
      </c>
      <c r="T8" s="496">
        <f t="shared" si="0"/>
        <v>65.444843478583763</v>
      </c>
      <c r="U8" s="497">
        <f t="shared" si="0"/>
        <v>64.999999999999943</v>
      </c>
      <c r="V8" s="50"/>
    </row>
    <row r="9" spans="1:22" ht="15.75">
      <c r="A9" s="1" t="s">
        <v>67</v>
      </c>
      <c r="B9" s="2"/>
      <c r="C9" s="7">
        <f t="shared" ref="C9:M9" si="1">SUM(C6:C8)</f>
        <v>0.51857641174588232</v>
      </c>
      <c r="D9" s="7">
        <f t="shared" si="1"/>
        <v>0.58308653146488876</v>
      </c>
      <c r="E9" s="7">
        <f t="shared" si="1"/>
        <v>0.41391234871352867</v>
      </c>
      <c r="F9" s="7">
        <f t="shared" si="1"/>
        <v>0.60578646838717254</v>
      </c>
      <c r="G9" s="7">
        <f t="shared" si="1"/>
        <v>0.41322269720594074</v>
      </c>
      <c r="H9" s="287">
        <f t="shared" si="1"/>
        <v>0.41079976072635671</v>
      </c>
      <c r="I9" s="7">
        <f t="shared" si="1"/>
        <v>0.37380778894208377</v>
      </c>
      <c r="J9" s="7">
        <f t="shared" si="1"/>
        <v>0.37310473555427542</v>
      </c>
      <c r="K9" s="7">
        <f t="shared" si="1"/>
        <v>0.33077152476255134</v>
      </c>
      <c r="L9" s="7">
        <f t="shared" si="1"/>
        <v>0.33239509043225879</v>
      </c>
      <c r="M9" s="7">
        <f t="shared" si="1"/>
        <v>0.33157229780074754</v>
      </c>
    </row>
    <row r="10" spans="1:22" ht="15.75">
      <c r="A10" s="1"/>
      <c r="B10" s="2"/>
      <c r="C10" s="6"/>
      <c r="D10" s="6"/>
      <c r="E10" s="6"/>
      <c r="F10" s="6"/>
      <c r="G10" s="6"/>
      <c r="H10" s="286"/>
      <c r="I10" s="6"/>
      <c r="J10" s="6"/>
      <c r="K10" s="6"/>
      <c r="L10" s="6"/>
      <c r="M10" s="6"/>
    </row>
    <row r="11" spans="1:22" ht="15.75">
      <c r="A11" s="1" t="s">
        <v>55</v>
      </c>
      <c r="B11" s="2"/>
      <c r="C11" s="6"/>
      <c r="D11" s="6"/>
      <c r="E11" s="6"/>
      <c r="F11" s="6"/>
      <c r="G11" s="6"/>
      <c r="H11" s="286"/>
      <c r="I11" s="6"/>
      <c r="J11" s="6"/>
      <c r="K11" s="6"/>
      <c r="L11" s="6"/>
      <c r="M11" s="6"/>
    </row>
    <row r="12" spans="1:22" ht="15.75">
      <c r="A12" s="1"/>
      <c r="B12" s="2" t="s">
        <v>17</v>
      </c>
      <c r="C12" s="6">
        <f>KWOp.!C14/Resultados!C7</f>
        <v>2.7283786807563472E-2</v>
      </c>
      <c r="D12" s="6">
        <f>KWOp.!D14/Resultados!D7</f>
        <v>8.9294371133133044E-2</v>
      </c>
      <c r="E12" s="6">
        <f>KWOp.!E14/Resultados!E7</f>
        <v>7.512255870856055E-2</v>
      </c>
      <c r="F12" s="6">
        <f>KWOp.!F14/Resultados!F7</f>
        <v>5.5222193763134642E-2</v>
      </c>
      <c r="G12" s="6">
        <f>KWOp.!G14/Resultados!G7</f>
        <v>6.2966143554259502E-2</v>
      </c>
      <c r="H12" s="286">
        <f>KWOp.!H14/Resultados!H7</f>
        <v>6.1219235450810996E-2</v>
      </c>
      <c r="I12" s="6">
        <f>KWOp.!I14/Resultados!I7</f>
        <v>6.1250037299872412E-2</v>
      </c>
      <c r="J12" s="6">
        <f>KWOp.!J14/Resultados!J7</f>
        <v>6.1336051497906836E-2</v>
      </c>
      <c r="K12" s="6">
        <f>KWOp.!K14/Resultados!K7</f>
        <v>6.1470551745446141E-2</v>
      </c>
      <c r="L12" s="6">
        <f>KWOp.!L14/Resultados!L7</f>
        <v>6.7327390323579372E-2</v>
      </c>
      <c r="M12" s="6">
        <f>KWOp.!M14/Resultados!M7</f>
        <v>7.3742261279107865E-2</v>
      </c>
    </row>
    <row r="13" spans="1:22" ht="16.5" thickBot="1">
      <c r="A13" s="1"/>
      <c r="B13" s="2" t="s">
        <v>18</v>
      </c>
      <c r="C13" s="6">
        <f>KWOp.!C15/Resultados!C7</f>
        <v>4.7030379255039639E-2</v>
      </c>
      <c r="D13" s="6">
        <f>KWOp.!D15/Resultados!D7</f>
        <v>6.8903042529376082E-2</v>
      </c>
      <c r="E13" s="6">
        <f>KWOp.!E15/Resultados!E7</f>
        <v>7.5752944980723727E-2</v>
      </c>
      <c r="F13" s="6">
        <f>KWOp.!F15/Resultados!F7</f>
        <v>6.1904365000788823E-2</v>
      </c>
      <c r="G13" s="6">
        <f>KWOp.!G15/Resultados!G7</f>
        <v>4.8068288220228565E-2</v>
      </c>
      <c r="H13" s="286">
        <f>KWOp.!H15/Resultados!H7</f>
        <v>4.673470039872802E-2</v>
      </c>
      <c r="I13" s="6">
        <f>KWOp.!I15/Resultados!I7</f>
        <v>4.675821449812851E-2</v>
      </c>
      <c r="J13" s="6">
        <f>KWOp.!J15/Resultados!J7</f>
        <v>4.6823877647064846E-2</v>
      </c>
      <c r="K13" s="6">
        <f>KWOp.!K15/Resultados!K7</f>
        <v>4.6926554995548798E-2</v>
      </c>
      <c r="L13" s="6">
        <f>KWOp.!L15/Resultados!L7</f>
        <v>5.1397659448538871E-2</v>
      </c>
      <c r="M13" s="6">
        <f>KWOp.!M15/Resultados!M7</f>
        <v>5.6294765235559187E-2</v>
      </c>
    </row>
    <row r="14" spans="1:22" ht="15.75">
      <c r="A14" s="1"/>
      <c r="B14" s="2" t="s">
        <v>19</v>
      </c>
      <c r="C14" s="6">
        <f>KWOp.!C16/Resultados!C7</f>
        <v>7.386443170817783E-3</v>
      </c>
      <c r="D14" s="6">
        <f>KWOp.!D16/Resultados!D7</f>
        <v>8.0070038520233359E-3</v>
      </c>
      <c r="E14" s="6">
        <f>KWOp.!E16/Resultados!E7</f>
        <v>8.0668210548611521E-3</v>
      </c>
      <c r="F14" s="6">
        <f>KWOp.!F16/Resultados!F7</f>
        <v>8.8870221529592612E-3</v>
      </c>
      <c r="G14" s="6">
        <f>KWOp.!G16/Resultados!G7</f>
        <v>7.3387489309162043E-3</v>
      </c>
      <c r="H14" s="286">
        <f>KWOp.!H16/Resultados!H7</f>
        <v>6.4247941848468897E-3</v>
      </c>
      <c r="I14" s="6">
        <f>KWOp.!I16/Resultados!I7</f>
        <v>6.0135740234867298E-3</v>
      </c>
      <c r="J14" s="6">
        <f>KWOp.!J16/Resultados!J7</f>
        <v>5.6817453221534803E-3</v>
      </c>
      <c r="K14" s="6">
        <f>KWOp.!K16/Resultados!K7</f>
        <v>5.3673165502165021E-3</v>
      </c>
      <c r="L14" s="6">
        <f>KWOp.!L16/Resultados!L7</f>
        <v>5.5480190458430442E-3</v>
      </c>
      <c r="M14" s="6">
        <f>KWOp.!M16/Resultados!M7</f>
        <v>5.7312791599373851E-3</v>
      </c>
      <c r="O14" s="677" t="s">
        <v>1089</v>
      </c>
      <c r="P14" s="678"/>
      <c r="Q14" s="678"/>
      <c r="R14" s="678"/>
      <c r="S14" s="678"/>
      <c r="T14" s="678"/>
      <c r="U14" s="679"/>
    </row>
    <row r="15" spans="1:22" ht="16.5" thickBot="1">
      <c r="A15" s="1"/>
      <c r="B15" s="2" t="s">
        <v>23</v>
      </c>
      <c r="C15" s="6">
        <f>KWOp.!C17/Resultados!C7</f>
        <v>1.4154936685839218E-3</v>
      </c>
      <c r="D15" s="6">
        <f>KWOp.!D17/Resultados!D7</f>
        <v>1.3866824952463591E-3</v>
      </c>
      <c r="E15" s="6">
        <f>KWOp.!E17/Resultados!E7</f>
        <v>1.5488202548549332E-3</v>
      </c>
      <c r="F15" s="6">
        <f>KWOp.!F17/Resultados!F7</f>
        <v>0</v>
      </c>
      <c r="G15" s="6">
        <f>KWOp.!G17/Resultados!G7</f>
        <v>0</v>
      </c>
      <c r="H15" s="286">
        <f>KWOp.!H17/Resultados!H7</f>
        <v>0</v>
      </c>
      <c r="I15" s="6">
        <f>KWOp.!I17/Resultados!I7</f>
        <v>0</v>
      </c>
      <c r="J15" s="6">
        <f>KWOp.!J17/Resultados!J7</f>
        <v>0</v>
      </c>
      <c r="K15" s="6">
        <f>KWOp.!K17/Resultados!K7</f>
        <v>0</v>
      </c>
      <c r="L15" s="6">
        <f>KWOp.!L17/Resultados!L7</f>
        <v>0</v>
      </c>
      <c r="M15" s="6">
        <f>KWOp.!M17/Resultados!M7</f>
        <v>0</v>
      </c>
      <c r="O15" s="519">
        <v>60.231928607586958</v>
      </c>
      <c r="P15" s="520">
        <v>59.999999999999979</v>
      </c>
      <c r="Q15" s="520">
        <v>54.999999999999908</v>
      </c>
      <c r="R15" s="520">
        <v>55.000000000000021</v>
      </c>
      <c r="S15" s="520">
        <v>49.999999999999993</v>
      </c>
      <c r="T15" s="520">
        <v>49.999999999999993</v>
      </c>
      <c r="U15" s="521">
        <v>50</v>
      </c>
    </row>
    <row r="16" spans="1:22" ht="16.5" thickBot="1">
      <c r="A16" s="1"/>
      <c r="B16" s="2" t="s">
        <v>24</v>
      </c>
      <c r="C16" s="6">
        <f>KWOp.!C19/Resultados!C7</f>
        <v>0</v>
      </c>
      <c r="D16" s="6">
        <f>KWOp.!D19/Resultados!D7</f>
        <v>0</v>
      </c>
      <c r="E16" s="6">
        <f>KWOp.!E19/Resultados!E7</f>
        <v>0</v>
      </c>
      <c r="F16" s="6">
        <f>KWOp.!F19/Resultados!F7</f>
        <v>0</v>
      </c>
      <c r="G16" s="6">
        <f>KWOp.!G19/Resultados!G7</f>
        <v>0</v>
      </c>
      <c r="H16" s="286">
        <f>KWOp.!H19/Resultados!H7</f>
        <v>0</v>
      </c>
      <c r="I16" s="6">
        <f>KWOp.!I19/Resultados!I7</f>
        <v>0</v>
      </c>
      <c r="J16" s="6">
        <f>KWOp.!J19/Resultados!J7</f>
        <v>0</v>
      </c>
      <c r="K16" s="6">
        <f>KWOp.!K19/Resultados!K7</f>
        <v>0</v>
      </c>
      <c r="L16" s="6">
        <f>KWOp.!L19/Resultados!L7</f>
        <v>0</v>
      </c>
      <c r="M16" s="6">
        <f>KWOp.!M19/Resultados!M7</f>
        <v>0</v>
      </c>
      <c r="O16" t="s">
        <v>1090</v>
      </c>
    </row>
    <row r="17" spans="1:21" ht="15.75">
      <c r="A17" s="1" t="s">
        <v>56</v>
      </c>
      <c r="B17" s="2"/>
      <c r="C17" s="7">
        <f t="shared" ref="C17:M17" si="2">SUM(C12:C16)</f>
        <v>8.3116102902004815E-2</v>
      </c>
      <c r="D17" s="7">
        <f t="shared" si="2"/>
        <v>0.16759110000977881</v>
      </c>
      <c r="E17" s="7">
        <f t="shared" si="2"/>
        <v>0.16049114499900033</v>
      </c>
      <c r="F17" s="7">
        <f t="shared" si="2"/>
        <v>0.12601358091688272</v>
      </c>
      <c r="G17" s="7">
        <f t="shared" si="2"/>
        <v>0.11837318070540429</v>
      </c>
      <c r="H17" s="287">
        <f t="shared" si="2"/>
        <v>0.11437873003438591</v>
      </c>
      <c r="I17" s="7">
        <f t="shared" si="2"/>
        <v>0.11402182582148765</v>
      </c>
      <c r="J17" s="7">
        <f t="shared" si="2"/>
        <v>0.11384167446712518</v>
      </c>
      <c r="K17" s="7">
        <f t="shared" si="2"/>
        <v>0.11376442329121145</v>
      </c>
      <c r="L17" s="7">
        <f t="shared" si="2"/>
        <v>0.12427306881796128</v>
      </c>
      <c r="M17" s="7">
        <f t="shared" si="2"/>
        <v>0.13576830567460443</v>
      </c>
    </row>
    <row r="18" spans="1:21" ht="15.75">
      <c r="A18" s="1"/>
      <c r="B18" s="1" t="s">
        <v>57</v>
      </c>
      <c r="C18" s="6"/>
      <c r="D18" s="6"/>
      <c r="E18" s="6"/>
      <c r="F18" s="6"/>
      <c r="G18" s="6"/>
      <c r="H18" s="286"/>
      <c r="I18" s="6"/>
      <c r="J18" s="6"/>
      <c r="K18" s="6"/>
      <c r="L18" s="6"/>
      <c r="M18" s="6"/>
    </row>
    <row r="19" spans="1:21" ht="16.5" thickBot="1">
      <c r="A19" s="1"/>
      <c r="B19" s="1"/>
      <c r="C19" s="6"/>
      <c r="D19" s="6"/>
      <c r="E19" s="6"/>
      <c r="F19" s="6"/>
      <c r="G19" s="6"/>
      <c r="H19" s="286"/>
      <c r="I19" s="6"/>
      <c r="J19" s="6"/>
      <c r="K19" s="6"/>
      <c r="L19" s="6"/>
      <c r="M19" s="6"/>
    </row>
    <row r="20" spans="1:21" ht="17.25" thickTop="1" thickBot="1">
      <c r="A20" s="12" t="s">
        <v>58</v>
      </c>
      <c r="B20" s="13"/>
      <c r="C20" s="15">
        <f t="shared" ref="C20:H20" si="3">C9-C17</f>
        <v>0.43546030884387749</v>
      </c>
      <c r="D20" s="15">
        <f t="shared" si="3"/>
        <v>0.41549543145510992</v>
      </c>
      <c r="E20" s="15">
        <f t="shared" si="3"/>
        <v>0.25342120371452836</v>
      </c>
      <c r="F20" s="15">
        <f t="shared" si="3"/>
        <v>0.47977288747028979</v>
      </c>
      <c r="G20" s="15">
        <f t="shared" si="3"/>
        <v>0.29484951650053648</v>
      </c>
      <c r="H20" s="288">
        <f t="shared" si="3"/>
        <v>0.29642103069197079</v>
      </c>
      <c r="I20" s="15">
        <f>I9-I17</f>
        <v>0.2597859631205961</v>
      </c>
      <c r="J20" s="15">
        <f>J9-J17</f>
        <v>0.25926306108715025</v>
      </c>
      <c r="K20" s="15">
        <f>K9-K17</f>
        <v>0.21700710147133989</v>
      </c>
      <c r="L20" s="15">
        <f>L9-L17</f>
        <v>0.20812202161429749</v>
      </c>
      <c r="M20" s="15">
        <f>M9-M17</f>
        <v>0.19580399212614311</v>
      </c>
    </row>
    <row r="21" spans="1:21" ht="16.5" thickBot="1">
      <c r="A21" s="14"/>
      <c r="B21" s="14" t="s">
        <v>57</v>
      </c>
      <c r="C21" s="16"/>
      <c r="D21" s="16"/>
      <c r="E21" s="16"/>
      <c r="F21" s="16"/>
      <c r="G21" s="16"/>
      <c r="H21" s="289"/>
      <c r="I21" s="16"/>
      <c r="J21" s="16"/>
      <c r="K21" s="16"/>
      <c r="L21" s="16"/>
      <c r="M21" s="16"/>
      <c r="O21" s="677" t="s">
        <v>6</v>
      </c>
      <c r="P21" s="678"/>
      <c r="Q21" s="678"/>
      <c r="R21" s="678"/>
      <c r="S21" s="678"/>
      <c r="T21" s="678"/>
      <c r="U21" s="679"/>
    </row>
    <row r="22" spans="1:21" ht="17.25" thickTop="1" thickBot="1">
      <c r="A22" s="1"/>
      <c r="B22" s="2"/>
      <c r="C22" s="6"/>
      <c r="D22" s="6"/>
      <c r="E22" s="6"/>
      <c r="F22" s="6"/>
      <c r="G22" s="6"/>
      <c r="H22" s="286"/>
      <c r="I22" s="6"/>
      <c r="J22" s="6"/>
      <c r="K22" s="6"/>
      <c r="L22" s="6"/>
      <c r="M22" s="6"/>
      <c r="O22" s="522">
        <v>82.973469999664502</v>
      </c>
      <c r="P22" s="520">
        <v>83.000000000000171</v>
      </c>
      <c r="Q22" s="520">
        <v>75</v>
      </c>
      <c r="R22" s="520">
        <v>75</v>
      </c>
      <c r="S22" s="520">
        <v>65</v>
      </c>
      <c r="T22" s="520">
        <v>65.444843478583763</v>
      </c>
      <c r="U22" s="521">
        <v>64.999999999999943</v>
      </c>
    </row>
    <row r="23" spans="1:21" ht="15.75">
      <c r="A23" s="1"/>
      <c r="B23" s="2" t="s">
        <v>20</v>
      </c>
      <c r="C23" s="6">
        <f>KWOp.!C27/Resultados!C7</f>
        <v>1.4586866165000005E-2</v>
      </c>
      <c r="D23" s="6">
        <f>KWOp.!D27/Resultados!D7</f>
        <v>1.4889876548684792E-2</v>
      </c>
      <c r="E23" s="6">
        <f>KWOp.!E27/Resultados!E7</f>
        <v>6.4086655165782727E-2</v>
      </c>
      <c r="F23" s="6">
        <f>KWOp.!F27/Resultados!F7</f>
        <v>4.1189776084049071E-2</v>
      </c>
      <c r="G23" s="6">
        <f>KWOp.!G27/Resultados!G7</f>
        <v>3.9684057096403866E-2</v>
      </c>
      <c r="H23" s="286">
        <f>KWOp.!H27/Resultados!H7</f>
        <v>1.5794123087407432E-2</v>
      </c>
      <c r="I23" s="6">
        <f>KWOp.!I27/Resultados!I7</f>
        <v>2.0738004074573647E-2</v>
      </c>
      <c r="J23" s="6">
        <f>KWOp.!J27/Resultados!J7</f>
        <v>2.46659198592881E-2</v>
      </c>
      <c r="K23" s="6">
        <f>KWOp.!K27/Resultados!K7</f>
        <v>2.6215090203278314E-2</v>
      </c>
      <c r="L23" s="6">
        <f>KWOp.!L27/Resultados!L7</f>
        <v>2.6504443919833615E-2</v>
      </c>
      <c r="M23" s="6">
        <f>KWOp.!M27/Resultados!M7</f>
        <v>2.6579988432504899E-2</v>
      </c>
      <c r="O23" t="s">
        <v>1091</v>
      </c>
    </row>
    <row r="24" spans="1:21" ht="16.5" thickBot="1">
      <c r="A24" s="1"/>
      <c r="B24" s="2"/>
      <c r="C24" s="6"/>
      <c r="D24" s="6"/>
      <c r="E24" s="6"/>
      <c r="F24" s="6"/>
      <c r="G24" s="6"/>
      <c r="H24" s="286"/>
      <c r="I24" s="6"/>
      <c r="J24" s="6"/>
      <c r="K24" s="6"/>
      <c r="L24" s="6"/>
      <c r="M24" s="6"/>
    </row>
    <row r="25" spans="1:21" ht="17.25" thickTop="1" thickBot="1">
      <c r="A25" s="5" t="s">
        <v>58</v>
      </c>
      <c r="B25" s="11"/>
      <c r="C25" s="9">
        <f t="shared" ref="C25:H25" si="4">C20-C23</f>
        <v>0.4208734426788775</v>
      </c>
      <c r="D25" s="9">
        <f t="shared" si="4"/>
        <v>0.40060555490642513</v>
      </c>
      <c r="E25" s="9">
        <f>E20-E23</f>
        <v>0.18933454854874565</v>
      </c>
      <c r="F25" s="9">
        <f t="shared" si="4"/>
        <v>0.43858311138624073</v>
      </c>
      <c r="G25" s="9">
        <f t="shared" si="4"/>
        <v>0.2551654594041326</v>
      </c>
      <c r="H25" s="290">
        <f t="shared" si="4"/>
        <v>0.28062690760456338</v>
      </c>
      <c r="I25" s="9">
        <f>I20-I23</f>
        <v>0.23904795904602244</v>
      </c>
      <c r="J25" s="9">
        <f>J20-J23</f>
        <v>0.23459714122786215</v>
      </c>
      <c r="K25" s="9">
        <f>K20-K23</f>
        <v>0.19079201126806158</v>
      </c>
      <c r="L25" s="9">
        <f>L20-L23</f>
        <v>0.18161757769446388</v>
      </c>
      <c r="M25" s="9">
        <f>M20-M23</f>
        <v>0.16922400369363821</v>
      </c>
    </row>
    <row r="26" spans="1:21" ht="15.75" thickTop="1">
      <c r="A26" s="2"/>
      <c r="B26" s="2"/>
      <c r="C26" s="2"/>
      <c r="D26" s="2"/>
      <c r="E26" s="2"/>
      <c r="F26" s="2"/>
      <c r="G26" s="2"/>
    </row>
  </sheetData>
  <mergeCells count="3">
    <mergeCell ref="O3:U3"/>
    <mergeCell ref="O14:U14"/>
    <mergeCell ref="O21:U21"/>
  </mergeCells>
  <phoneticPr fontId="0" type="noConversion"/>
  <printOptions horizontalCentered="1" verticalCentered="1"/>
  <pageMargins left="0.51181102362204722" right="0.51181102362204722" top="0.51181102362204722" bottom="0.51181102362204722" header="0.51181102362204722" footer="0.51181102362204722"/>
  <pageSetup firstPageNumber="5" orientation="landscape" blackAndWhite="1" horizontalDpi="300" verticalDpi="300"/>
  <headerFooter alignWithMargins="0">
    <oddHeader>&amp;C&amp;A</oddHeader>
    <oddFooter>&amp;CCompañía Modelo - EVA&amp;RPágina &amp;P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pageSetUpPr fitToPage="1"/>
  </sheetPr>
  <dimension ref="A1:N58"/>
  <sheetViews>
    <sheetView showGridLines="0" topLeftCell="A27" zoomScale="70" zoomScaleNormal="70" zoomScalePageLayoutView="70" workbookViewId="0">
      <selection activeCell="A35" sqref="A35:H42"/>
    </sheetView>
  </sheetViews>
  <sheetFormatPr baseColWidth="10" defaultColWidth="31.6640625" defaultRowHeight="15"/>
  <cols>
    <col min="1" max="1" width="31.6640625" style="54" customWidth="1"/>
    <col min="2" max="2" width="13.6640625" style="54" customWidth="1"/>
    <col min="3" max="8" width="13.6640625" style="54" bestFit="1" customWidth="1"/>
    <col min="9" max="10" width="11.5546875" style="54" customWidth="1"/>
    <col min="11" max="11" width="12.109375" style="274" customWidth="1"/>
    <col min="12" max="12" width="11.6640625" style="274" bestFit="1" customWidth="1"/>
    <col min="13" max="14" width="11.5546875" style="274" customWidth="1"/>
    <col min="15" max="255" width="11.5546875" style="54" customWidth="1"/>
    <col min="256" max="16384" width="31.6640625" style="54"/>
  </cols>
  <sheetData>
    <row r="1" spans="1:14" ht="15.75">
      <c r="A1" s="324" t="str">
        <f>+[3]Balance!A1</f>
        <v>Compañía Modelo - EVA</v>
      </c>
    </row>
    <row r="2" spans="1:14" ht="15.75">
      <c r="A2" s="325" t="s">
        <v>1069</v>
      </c>
    </row>
    <row r="3" spans="1:14" ht="15.75">
      <c r="A3" s="325"/>
      <c r="L3" s="353"/>
    </row>
    <row r="4" spans="1:14" ht="16.5" thickBot="1">
      <c r="A4" s="325"/>
      <c r="B4" s="326">
        <f>+Resultados!G5</f>
        <v>2013</v>
      </c>
      <c r="C4" s="326" t="str">
        <f>+Resultados!H5</f>
        <v>2014P</v>
      </c>
      <c r="D4" s="326" t="str">
        <f>+Resultados!I5</f>
        <v>2015P</v>
      </c>
      <c r="E4" s="326" t="str">
        <f>+Resultados!J5</f>
        <v>2016P</v>
      </c>
      <c r="F4" s="326" t="str">
        <f>+Resultados!K5</f>
        <v>2017P</v>
      </c>
      <c r="G4" s="326" t="str">
        <f>+Resultados!L5</f>
        <v>2018P</v>
      </c>
      <c r="H4" s="326" t="str">
        <f>+Resultados!M5</f>
        <v>2019P</v>
      </c>
      <c r="K4" s="354"/>
      <c r="L4" s="193"/>
    </row>
    <row r="5" spans="1:14">
      <c r="K5" s="354"/>
      <c r="L5" s="193"/>
    </row>
    <row r="6" spans="1:14">
      <c r="A6" s="54" t="str">
        <f>+'[4]Conversión tasas'!B34</f>
        <v>riesgo pais</v>
      </c>
      <c r="B6" s="471">
        <f>+B8-B7</f>
        <v>4.3195678738382676E-2</v>
      </c>
      <c r="C6" s="471">
        <f t="shared" ref="C6:H6" si="0">+C8-C7</f>
        <v>4.3195678738382676E-2</v>
      </c>
      <c r="D6" s="471">
        <f t="shared" si="0"/>
        <v>4.3195678738382676E-2</v>
      </c>
      <c r="E6" s="471">
        <f t="shared" si="0"/>
        <v>4.3195678738382676E-2</v>
      </c>
      <c r="F6" s="471">
        <f t="shared" si="0"/>
        <v>4.3195678738382676E-2</v>
      </c>
      <c r="G6" s="471">
        <f t="shared" si="0"/>
        <v>4.3195678738382676E-2</v>
      </c>
      <c r="H6" s="471">
        <f t="shared" si="0"/>
        <v>4.3195678738382676E-2</v>
      </c>
      <c r="K6" s="354"/>
      <c r="L6" s="193"/>
    </row>
    <row r="7" spans="1:14">
      <c r="A7" s="54" t="str">
        <f>+'Conversión tasas'!B34</f>
        <v>tasa libre de riesgo Rf</v>
      </c>
      <c r="B7" s="471">
        <f>+'Retornos año'!D102</f>
        <v>6.97231673210231E-2</v>
      </c>
      <c r="C7" s="471">
        <f t="shared" ref="C7:H11" si="1">+B7</f>
        <v>6.97231673210231E-2</v>
      </c>
      <c r="D7" s="471">
        <f t="shared" si="1"/>
        <v>6.97231673210231E-2</v>
      </c>
      <c r="E7" s="471">
        <f t="shared" si="1"/>
        <v>6.97231673210231E-2</v>
      </c>
      <c r="F7" s="471">
        <f t="shared" si="1"/>
        <v>6.97231673210231E-2</v>
      </c>
      <c r="G7" s="471">
        <f t="shared" si="1"/>
        <v>6.97231673210231E-2</v>
      </c>
      <c r="H7" s="471">
        <f t="shared" si="1"/>
        <v>6.97231673210231E-2</v>
      </c>
      <c r="K7" s="354"/>
      <c r="L7" s="193"/>
    </row>
    <row r="8" spans="1:14">
      <c r="A8" s="54" t="str">
        <f>+'[4]Conversión tasas'!B36</f>
        <v>rendimiento del mercado</v>
      </c>
      <c r="B8" s="471">
        <f>+'Retornos año'!B102</f>
        <v>0.11291884605940578</v>
      </c>
      <c r="C8" s="471">
        <f>+B8</f>
        <v>0.11291884605940578</v>
      </c>
      <c r="D8" s="471">
        <f t="shared" si="1"/>
        <v>0.11291884605940578</v>
      </c>
      <c r="E8" s="471">
        <f t="shared" si="1"/>
        <v>0.11291884605940578</v>
      </c>
      <c r="F8" s="471">
        <f t="shared" si="1"/>
        <v>0.11291884605940578</v>
      </c>
      <c r="G8" s="471">
        <f t="shared" si="1"/>
        <v>0.11291884605940578</v>
      </c>
      <c r="H8" s="471">
        <f t="shared" si="1"/>
        <v>0.11291884605940578</v>
      </c>
      <c r="K8" s="354"/>
      <c r="L8" s="193"/>
    </row>
    <row r="9" spans="1:14">
      <c r="A9" s="54" t="str">
        <f>+'Conversión tasas'!B35</f>
        <v>Beta (unlevered)</v>
      </c>
      <c r="B9" s="472">
        <f>+'Conversión tasas'!C35</f>
        <v>1.1200000000000001</v>
      </c>
      <c r="C9" s="472">
        <f t="shared" si="1"/>
        <v>1.1200000000000001</v>
      </c>
      <c r="D9" s="472">
        <f t="shared" si="1"/>
        <v>1.1200000000000001</v>
      </c>
      <c r="E9" s="472">
        <f t="shared" si="1"/>
        <v>1.1200000000000001</v>
      </c>
      <c r="F9" s="472">
        <f t="shared" si="1"/>
        <v>1.1200000000000001</v>
      </c>
      <c r="G9" s="472">
        <f t="shared" si="1"/>
        <v>1.1200000000000001</v>
      </c>
      <c r="H9" s="472">
        <f t="shared" si="1"/>
        <v>1.1200000000000001</v>
      </c>
      <c r="K9" s="354"/>
      <c r="L9" s="193"/>
    </row>
    <row r="10" spans="1:14">
      <c r="A10" s="54" t="str">
        <f>+'Conversión tasas'!B36</f>
        <v>impuesto de renta</v>
      </c>
      <c r="B10" s="471">
        <f>+'Conversión tasas'!C36</f>
        <v>0.25</v>
      </c>
      <c r="C10" s="471">
        <f t="shared" si="1"/>
        <v>0.25</v>
      </c>
      <c r="D10" s="471">
        <f t="shared" si="1"/>
        <v>0.25</v>
      </c>
      <c r="E10" s="471">
        <f t="shared" si="1"/>
        <v>0.25</v>
      </c>
      <c r="F10" s="471">
        <f t="shared" si="1"/>
        <v>0.25</v>
      </c>
      <c r="G10" s="471">
        <f t="shared" si="1"/>
        <v>0.25</v>
      </c>
      <c r="H10" s="471">
        <f t="shared" si="1"/>
        <v>0.25</v>
      </c>
      <c r="K10" s="354"/>
      <c r="L10" s="193"/>
    </row>
    <row r="11" spans="1:14">
      <c r="A11" s="54" t="s">
        <v>1078</v>
      </c>
      <c r="B11" s="471">
        <f>+'Conversión tasas'!C37</f>
        <v>0.09</v>
      </c>
      <c r="C11" s="471">
        <f t="shared" si="1"/>
        <v>0.09</v>
      </c>
      <c r="D11" s="471">
        <f t="shared" si="1"/>
        <v>0.09</v>
      </c>
      <c r="E11" s="471">
        <v>0.08</v>
      </c>
      <c r="F11" s="471">
        <v>0.08</v>
      </c>
      <c r="G11" s="471">
        <v>0.08</v>
      </c>
      <c r="H11" s="471">
        <f t="shared" si="1"/>
        <v>0.08</v>
      </c>
      <c r="K11" s="354"/>
      <c r="L11" s="193"/>
    </row>
    <row r="12" spans="1:14">
      <c r="A12" s="54" t="s">
        <v>1079</v>
      </c>
      <c r="B12" s="471">
        <f>SUM(B10:B11)</f>
        <v>0.33999999999999997</v>
      </c>
      <c r="C12" s="471">
        <f t="shared" ref="C12:H12" si="2">SUM(C10:C11)</f>
        <v>0.33999999999999997</v>
      </c>
      <c r="D12" s="471">
        <f t="shared" si="2"/>
        <v>0.33999999999999997</v>
      </c>
      <c r="E12" s="471">
        <f t="shared" si="2"/>
        <v>0.33</v>
      </c>
      <c r="F12" s="471">
        <f t="shared" si="2"/>
        <v>0.33</v>
      </c>
      <c r="G12" s="471">
        <f t="shared" si="2"/>
        <v>0.33</v>
      </c>
      <c r="H12" s="471">
        <f t="shared" si="2"/>
        <v>0.33</v>
      </c>
      <c r="K12" s="354"/>
      <c r="L12" s="193"/>
    </row>
    <row r="13" spans="1:14">
      <c r="A13" s="54" t="str">
        <f>+'Conversión tasas'!B41</f>
        <v>Relación D/P</v>
      </c>
      <c r="B13" s="472">
        <f>+B18/B19</f>
        <v>0.25280940022065457</v>
      </c>
      <c r="C13" s="472">
        <f t="shared" ref="C13:H13" si="3">+C18/C19</f>
        <v>0.19191275670891444</v>
      </c>
      <c r="D13" s="472">
        <f t="shared" si="3"/>
        <v>0.14177937942269317</v>
      </c>
      <c r="E13" s="472">
        <f t="shared" si="3"/>
        <v>0.13443738434860422</v>
      </c>
      <c r="F13" s="472">
        <f t="shared" si="3"/>
        <v>4.6611795797936055E-2</v>
      </c>
      <c r="G13" s="472">
        <f t="shared" si="3"/>
        <v>2.6078458987161993E-2</v>
      </c>
      <c r="H13" s="472">
        <f t="shared" si="3"/>
        <v>1.1171623929220456E-17</v>
      </c>
      <c r="K13" s="354"/>
      <c r="L13" s="193"/>
    </row>
    <row r="14" spans="1:14" s="271" customFormat="1">
      <c r="A14" s="271" t="str">
        <f>+'Conversión tasas'!B42</f>
        <v>Beta apalancado</v>
      </c>
      <c r="B14" s="481">
        <f>(B9*(1+(B13)*(1-B12)))</f>
        <v>1.3068767086431079</v>
      </c>
      <c r="C14" s="481">
        <f t="shared" ref="C14:H14" si="4">(C9*(1+(C13)*(1-C12)))</f>
        <v>1.2618619097592298</v>
      </c>
      <c r="D14" s="481">
        <f t="shared" si="4"/>
        <v>1.2248033172692547</v>
      </c>
      <c r="E14" s="481">
        <f t="shared" si="4"/>
        <v>1.2208818132151928</v>
      </c>
      <c r="F14" s="481">
        <f t="shared" si="4"/>
        <v>1.1549774915667712</v>
      </c>
      <c r="G14" s="481">
        <f t="shared" si="4"/>
        <v>1.1395692756239664</v>
      </c>
      <c r="H14" s="481">
        <f t="shared" si="4"/>
        <v>1.1200000000000001</v>
      </c>
      <c r="K14" s="354"/>
      <c r="L14" s="193"/>
      <c r="M14" s="274"/>
      <c r="N14" s="274"/>
    </row>
    <row r="15" spans="1:14">
      <c r="K15" s="354"/>
      <c r="L15" s="193"/>
    </row>
    <row r="16" spans="1:14">
      <c r="A16" s="264" t="s">
        <v>216</v>
      </c>
      <c r="B16" s="473">
        <f>+Balance!G31+Balance!G44</f>
        <v>12585696</v>
      </c>
      <c r="C16" s="473">
        <f>+Balance!H31+Balance!H44</f>
        <v>9853275.4264034852</v>
      </c>
      <c r="D16" s="473">
        <f>+Balance!I31+Balance!I44</f>
        <v>6757708.1148544922</v>
      </c>
      <c r="E16" s="473">
        <f>+Balance!J31+Balance!J44</f>
        <v>6311680.8739422392</v>
      </c>
      <c r="F16" s="473">
        <f>+Balance!K31+Balance!K44</f>
        <v>1944109.7847648321</v>
      </c>
      <c r="G16" s="473">
        <f>+Balance!L31+Balance!L44</f>
        <v>1000294.3968761856</v>
      </c>
      <c r="H16" s="473">
        <f>+Balance!M31+Balance!M44</f>
        <v>4.5634806156158446E-10</v>
      </c>
    </row>
    <row r="17" spans="1:14">
      <c r="A17" s="264" t="s">
        <v>217</v>
      </c>
      <c r="B17" s="473">
        <f>+Balance!G32+Balance!G45</f>
        <v>39554169</v>
      </c>
      <c r="C17" s="473">
        <f>+Balance!H32+Balance!H45</f>
        <v>30364175.29361074</v>
      </c>
      <c r="D17" s="473">
        <f>+Balance!I32+Balance!I45</f>
        <v>20824773.986592416</v>
      </c>
      <c r="E17" s="473">
        <f>+Balance!J32+Balance!J45</f>
        <v>19450281.876842413</v>
      </c>
      <c r="F17" s="473">
        <f>+Balance!K32+Balance!K45</f>
        <v>5991032.1938671367</v>
      </c>
      <c r="G17" s="473">
        <f>+Balance!L32+Balance!L45</f>
        <v>3082539.8760878374</v>
      </c>
      <c r="H17" s="473">
        <f>+Balance!M32+Balance!M45</f>
        <v>1.4062970876693726E-9</v>
      </c>
    </row>
    <row r="18" spans="1:14" s="277" customFormat="1" ht="15.75">
      <c r="A18" s="277" t="s">
        <v>1076</v>
      </c>
      <c r="B18" s="476">
        <f>SUM(B16:B17)</f>
        <v>52139865</v>
      </c>
      <c r="C18" s="476">
        <f t="shared" ref="C18:H18" si="5">SUM(C16:C17)</f>
        <v>40217450.720014229</v>
      </c>
      <c r="D18" s="476">
        <f t="shared" si="5"/>
        <v>27582482.101446908</v>
      </c>
      <c r="E18" s="476">
        <f t="shared" si="5"/>
        <v>25761962.75078465</v>
      </c>
      <c r="F18" s="476">
        <f t="shared" si="5"/>
        <v>7935141.9786319686</v>
      </c>
      <c r="G18" s="476">
        <f t="shared" si="5"/>
        <v>4082834.2729640231</v>
      </c>
      <c r="H18" s="476">
        <f t="shared" si="5"/>
        <v>1.862645149230957E-9</v>
      </c>
      <c r="K18" s="477"/>
      <c r="L18" s="477"/>
      <c r="M18" s="477"/>
      <c r="N18" s="477"/>
    </row>
    <row r="19" spans="1:14">
      <c r="A19" s="264" t="s">
        <v>157</v>
      </c>
      <c r="B19" s="473">
        <f>+Balance!G57-Balance!G23</f>
        <v>206241797</v>
      </c>
      <c r="C19" s="473">
        <f>+Balance!H57-Balance!H23</f>
        <v>209561112.0891481</v>
      </c>
      <c r="D19" s="473">
        <f>+Balance!I57-Balance!I23</f>
        <v>194545089.79908869</v>
      </c>
      <c r="E19" s="473">
        <f>+Balance!J57-Balance!J23</f>
        <v>191627967.73836607</v>
      </c>
      <c r="F19" s="473">
        <f>+Balance!K57-Balance!K23</f>
        <v>170238924.34934533</v>
      </c>
      <c r="G19" s="473">
        <f>+Balance!L57-Balance!L23</f>
        <v>156559644.68506122</v>
      </c>
      <c r="H19" s="473">
        <f>+Balance!M57-Balance!M23</f>
        <v>166730026.09397095</v>
      </c>
    </row>
    <row r="20" spans="1:14" s="277" customFormat="1" ht="15.75">
      <c r="A20" s="277" t="s">
        <v>1070</v>
      </c>
      <c r="B20" s="476">
        <f>SUM(B18:B19)</f>
        <v>258381662</v>
      </c>
      <c r="C20" s="476">
        <f t="shared" ref="C20:H20" si="6">SUM(C18:C19)</f>
        <v>249778562.80916232</v>
      </c>
      <c r="D20" s="476">
        <f t="shared" si="6"/>
        <v>222127571.90053558</v>
      </c>
      <c r="E20" s="476">
        <f t="shared" si="6"/>
        <v>217389930.4891507</v>
      </c>
      <c r="F20" s="476">
        <f t="shared" si="6"/>
        <v>178174066.3279773</v>
      </c>
      <c r="G20" s="476">
        <f t="shared" si="6"/>
        <v>160642478.95802525</v>
      </c>
      <c r="H20" s="476">
        <f t="shared" si="6"/>
        <v>166730026.09397095</v>
      </c>
      <c r="K20" s="477"/>
      <c r="L20" s="477"/>
      <c r="M20" s="477"/>
      <c r="N20" s="477"/>
    </row>
    <row r="21" spans="1:14">
      <c r="B21" s="474"/>
      <c r="C21" s="474"/>
      <c r="D21" s="474"/>
      <c r="E21" s="474"/>
      <c r="F21" s="474"/>
      <c r="G21" s="474"/>
      <c r="H21" s="474"/>
    </row>
    <row r="22" spans="1:14">
      <c r="A22" s="330" t="s">
        <v>1071</v>
      </c>
      <c r="B22" s="34"/>
      <c r="C22" s="34"/>
      <c r="D22" s="34"/>
      <c r="E22" s="34"/>
      <c r="F22" s="34"/>
      <c r="G22" s="34"/>
      <c r="H22" s="34"/>
    </row>
    <row r="23" spans="1:14">
      <c r="A23" s="54" t="str">
        <f>+'Conversión tasas'!B24</f>
        <v>Coporacion financiera del exterior</v>
      </c>
      <c r="B23" s="474">
        <f>+'Conversión tasas'!F24</f>
        <v>43353675</v>
      </c>
      <c r="C23" s="475">
        <f>+C18*'Conversión tasas'!$G$24</f>
        <v>33440329.924981833</v>
      </c>
      <c r="D23" s="475">
        <f>+D18*'Conversión tasas'!$G$24</f>
        <v>22934504.428031147</v>
      </c>
      <c r="E23" s="475">
        <f>+E18*'Conversión tasas'!$G$24</f>
        <v>21420764.331852868</v>
      </c>
      <c r="F23" s="475">
        <f>+F18*'Conversión tasas'!$G$24</f>
        <v>6597975.7795780124</v>
      </c>
      <c r="G23" s="475">
        <f>+G18*'Conversión tasas'!$G$24</f>
        <v>3394827.9334621127</v>
      </c>
      <c r="H23" s="475">
        <f>+H18*'Conversión tasas'!$G$24</f>
        <v>1.5487671945465415E-9</v>
      </c>
    </row>
    <row r="24" spans="1:14">
      <c r="A24" s="54" t="str">
        <f>+'Conversión tasas'!B25</f>
        <v>Bancos en el exterior</v>
      </c>
      <c r="B24" s="474">
        <f>+'Conversión tasas'!F25</f>
        <v>8613670</v>
      </c>
      <c r="C24" s="475">
        <f>+C18*'Conversión tasas'!$G$25</f>
        <v>6644049.5912957378</v>
      </c>
      <c r="D24" s="475">
        <f>+D18*'Conversión tasas'!$G$25</f>
        <v>4556712.960472187</v>
      </c>
      <c r="E24" s="475">
        <f>+E18*'Conversión tasas'!$G$25</f>
        <v>4255957.426962099</v>
      </c>
      <c r="F24" s="475">
        <f>+F18*'Conversión tasas'!$G$25</f>
        <v>1310910.4599155143</v>
      </c>
      <c r="G24" s="475">
        <f>+G18*'Conversión tasas'!$G$25</f>
        <v>674497.08763154678</v>
      </c>
      <c r="H24" s="475">
        <f>+H18*'Conversión tasas'!$G$25</f>
        <v>3.0771484817953053E-10</v>
      </c>
    </row>
    <row r="25" spans="1:14">
      <c r="A25" s="54" t="str">
        <f>+'Conversión tasas'!B26</f>
        <v>Compañías de leasing</v>
      </c>
      <c r="B25" s="474">
        <f>+'Conversión tasas'!F26</f>
        <v>0</v>
      </c>
      <c r="C25" s="475">
        <f>+C18*'Conversión tasas'!$G$26</f>
        <v>0</v>
      </c>
      <c r="D25" s="475">
        <f>+D18*'Conversión tasas'!$G$26</f>
        <v>0</v>
      </c>
      <c r="E25" s="475">
        <f>+E18*'Conversión tasas'!$G$26</f>
        <v>0</v>
      </c>
      <c r="F25" s="475">
        <f>+F18*'Conversión tasas'!$G$26</f>
        <v>0</v>
      </c>
      <c r="G25" s="475">
        <f>+G18*'Conversión tasas'!$G$26</f>
        <v>0</v>
      </c>
      <c r="H25" s="475">
        <f>+H18*'Conversión tasas'!$G$26</f>
        <v>0</v>
      </c>
    </row>
    <row r="26" spans="1:14">
      <c r="A26" s="54" t="str">
        <f>+'Conversión tasas'!B27</f>
        <v>compañías de financiamiento</v>
      </c>
      <c r="B26" s="474">
        <f>+'Conversión tasas'!F27</f>
        <v>172520</v>
      </c>
      <c r="C26" s="475">
        <f>+C18*'Conversión tasas'!$G$27</f>
        <v>133071.20373665821</v>
      </c>
      <c r="D26" s="475">
        <f>+D18*'Conversión tasas'!$G$27</f>
        <v>91264.712943572464</v>
      </c>
      <c r="E26" s="475">
        <f>+E18*'Conversión tasas'!$G$27</f>
        <v>85240.991969683237</v>
      </c>
      <c r="F26" s="475">
        <f>+F18*'Conversión tasas'!$G$27</f>
        <v>26255.739138442095</v>
      </c>
      <c r="G26" s="475">
        <f>+G18*'Conversión tasas'!$G$27</f>
        <v>13509.251870363554</v>
      </c>
      <c r="H26" s="475">
        <f>+H18*'Conversión tasas'!$G$27</f>
        <v>6.1631065048849801E-12</v>
      </c>
    </row>
    <row r="27" spans="1:14" s="277" customFormat="1" ht="15.75">
      <c r="A27" s="277" t="s">
        <v>1076</v>
      </c>
      <c r="B27" s="480">
        <f t="shared" ref="B27:H27" si="7">SUM(B23:B26)</f>
        <v>52139865</v>
      </c>
      <c r="C27" s="480">
        <f t="shared" si="7"/>
        <v>40217450.720014222</v>
      </c>
      <c r="D27" s="480">
        <f t="shared" si="7"/>
        <v>27582482.101446908</v>
      </c>
      <c r="E27" s="480">
        <f t="shared" si="7"/>
        <v>25761962.75078465</v>
      </c>
      <c r="F27" s="480">
        <f t="shared" si="7"/>
        <v>7935141.9786319686</v>
      </c>
      <c r="G27" s="480">
        <f t="shared" si="7"/>
        <v>4082834.2729640231</v>
      </c>
      <c r="H27" s="480">
        <f t="shared" si="7"/>
        <v>1.8626451492309568E-9</v>
      </c>
      <c r="K27" s="477"/>
      <c r="L27" s="477"/>
      <c r="M27" s="477"/>
      <c r="N27" s="477"/>
    </row>
    <row r="28" spans="1:14">
      <c r="A28" s="327"/>
      <c r="B28" s="34"/>
      <c r="C28" s="34"/>
      <c r="D28" s="34"/>
      <c r="E28" s="34"/>
      <c r="F28" s="34"/>
      <c r="G28" s="34"/>
      <c r="H28" s="34"/>
    </row>
    <row r="29" spans="1:14">
      <c r="A29" s="330" t="s">
        <v>1077</v>
      </c>
      <c r="B29" s="34"/>
      <c r="C29" s="34"/>
      <c r="D29" s="34"/>
      <c r="E29" s="34"/>
      <c r="F29" s="34"/>
      <c r="G29" s="34"/>
      <c r="H29" s="34"/>
    </row>
    <row r="30" spans="1:14">
      <c r="A30" s="54" t="str">
        <f>+'Conversión tasas'!B24</f>
        <v>Coporacion financiera del exterior</v>
      </c>
      <c r="B30" s="34">
        <f>+'Conversión tasas'!$E$24</f>
        <v>5.9049609352427535E-2</v>
      </c>
      <c r="C30" s="34">
        <f>+'Conversión tasas'!$E$24</f>
        <v>5.9049609352427535E-2</v>
      </c>
      <c r="D30" s="34">
        <f>+'Conversión tasas'!$E$24</f>
        <v>5.9049609352427535E-2</v>
      </c>
      <c r="E30" s="34">
        <f>+'Conversión tasas'!$E$24</f>
        <v>5.9049609352427535E-2</v>
      </c>
      <c r="F30" s="34">
        <f>+'Conversión tasas'!$E$24</f>
        <v>5.9049609352427535E-2</v>
      </c>
      <c r="G30" s="34">
        <f>+'Conversión tasas'!$E$24</f>
        <v>5.9049609352427535E-2</v>
      </c>
      <c r="H30" s="34">
        <f>+'Conversión tasas'!$E$24</f>
        <v>5.9049609352427535E-2</v>
      </c>
    </row>
    <row r="31" spans="1:14">
      <c r="A31" s="54" t="str">
        <f>+'Conversión tasas'!B25</f>
        <v>Bancos en el exterior</v>
      </c>
      <c r="B31" s="34">
        <f>+'Conversión tasas'!$E$25</f>
        <v>4.5900000000000003E-2</v>
      </c>
      <c r="C31" s="34">
        <f>+'Conversión tasas'!$E$25</f>
        <v>4.5900000000000003E-2</v>
      </c>
      <c r="D31" s="34">
        <f>+'Conversión tasas'!$E$25</f>
        <v>4.5900000000000003E-2</v>
      </c>
      <c r="E31" s="34">
        <f>+'Conversión tasas'!$E$25</f>
        <v>4.5900000000000003E-2</v>
      </c>
      <c r="F31" s="34">
        <f>+'Conversión tasas'!$E$25</f>
        <v>4.5900000000000003E-2</v>
      </c>
      <c r="G31" s="34">
        <f>+'Conversión tasas'!$E$25</f>
        <v>4.5900000000000003E-2</v>
      </c>
      <c r="H31" s="34">
        <f>+'Conversión tasas'!$E$25</f>
        <v>4.5900000000000003E-2</v>
      </c>
    </row>
    <row r="32" spans="1:14">
      <c r="A32" s="54" t="str">
        <f>+'Conversión tasas'!B26</f>
        <v>Compañías de leasing</v>
      </c>
      <c r="B32" s="34">
        <f>+'Conversión tasas'!$E$26</f>
        <v>9.0394347875812242E-2</v>
      </c>
      <c r="C32" s="34">
        <f>+'Conversión tasas'!$E$26</f>
        <v>9.0394347875812242E-2</v>
      </c>
      <c r="D32" s="34">
        <f>+'Conversión tasas'!$E$26</f>
        <v>9.0394347875812242E-2</v>
      </c>
      <c r="E32" s="34">
        <f>+'Conversión tasas'!$E$26</f>
        <v>9.0394347875812242E-2</v>
      </c>
      <c r="F32" s="34">
        <f>+'Conversión tasas'!$E$26</f>
        <v>9.0394347875812242E-2</v>
      </c>
      <c r="G32" s="34">
        <f>+'Conversión tasas'!$E$26</f>
        <v>9.0394347875812242E-2</v>
      </c>
      <c r="H32" s="34">
        <f>+'Conversión tasas'!$E$26</f>
        <v>9.0394347875812242E-2</v>
      </c>
    </row>
    <row r="33" spans="1:8">
      <c r="A33" s="54" t="str">
        <f>+'Conversión tasas'!B27</f>
        <v>compañías de financiamiento</v>
      </c>
      <c r="B33" s="34">
        <f>+'Conversión tasas'!$E$27*(1-B12)</f>
        <v>5.4555214521989061E-2</v>
      </c>
      <c r="C33" s="34">
        <f>+'Conversión tasas'!$E$27*(1-C12)</f>
        <v>5.4555214521989061E-2</v>
      </c>
      <c r="D33" s="34">
        <f>+'Conversión tasas'!$E$27*(1-D12)</f>
        <v>5.4555214521989061E-2</v>
      </c>
      <c r="E33" s="34">
        <f>+'Conversión tasas'!$E$27*(1-E12)</f>
        <v>5.5381808681413132E-2</v>
      </c>
      <c r="F33" s="34">
        <f>+'Conversión tasas'!$E$27*(1-F12)</f>
        <v>5.5381808681413132E-2</v>
      </c>
      <c r="G33" s="34">
        <f>+'Conversión tasas'!$E$27*(1-G12)</f>
        <v>5.5381808681413132E-2</v>
      </c>
      <c r="H33" s="34">
        <f>+'Conversión tasas'!$E$27*(1-H12)</f>
        <v>5.5381808681413132E-2</v>
      </c>
    </row>
    <row r="34" spans="1:8">
      <c r="A34" s="327"/>
      <c r="B34" s="34"/>
      <c r="C34" s="34"/>
      <c r="D34" s="34"/>
      <c r="E34" s="34"/>
      <c r="F34" s="34"/>
      <c r="G34" s="34"/>
      <c r="H34" s="34"/>
    </row>
    <row r="35" spans="1:8">
      <c r="A35" s="330" t="s">
        <v>1110</v>
      </c>
      <c r="B35" s="260"/>
      <c r="C35" s="260"/>
      <c r="D35" s="260"/>
      <c r="E35" s="260"/>
      <c r="F35" s="260"/>
      <c r="G35" s="260"/>
      <c r="H35" s="260"/>
    </row>
    <row r="36" spans="1:8">
      <c r="A36" s="54" t="s">
        <v>1072</v>
      </c>
      <c r="B36" s="34">
        <f t="shared" ref="B36:H36" si="8">+B18/B20</f>
        <v>0.20179398412570007</v>
      </c>
      <c r="C36" s="34">
        <f t="shared" si="8"/>
        <v>0.16101241943145245</v>
      </c>
      <c r="D36" s="34">
        <f t="shared" si="8"/>
        <v>0.12417405847211893</v>
      </c>
      <c r="E36" s="34">
        <f t="shared" si="8"/>
        <v>0.11850577758048621</v>
      </c>
      <c r="F36" s="34">
        <f t="shared" si="8"/>
        <v>4.4535897631842812E-2</v>
      </c>
      <c r="G36" s="34">
        <f t="shared" si="8"/>
        <v>2.5415657797654125E-2</v>
      </c>
      <c r="H36" s="34">
        <f t="shared" si="8"/>
        <v>1.1171623929220456E-17</v>
      </c>
    </row>
    <row r="37" spans="1:8">
      <c r="A37" s="54" t="s">
        <v>1073</v>
      </c>
      <c r="B37" s="34">
        <f t="shared" ref="B37:G37" si="9">B19/B20</f>
        <v>0.79820601587429996</v>
      </c>
      <c r="C37" s="34">
        <f t="shared" si="9"/>
        <v>0.83898758056854761</v>
      </c>
      <c r="D37" s="34">
        <f t="shared" si="9"/>
        <v>0.87582594152788107</v>
      </c>
      <c r="E37" s="34">
        <f t="shared" si="9"/>
        <v>0.88149422241951381</v>
      </c>
      <c r="F37" s="34">
        <f t="shared" si="9"/>
        <v>0.95546410236815715</v>
      </c>
      <c r="G37" s="34">
        <f t="shared" si="9"/>
        <v>0.9745843422023458</v>
      </c>
      <c r="H37" s="34">
        <f>H19/H20</f>
        <v>1</v>
      </c>
    </row>
    <row r="38" spans="1:8">
      <c r="A38" s="330"/>
      <c r="B38" s="34"/>
      <c r="C38" s="34"/>
      <c r="D38" s="34"/>
      <c r="E38" s="34"/>
      <c r="F38" s="34"/>
      <c r="G38" s="34"/>
      <c r="H38" s="34"/>
    </row>
    <row r="39" spans="1:8">
      <c r="A39" s="478" t="s">
        <v>1075</v>
      </c>
      <c r="B39" s="34">
        <f>+SUMPRODUCT(B30:B33,'Conversión tasas'!$G$24:$G$27)</f>
        <v>5.6862381430244156E-2</v>
      </c>
      <c r="C39" s="34">
        <f>+SUMPRODUCT(C30:C33,'Conversión tasas'!$G$24:$G$27)</f>
        <v>5.6862381430244156E-2</v>
      </c>
      <c r="D39" s="34">
        <f>+SUMPRODUCT(D30:D33,'Conversión tasas'!$G$24:$G$27)</f>
        <v>5.6862381430244156E-2</v>
      </c>
      <c r="E39" s="34">
        <f>+SUMPRODUCT(E30:E33,'Conversión tasas'!$G$24:$G$27)</f>
        <v>5.686511645889035E-2</v>
      </c>
      <c r="F39" s="34">
        <f>+SUMPRODUCT(F30:F33,'Conversión tasas'!$G$24:$G$27)</f>
        <v>5.686511645889035E-2</v>
      </c>
      <c r="G39" s="34">
        <f>+SUMPRODUCT(G30:G33,'Conversión tasas'!$G$24:$G$27)</f>
        <v>5.686511645889035E-2</v>
      </c>
      <c r="H39" s="34">
        <f>+SUMPRODUCT(H30:H33,'Conversión tasas'!$G$24:$G$27)</f>
        <v>5.686511645889035E-2</v>
      </c>
    </row>
    <row r="40" spans="1:8">
      <c r="A40" s="478" t="s">
        <v>1074</v>
      </c>
      <c r="B40" s="34">
        <f t="shared" ref="B40:H40" si="10">B7+(B8-B7)*B14</f>
        <v>0.12617459377824572</v>
      </c>
      <c r="C40" s="34">
        <f t="shared" si="10"/>
        <v>0.12423014898718482</v>
      </c>
      <c r="D40" s="34">
        <f t="shared" si="10"/>
        <v>0.12262937793149122</v>
      </c>
      <c r="E40" s="34">
        <f t="shared" si="10"/>
        <v>0.1224599859022007</v>
      </c>
      <c r="F40" s="34">
        <f t="shared" si="10"/>
        <v>0.11961320399680443</v>
      </c>
      <c r="G40" s="34">
        <f t="shared" si="10"/>
        <v>0.11894763565100741</v>
      </c>
      <c r="H40" s="34">
        <f t="shared" si="10"/>
        <v>0.1181023275080117</v>
      </c>
    </row>
    <row r="41" spans="1:8" ht="15.75" thickBot="1">
      <c r="A41" s="327"/>
      <c r="B41" s="34"/>
      <c r="C41" s="34"/>
      <c r="D41" s="34"/>
      <c r="E41" s="34"/>
      <c r="F41" s="34"/>
      <c r="G41" s="34"/>
      <c r="H41" s="34"/>
    </row>
    <row r="42" spans="1:8" ht="16.5" thickTop="1" thickBot="1">
      <c r="A42" s="717" t="s">
        <v>168</v>
      </c>
      <c r="B42" s="718">
        <f>+(B36*B39)+(B37*B40)*(1+$B$52)</f>
        <v>0.11218780629997595</v>
      </c>
      <c r="C42" s="718">
        <f t="shared" ref="C42:H42" si="11">+(C36*C39)+(C37*C40)*(1+$B$52)</f>
        <v>0.1133831017411461</v>
      </c>
      <c r="D42" s="718">
        <f t="shared" si="11"/>
        <v>0.11446282306240972</v>
      </c>
      <c r="E42" s="718">
        <f t="shared" si="11"/>
        <v>0.11468661489353074</v>
      </c>
      <c r="F42" s="718">
        <f t="shared" si="11"/>
        <v>0.11681866159362198</v>
      </c>
      <c r="G42" s="718">
        <f t="shared" si="11"/>
        <v>0.11736976758800426</v>
      </c>
      <c r="H42" s="718">
        <f t="shared" si="11"/>
        <v>0.1181023275080117</v>
      </c>
    </row>
    <row r="43" spans="1:8" ht="15.75" thickTop="1">
      <c r="B43" s="470"/>
      <c r="C43" s="470"/>
      <c r="D43" s="470"/>
      <c r="E43" s="470"/>
      <c r="F43" s="470"/>
      <c r="G43" s="470"/>
      <c r="H43" s="470"/>
    </row>
    <row r="44" spans="1:8">
      <c r="A44" s="330" t="s">
        <v>1007</v>
      </c>
    </row>
    <row r="45" spans="1:8">
      <c r="A45" s="54" t="s">
        <v>1008</v>
      </c>
      <c r="B45" s="482">
        <v>-100</v>
      </c>
    </row>
    <row r="46" spans="1:8">
      <c r="A46" s="54" t="s">
        <v>1009</v>
      </c>
      <c r="B46" s="331"/>
      <c r="C46" s="331">
        <f t="shared" ref="C46:H46" si="12">-B42*$B$45</f>
        <v>11.218780629997594</v>
      </c>
      <c r="D46" s="331">
        <f t="shared" si="12"/>
        <v>11.338310174114611</v>
      </c>
      <c r="E46" s="331">
        <f t="shared" si="12"/>
        <v>11.446282306240972</v>
      </c>
      <c r="F46" s="331">
        <f t="shared" si="12"/>
        <v>11.468661489353075</v>
      </c>
      <c r="G46" s="331">
        <f t="shared" si="12"/>
        <v>11.681866159362198</v>
      </c>
      <c r="H46" s="331">
        <f t="shared" si="12"/>
        <v>11.736976758800425</v>
      </c>
    </row>
    <row r="47" spans="1:8" ht="15.75" thickBot="1">
      <c r="A47" s="54" t="s">
        <v>1010</v>
      </c>
      <c r="B47" s="331"/>
      <c r="C47" s="331"/>
      <c r="D47" s="331"/>
      <c r="E47" s="331"/>
      <c r="F47" s="331"/>
      <c r="G47" s="331"/>
      <c r="H47" s="331">
        <f>-B45</f>
        <v>100</v>
      </c>
    </row>
    <row r="48" spans="1:8" ht="15.75">
      <c r="A48" s="332" t="s">
        <v>1011</v>
      </c>
      <c r="B48" s="333">
        <f t="shared" ref="B48:H48" si="13">SUM(B45:B47)</f>
        <v>-100</v>
      </c>
      <c r="C48" s="333">
        <f t="shared" si="13"/>
        <v>11.218780629997594</v>
      </c>
      <c r="D48" s="333">
        <f t="shared" si="13"/>
        <v>11.338310174114611</v>
      </c>
      <c r="E48" s="333">
        <f t="shared" si="13"/>
        <v>11.446282306240972</v>
      </c>
      <c r="F48" s="333">
        <f t="shared" si="13"/>
        <v>11.468661489353075</v>
      </c>
      <c r="G48" s="333">
        <f t="shared" si="13"/>
        <v>11.681866159362198</v>
      </c>
      <c r="H48" s="333">
        <f t="shared" si="13"/>
        <v>111.73697675880042</v>
      </c>
    </row>
    <row r="49" spans="1:8" ht="15.75" thickBot="1">
      <c r="B49" s="331"/>
      <c r="C49" s="331"/>
      <c r="D49" s="331"/>
      <c r="E49" s="331"/>
      <c r="F49" s="331"/>
      <c r="G49" s="331"/>
    </row>
    <row r="50" spans="1:8" ht="16.5" thickTop="1" thickBot="1">
      <c r="A50" s="328" t="s">
        <v>1012</v>
      </c>
      <c r="B50" s="329">
        <f>IRR(B48:H48)</f>
        <v>0.11449193144592162</v>
      </c>
    </row>
    <row r="51" spans="1:8" ht="15.75" thickTop="1">
      <c r="B51" s="470"/>
    </row>
    <row r="52" spans="1:8">
      <c r="A52" s="54" t="s">
        <v>1013</v>
      </c>
      <c r="B52" s="467">
        <v>0</v>
      </c>
      <c r="H52" s="274"/>
    </row>
    <row r="53" spans="1:8">
      <c r="H53" s="274"/>
    </row>
    <row r="54" spans="1:8">
      <c r="H54" s="274"/>
    </row>
    <row r="55" spans="1:8">
      <c r="H55" s="274"/>
    </row>
    <row r="56" spans="1:8" ht="15.75">
      <c r="B56" s="711">
        <f>+B4</f>
        <v>2013</v>
      </c>
      <c r="C56" s="712" t="str">
        <f t="shared" ref="C56:H56" si="14">+C4</f>
        <v>2014P</v>
      </c>
      <c r="D56" s="712" t="str">
        <f t="shared" si="14"/>
        <v>2015P</v>
      </c>
      <c r="E56" s="712" t="str">
        <f t="shared" si="14"/>
        <v>2016P</v>
      </c>
      <c r="F56" s="712" t="str">
        <f t="shared" si="14"/>
        <v>2017P</v>
      </c>
      <c r="G56" s="713" t="str">
        <f t="shared" si="14"/>
        <v>2018P</v>
      </c>
      <c r="H56" s="709"/>
    </row>
    <row r="57" spans="1:8">
      <c r="B57" s="714">
        <f>+B36/B37</f>
        <v>0.25280940022065457</v>
      </c>
      <c r="C57" s="715">
        <f t="shared" ref="C57:H57" si="15">+C36/C37</f>
        <v>0.19191275670891447</v>
      </c>
      <c r="D57" s="715">
        <f t="shared" si="15"/>
        <v>0.14177937942269317</v>
      </c>
      <c r="E57" s="715">
        <f t="shared" si="15"/>
        <v>0.13443738434860425</v>
      </c>
      <c r="F57" s="715">
        <f t="shared" si="15"/>
        <v>4.6611795797936055E-2</v>
      </c>
      <c r="G57" s="716">
        <f t="shared" si="15"/>
        <v>2.6078458987161993E-2</v>
      </c>
      <c r="H57" s="710"/>
    </row>
    <row r="58" spans="1:8">
      <c r="H58" s="274"/>
    </row>
  </sheetData>
  <phoneticPr fontId="67" type="noConversion"/>
  <printOptions horizontalCentered="1" verticalCentered="1"/>
  <pageMargins left="1" right="1" top="1" bottom="1" header="0.511811024" footer="0.511811024"/>
  <pageSetup scale="80" orientation="landscape" horizontalDpi="300" verticalDpi="300"/>
  <headerFooter alignWithMargins="0">
    <oddHeader>&amp;A</oddHeader>
    <oddFooter>&amp;CCia.Modelo - EVA&amp;RPágina &amp;P</oddFooter>
  </headerFooter>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41"/>
  <sheetViews>
    <sheetView showGridLines="0" topLeftCell="A3" workbookViewId="0">
      <pane xSplit="4" ySplit="3" topLeftCell="E17" activePane="bottomRight" state="frozen"/>
      <selection activeCell="A3" sqref="A3"/>
      <selection pane="topRight" activeCell="E3" sqref="E3"/>
      <selection pane="bottomLeft" activeCell="A6" sqref="A6"/>
      <selection pane="bottomRight" activeCell="E31" sqref="E31"/>
    </sheetView>
  </sheetViews>
  <sheetFormatPr baseColWidth="10" defaultColWidth="10.6640625" defaultRowHeight="15"/>
  <cols>
    <col min="1" max="1" width="8.5546875" style="98" customWidth="1"/>
    <col min="2" max="2" width="10.6640625" style="98" customWidth="1"/>
    <col min="3" max="3" width="24.33203125" style="98" customWidth="1"/>
    <col min="4" max="4" width="2.5546875" style="98" customWidth="1"/>
    <col min="5" max="5" width="9.5546875" style="98" bestFit="1" customWidth="1"/>
    <col min="6" max="6" width="9.88671875" style="98" bestFit="1" customWidth="1"/>
    <col min="7" max="7" width="10.33203125" style="98" bestFit="1" customWidth="1"/>
    <col min="8" max="9" width="11.6640625" style="98" bestFit="1" customWidth="1"/>
    <col min="10" max="10" width="4" style="98" customWidth="1"/>
    <col min="11" max="11" width="12.33203125" style="98" bestFit="1" customWidth="1"/>
    <col min="12" max="12" width="11.88671875" style="98" bestFit="1" customWidth="1"/>
    <col min="13" max="13" width="5.109375" style="98" customWidth="1"/>
    <col min="14" max="14" width="9.33203125" style="98" bestFit="1" customWidth="1"/>
    <col min="15" max="15" width="9.88671875" style="98" bestFit="1" customWidth="1"/>
    <col min="16" max="16384" width="10.6640625" style="98"/>
  </cols>
  <sheetData>
    <row r="2" spans="2:15" ht="18.75">
      <c r="B2" s="96" t="s">
        <v>912</v>
      </c>
    </row>
    <row r="3" spans="2:15">
      <c r="B3" s="97" t="s">
        <v>913</v>
      </c>
    </row>
    <row r="4" spans="2:15">
      <c r="B4" s="99"/>
      <c r="C4" s="99"/>
      <c r="D4" s="99"/>
      <c r="E4" s="644" t="s">
        <v>914</v>
      </c>
      <c r="F4" s="644"/>
      <c r="G4" s="644"/>
      <c r="H4" s="644"/>
      <c r="I4" s="644"/>
      <c r="K4" s="645" t="s">
        <v>872</v>
      </c>
      <c r="L4" s="645"/>
      <c r="N4" s="645" t="s">
        <v>873</v>
      </c>
      <c r="O4" s="645"/>
    </row>
    <row r="5" spans="2:15">
      <c r="B5" s="100"/>
      <c r="C5" s="100"/>
      <c r="D5" s="101" t="s">
        <v>875</v>
      </c>
      <c r="E5" s="102">
        <v>2009</v>
      </c>
      <c r="F5" s="102">
        <v>2010</v>
      </c>
      <c r="G5" s="102">
        <v>2011</v>
      </c>
      <c r="H5" s="102">
        <v>2012</v>
      </c>
      <c r="I5" s="102">
        <v>2013</v>
      </c>
      <c r="K5" s="102">
        <v>2012</v>
      </c>
      <c r="L5" s="102">
        <v>2013</v>
      </c>
      <c r="N5" s="102">
        <v>2012</v>
      </c>
      <c r="O5" s="102">
        <v>2013</v>
      </c>
    </row>
    <row r="6" spans="2:15">
      <c r="B6" s="98" t="s">
        <v>915</v>
      </c>
      <c r="E6" s="97"/>
      <c r="F6" s="97"/>
      <c r="G6" s="97"/>
      <c r="H6" s="97"/>
      <c r="I6" s="97"/>
    </row>
    <row r="7" spans="2:15">
      <c r="B7" s="118" t="s">
        <v>916</v>
      </c>
      <c r="E7" s="97">
        <v>78017239</v>
      </c>
      <c r="F7" s="97">
        <v>88129394</v>
      </c>
      <c r="G7" s="97">
        <v>102191822</v>
      </c>
      <c r="H7" s="97">
        <v>121251489</v>
      </c>
      <c r="I7" s="97">
        <v>165433324</v>
      </c>
      <c r="J7" s="119"/>
      <c r="K7" s="97">
        <v>109557855</v>
      </c>
      <c r="L7" s="97">
        <v>115667126</v>
      </c>
      <c r="M7" s="97"/>
      <c r="N7" s="120">
        <f>+H7-K7-K9</f>
        <v>4805174</v>
      </c>
      <c r="O7" s="120">
        <f>+I7-L7-L9</f>
        <v>25034042</v>
      </c>
    </row>
    <row r="8" spans="2:15">
      <c r="B8" s="118" t="s">
        <v>917</v>
      </c>
      <c r="E8" s="97">
        <v>4151267</v>
      </c>
      <c r="F8" s="97">
        <v>4233494</v>
      </c>
      <c r="G8" s="97">
        <v>6887330</v>
      </c>
      <c r="H8" s="97">
        <v>11922141</v>
      </c>
      <c r="I8" s="97">
        <v>23536896</v>
      </c>
      <c r="J8" s="119"/>
      <c r="K8" s="97">
        <v>8315277</v>
      </c>
      <c r="L8" s="97">
        <v>7891069</v>
      </c>
      <c r="M8" s="97"/>
      <c r="N8" s="120">
        <f>+H8-K8</f>
        <v>3606864</v>
      </c>
      <c r="O8" s="120">
        <f>+I8-L8</f>
        <v>15645827</v>
      </c>
    </row>
    <row r="9" spans="2:15">
      <c r="B9" s="118" t="s">
        <v>918</v>
      </c>
      <c r="E9" s="106"/>
      <c r="F9" s="106">
        <v>0</v>
      </c>
      <c r="G9" s="106">
        <v>0</v>
      </c>
      <c r="H9" s="106">
        <v>0</v>
      </c>
      <c r="I9" s="106">
        <v>0</v>
      </c>
      <c r="J9" s="119"/>
      <c r="K9" s="121">
        <v>6888460</v>
      </c>
      <c r="L9" s="121">
        <v>24732156</v>
      </c>
      <c r="M9" s="97"/>
      <c r="N9" s="120"/>
      <c r="O9" s="120"/>
    </row>
    <row r="10" spans="2:15">
      <c r="B10" s="122" t="s">
        <v>341</v>
      </c>
      <c r="E10" s="97">
        <f>SUM(E7:E9)</f>
        <v>82168506</v>
      </c>
      <c r="F10" s="97">
        <f>SUM(F7:F9)</f>
        <v>92362888</v>
      </c>
      <c r="G10" s="97">
        <f>SUM(G7:G9)</f>
        <v>109079152</v>
      </c>
      <c r="H10" s="97">
        <f>SUM(H7:H9)</f>
        <v>133173630</v>
      </c>
      <c r="I10" s="97">
        <f>SUM(I7:I9)</f>
        <v>188970220</v>
      </c>
      <c r="J10" s="119"/>
      <c r="K10" s="97">
        <f>SUM(K7:K9)</f>
        <v>124761592</v>
      </c>
      <c r="L10" s="97">
        <f>SUM(L7:L9)</f>
        <v>148290351</v>
      </c>
      <c r="M10" s="97"/>
      <c r="N10" s="123">
        <f>SUM(N7:N9)</f>
        <v>8412038</v>
      </c>
      <c r="O10" s="123">
        <f>SUM(O7:O9)</f>
        <v>40679869</v>
      </c>
    </row>
    <row r="11" spans="2:15">
      <c r="B11" s="98" t="s">
        <v>919</v>
      </c>
      <c r="E11" s="106">
        <v>-56163346</v>
      </c>
      <c r="F11" s="106">
        <v>-60677052</v>
      </c>
      <c r="G11" s="106">
        <v>-75022004</v>
      </c>
      <c r="H11" s="106">
        <v>-93013103</v>
      </c>
      <c r="I11" s="106">
        <v>-129591604</v>
      </c>
      <c r="K11" s="106">
        <v>-83668249</v>
      </c>
      <c r="L11" s="106">
        <v>-101274364</v>
      </c>
      <c r="M11" s="97"/>
      <c r="N11" s="120">
        <f>+H11-K11</f>
        <v>-9344854</v>
      </c>
      <c r="O11" s="120">
        <f>+I11-L11</f>
        <v>-28317240</v>
      </c>
    </row>
    <row r="12" spans="2:15">
      <c r="B12" s="122" t="s">
        <v>920</v>
      </c>
      <c r="E12" s="106">
        <f>+E10+E11</f>
        <v>26005160</v>
      </c>
      <c r="F12" s="106">
        <f>+F10+F11</f>
        <v>31685836</v>
      </c>
      <c r="G12" s="106">
        <f>+G10+G11</f>
        <v>34057148</v>
      </c>
      <c r="H12" s="106">
        <f>+H10+H11</f>
        <v>40160527</v>
      </c>
      <c r="I12" s="106">
        <f>+I10+I11</f>
        <v>59378616</v>
      </c>
      <c r="K12" s="106">
        <f>+K10+K11</f>
        <v>41093343</v>
      </c>
      <c r="L12" s="106">
        <f>+L10+L11</f>
        <v>47015987</v>
      </c>
      <c r="M12" s="97"/>
      <c r="N12" s="107">
        <f>+N10+N11</f>
        <v>-932816</v>
      </c>
      <c r="O12" s="107">
        <f>+O10+O11</f>
        <v>12362629</v>
      </c>
    </row>
    <row r="13" spans="2:15">
      <c r="B13" s="98" t="s">
        <v>921</v>
      </c>
      <c r="E13" s="97"/>
      <c r="F13" s="97"/>
      <c r="G13" s="97"/>
      <c r="H13" s="97"/>
      <c r="I13" s="97"/>
      <c r="K13" s="97"/>
      <c r="L13" s="97"/>
      <c r="M13" s="97"/>
    </row>
    <row r="14" spans="2:15">
      <c r="B14" s="118" t="s">
        <v>922</v>
      </c>
      <c r="E14" s="97">
        <v>-4453114</v>
      </c>
      <c r="F14" s="97">
        <v>-5264126</v>
      </c>
      <c r="G14" s="97">
        <v>-6494542</v>
      </c>
      <c r="H14" s="97">
        <v>-7326949</v>
      </c>
      <c r="I14" s="97">
        <v>-8632204</v>
      </c>
      <c r="K14" s="97">
        <v>-6771167</v>
      </c>
      <c r="L14" s="97">
        <v>-7490753</v>
      </c>
      <c r="M14" s="97"/>
      <c r="N14" s="120">
        <f>+H14-K14</f>
        <v>-555782</v>
      </c>
      <c r="O14" s="120">
        <f>+I14-L14</f>
        <v>-1141451</v>
      </c>
    </row>
    <row r="15" spans="2:15">
      <c r="B15" s="118" t="s">
        <v>923</v>
      </c>
      <c r="E15" s="106">
        <v>-13231850</v>
      </c>
      <c r="F15" s="106">
        <v>-15951469</v>
      </c>
      <c r="G15" s="106">
        <v>-16379115</v>
      </c>
      <c r="H15" s="106">
        <v>-20440378</v>
      </c>
      <c r="I15" s="106">
        <v>-30065852</v>
      </c>
      <c r="K15" s="106">
        <v>-18607129</v>
      </c>
      <c r="L15" s="106">
        <v>-20625366</v>
      </c>
      <c r="M15" s="97"/>
      <c r="N15" s="120">
        <f>+H15-K15</f>
        <v>-1833249</v>
      </c>
      <c r="O15" s="120">
        <f>+I15-L15</f>
        <v>-9440486</v>
      </c>
    </row>
    <row r="16" spans="2:15">
      <c r="E16" s="106">
        <f>+E14+E15</f>
        <v>-17684964</v>
      </c>
      <c r="F16" s="106">
        <f>+F14+F15</f>
        <v>-21215595</v>
      </c>
      <c r="G16" s="106">
        <f>+G14+G15</f>
        <v>-22873657</v>
      </c>
      <c r="H16" s="106">
        <f>+H14+H15</f>
        <v>-27767327</v>
      </c>
      <c r="I16" s="106">
        <f>+I14+I15</f>
        <v>-38698056</v>
      </c>
      <c r="K16" s="106">
        <f>+K14+K15</f>
        <v>-25378296</v>
      </c>
      <c r="L16" s="106">
        <f>+L14+L15</f>
        <v>-28116119</v>
      </c>
      <c r="M16" s="97"/>
      <c r="N16" s="106">
        <f>+N14+N15</f>
        <v>-2389031</v>
      </c>
      <c r="O16" s="106">
        <f>+O14+O15</f>
        <v>-10581937</v>
      </c>
    </row>
    <row r="17" spans="2:15">
      <c r="B17" s="122" t="s">
        <v>924</v>
      </c>
      <c r="E17" s="106">
        <f>+E12+E16</f>
        <v>8320196</v>
      </c>
      <c r="F17" s="106">
        <f>+F12+F16</f>
        <v>10470241</v>
      </c>
      <c r="G17" s="106">
        <f>+G12+G16</f>
        <v>11183491</v>
      </c>
      <c r="H17" s="106">
        <f>+H12+H16</f>
        <v>12393200</v>
      </c>
      <c r="I17" s="106">
        <f>+I12+I16</f>
        <v>20680560</v>
      </c>
      <c r="J17" s="124"/>
      <c r="K17" s="106">
        <f>+K12+K16</f>
        <v>15715047</v>
      </c>
      <c r="L17" s="106">
        <f>+L12+L16</f>
        <v>18899868</v>
      </c>
      <c r="M17" s="97"/>
      <c r="N17" s="106">
        <f>+N12+N16</f>
        <v>-3321847</v>
      </c>
      <c r="O17" s="106">
        <f>+O12+O16</f>
        <v>1780692</v>
      </c>
    </row>
    <row r="18" spans="2:15">
      <c r="B18" s="118" t="s">
        <v>925</v>
      </c>
      <c r="E18" s="97"/>
      <c r="F18" s="97"/>
      <c r="G18" s="97"/>
      <c r="H18" s="97"/>
      <c r="I18" s="97"/>
      <c r="K18" s="97"/>
      <c r="L18" s="97"/>
      <c r="M18" s="97"/>
    </row>
    <row r="19" spans="2:15">
      <c r="B19" s="118" t="s">
        <v>926</v>
      </c>
      <c r="E19" s="97">
        <v>1582094</v>
      </c>
      <c r="F19" s="97">
        <v>1384090</v>
      </c>
      <c r="G19" s="97">
        <v>1201980</v>
      </c>
      <c r="H19" s="97">
        <v>5725961</v>
      </c>
      <c r="I19" s="97">
        <f>13552238</f>
        <v>13552238</v>
      </c>
      <c r="K19" s="97">
        <v>2699496</v>
      </c>
      <c r="L19" s="97">
        <v>9127931</v>
      </c>
      <c r="M19" s="97"/>
      <c r="N19" s="120">
        <f t="shared" ref="N19:O23" si="0">+H19-K19</f>
        <v>3026465</v>
      </c>
      <c r="O19" s="120">
        <f t="shared" si="0"/>
        <v>4424307</v>
      </c>
    </row>
    <row r="20" spans="2:15">
      <c r="B20" s="118" t="s">
        <v>927</v>
      </c>
      <c r="E20" s="97">
        <v>-2096022</v>
      </c>
      <c r="F20" s="97">
        <v>-2067665</v>
      </c>
      <c r="G20" s="97">
        <v>-4377044</v>
      </c>
      <c r="H20" s="97">
        <v>-13740552</v>
      </c>
      <c r="I20" s="97">
        <f>-21347256</f>
        <v>-21347256</v>
      </c>
      <c r="K20" s="97">
        <v>-6331000</v>
      </c>
      <c r="L20" s="97">
        <v>-11647488</v>
      </c>
      <c r="N20" s="120">
        <f t="shared" si="0"/>
        <v>-7409552</v>
      </c>
      <c r="O20" s="120">
        <f t="shared" si="0"/>
        <v>-9699768</v>
      </c>
    </row>
    <row r="21" spans="2:15">
      <c r="B21" s="118" t="s">
        <v>928</v>
      </c>
      <c r="E21" s="97">
        <v>689782</v>
      </c>
      <c r="F21" s="97">
        <v>590460</v>
      </c>
      <c r="G21" s="97">
        <v>1091520</v>
      </c>
      <c r="H21" s="97">
        <v>825711</v>
      </c>
      <c r="I21" s="97">
        <v>1758461</v>
      </c>
      <c r="K21" s="97">
        <v>4757473</v>
      </c>
      <c r="L21" s="97">
        <v>1476138</v>
      </c>
      <c r="N21" s="120">
        <f t="shared" si="0"/>
        <v>-3931762</v>
      </c>
      <c r="O21" s="120">
        <f t="shared" si="0"/>
        <v>282323</v>
      </c>
    </row>
    <row r="22" spans="2:15">
      <c r="B22" s="118" t="s">
        <v>929</v>
      </c>
      <c r="E22" s="97">
        <v>-547046</v>
      </c>
      <c r="F22" s="97">
        <v>-924913</v>
      </c>
      <c r="G22" s="97">
        <v>-1411151</v>
      </c>
      <c r="H22" s="97">
        <v>-4996495</v>
      </c>
      <c r="I22" s="97">
        <v>-3815183</v>
      </c>
      <c r="K22" s="97">
        <v>-8608798</v>
      </c>
      <c r="L22" s="97">
        <v>-1389307</v>
      </c>
      <c r="N22" s="120">
        <f t="shared" si="0"/>
        <v>3612303</v>
      </c>
      <c r="O22" s="120">
        <f t="shared" si="0"/>
        <v>-2425876</v>
      </c>
    </row>
    <row r="23" spans="2:15">
      <c r="B23" s="118" t="s">
        <v>299</v>
      </c>
      <c r="E23" s="106"/>
      <c r="F23" s="106">
        <v>0</v>
      </c>
      <c r="G23" s="106">
        <v>-123957</v>
      </c>
      <c r="H23" s="106">
        <v>0</v>
      </c>
      <c r="I23" s="106">
        <v>0</v>
      </c>
      <c r="K23" s="106">
        <v>-7722730</v>
      </c>
      <c r="L23" s="106">
        <v>-5583601</v>
      </c>
      <c r="N23" s="120">
        <f t="shared" si="0"/>
        <v>7722730</v>
      </c>
      <c r="O23" s="120">
        <f t="shared" si="0"/>
        <v>5583601</v>
      </c>
    </row>
    <row r="24" spans="2:15">
      <c r="E24" s="97">
        <f>SUM(E19:E23)</f>
        <v>-371192</v>
      </c>
      <c r="F24" s="97">
        <f>SUM(F19:F23)</f>
        <v>-1018028</v>
      </c>
      <c r="G24" s="97">
        <f>SUM(G19:G23)</f>
        <v>-3618652</v>
      </c>
      <c r="H24" s="97">
        <f>SUM(H19:H23)</f>
        <v>-12185375</v>
      </c>
      <c r="I24" s="97">
        <f>SUM(I19:I23)</f>
        <v>-9851740</v>
      </c>
      <c r="K24" s="97">
        <f>SUM(K19:K23)</f>
        <v>-15205559</v>
      </c>
      <c r="L24" s="97">
        <f>SUM(L19:L23)</f>
        <v>-8016327</v>
      </c>
      <c r="N24" s="123">
        <f>SUM(N19:N23)</f>
        <v>3020184</v>
      </c>
      <c r="O24" s="123">
        <f>SUM(O19:O23)</f>
        <v>-1835413</v>
      </c>
    </row>
    <row r="25" spans="2:15">
      <c r="B25" s="98" t="s">
        <v>930</v>
      </c>
      <c r="E25" s="120">
        <f>+E17+E24</f>
        <v>7949004</v>
      </c>
      <c r="F25" s="120">
        <f>+F17+F24</f>
        <v>9452213</v>
      </c>
      <c r="G25" s="120">
        <f>+G17+G24</f>
        <v>7564839</v>
      </c>
      <c r="H25" s="120">
        <f>+H17+H24</f>
        <v>207825</v>
      </c>
      <c r="I25" s="120">
        <f>+I17+I24</f>
        <v>10828820</v>
      </c>
      <c r="J25" s="120"/>
      <c r="K25" s="120">
        <f>+K17+K24</f>
        <v>509488</v>
      </c>
      <c r="L25" s="120">
        <f>+L17+L24</f>
        <v>10883541</v>
      </c>
      <c r="N25" s="125">
        <f>+N17+N24</f>
        <v>-301663</v>
      </c>
      <c r="O25" s="125">
        <f>+O17+O24</f>
        <v>-54721</v>
      </c>
    </row>
    <row r="26" spans="2:15">
      <c r="B26" s="98" t="s">
        <v>931</v>
      </c>
      <c r="E26" s="106">
        <v>-1861488</v>
      </c>
      <c r="F26" s="106">
        <v>-2338032</v>
      </c>
      <c r="G26" s="106">
        <v>-2494091</v>
      </c>
      <c r="H26" s="106">
        <v>-3333252</v>
      </c>
      <c r="I26" s="106">
        <v>-6595161</v>
      </c>
      <c r="K26" s="120">
        <v>-3214915</v>
      </c>
      <c r="L26" s="120">
        <v>-6252252</v>
      </c>
      <c r="N26" s="126">
        <f>+H26-K26</f>
        <v>-118337</v>
      </c>
      <c r="O26" s="126">
        <f>+I26-L26</f>
        <v>-342909</v>
      </c>
    </row>
    <row r="27" spans="2:15" ht="15.75" thickBot="1">
      <c r="B27" s="98" t="s">
        <v>932</v>
      </c>
      <c r="E27" s="97">
        <f>SUM(E25:E26)</f>
        <v>6087516</v>
      </c>
      <c r="F27" s="97">
        <f>SUM(F25:F26)</f>
        <v>7114181</v>
      </c>
      <c r="G27" s="97">
        <f>SUM(G25:G26)</f>
        <v>5070748</v>
      </c>
      <c r="H27" s="97">
        <f>SUM(H25:H26)</f>
        <v>-3125427</v>
      </c>
      <c r="I27" s="97">
        <f>SUM(I25:I26)</f>
        <v>4233659</v>
      </c>
      <c r="K27" s="127">
        <f>SUM(K25:K26)</f>
        <v>-2705427</v>
      </c>
      <c r="L27" s="127">
        <f>SUM(L25:L26)</f>
        <v>4631289</v>
      </c>
      <c r="N27" s="127">
        <f>SUM(N25:N26)</f>
        <v>-420000</v>
      </c>
      <c r="O27" s="127">
        <f>SUM(O25:O26)</f>
        <v>-397630</v>
      </c>
    </row>
    <row r="28" spans="2:15" ht="15.75" thickBot="1">
      <c r="B28" s="98" t="s">
        <v>933</v>
      </c>
      <c r="E28" s="128">
        <v>0.23899999999999999</v>
      </c>
      <c r="F28" s="128">
        <v>0.28000000000000003</v>
      </c>
      <c r="G28" s="128">
        <v>0.2</v>
      </c>
      <c r="H28" s="128"/>
      <c r="I28" s="128"/>
      <c r="K28" s="128">
        <v>9.8000000000000004E-2</v>
      </c>
      <c r="L28" s="128">
        <v>3.6999999999999998E-2</v>
      </c>
    </row>
    <row r="29" spans="2:15">
      <c r="E29" s="498"/>
      <c r="F29" s="498"/>
      <c r="G29" s="498"/>
      <c r="H29" s="498"/>
      <c r="I29" s="498"/>
      <c r="J29" s="498"/>
    </row>
    <row r="30" spans="2:15">
      <c r="E30" s="97"/>
      <c r="F30" s="97"/>
      <c r="G30" s="97"/>
      <c r="H30" s="97"/>
      <c r="I30" s="97"/>
    </row>
    <row r="31" spans="2:15">
      <c r="B31" s="98" t="s">
        <v>934</v>
      </c>
      <c r="E31" s="97"/>
      <c r="F31" s="97"/>
      <c r="G31" s="97"/>
      <c r="H31" s="97"/>
      <c r="I31" s="97"/>
    </row>
    <row r="32" spans="2:15">
      <c r="E32" s="97"/>
      <c r="F32" s="97"/>
      <c r="G32" s="97"/>
      <c r="H32" s="97"/>
      <c r="I32" s="97"/>
    </row>
    <row r="33" spans="5:9">
      <c r="E33" s="97"/>
      <c r="F33" s="97"/>
      <c r="G33" s="97"/>
      <c r="H33" s="97"/>
      <c r="I33" s="97"/>
    </row>
    <row r="34" spans="5:9">
      <c r="E34" s="97"/>
      <c r="F34" s="97"/>
      <c r="G34" s="97"/>
      <c r="H34" s="97"/>
      <c r="I34" s="97"/>
    </row>
    <row r="35" spans="5:9">
      <c r="E35" s="97"/>
      <c r="F35" s="97"/>
      <c r="G35" s="97"/>
      <c r="H35" s="97"/>
      <c r="I35" s="97"/>
    </row>
    <row r="36" spans="5:9">
      <c r="E36" s="97"/>
      <c r="F36" s="97"/>
      <c r="G36" s="97"/>
      <c r="H36" s="97"/>
      <c r="I36" s="97"/>
    </row>
    <row r="37" spans="5:9">
      <c r="E37" s="97"/>
      <c r="F37" s="97"/>
      <c r="G37" s="97"/>
      <c r="H37" s="97"/>
      <c r="I37" s="97"/>
    </row>
    <row r="38" spans="5:9">
      <c r="E38" s="97"/>
      <c r="F38" s="97"/>
      <c r="G38" s="97"/>
      <c r="H38" s="97"/>
      <c r="I38" s="97"/>
    </row>
    <row r="39" spans="5:9">
      <c r="E39" s="97"/>
      <c r="F39" s="97"/>
      <c r="G39" s="97"/>
      <c r="H39" s="97"/>
      <c r="I39" s="97"/>
    </row>
    <row r="40" spans="5:9">
      <c r="E40" s="97"/>
      <c r="F40" s="97"/>
      <c r="G40" s="97"/>
      <c r="H40" s="97"/>
      <c r="I40" s="97"/>
    </row>
    <row r="41" spans="5:9">
      <c r="E41" s="129"/>
      <c r="F41" s="129"/>
      <c r="G41" s="129"/>
      <c r="H41" s="129"/>
      <c r="I41" s="129"/>
    </row>
  </sheetData>
  <mergeCells count="3">
    <mergeCell ref="E4:I4"/>
    <mergeCell ref="K4:L4"/>
    <mergeCell ref="N4:O4"/>
  </mergeCells>
  <phoneticPr fontId="67"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pageSetUpPr fitToPage="1"/>
  </sheetPr>
  <dimension ref="B1:V52"/>
  <sheetViews>
    <sheetView showGridLines="0" topLeftCell="A24" zoomScale="80" zoomScaleNormal="80" zoomScalePageLayoutView="80" workbookViewId="0">
      <selection activeCell="F61" sqref="F61"/>
    </sheetView>
  </sheetViews>
  <sheetFormatPr baseColWidth="10" defaultRowHeight="15"/>
  <cols>
    <col min="1" max="1" width="2.6640625" style="38" customWidth="1"/>
    <col min="2" max="2" width="25.6640625" style="136" customWidth="1"/>
    <col min="3" max="3" width="13.6640625" style="136" customWidth="1"/>
    <col min="4" max="4" width="10.6640625" style="136" customWidth="1"/>
    <col min="5" max="6" width="12.109375" style="136" customWidth="1"/>
    <col min="7" max="7" width="10.44140625" style="136" customWidth="1"/>
    <col min="8" max="8" width="10" style="136" customWidth="1"/>
    <col min="9" max="22" width="11.5546875" style="136"/>
    <col min="23" max="16384" width="11.5546875" style="38"/>
  </cols>
  <sheetData>
    <row r="1" spans="2:22" s="84" customFormat="1">
      <c r="B1" s="680"/>
      <c r="C1" s="680"/>
      <c r="D1" s="680"/>
      <c r="E1" s="680"/>
      <c r="F1" s="680"/>
      <c r="G1" s="680"/>
      <c r="H1" s="337"/>
      <c r="I1" s="337"/>
      <c r="J1" s="337"/>
      <c r="K1" s="337"/>
      <c r="L1" s="337"/>
      <c r="M1" s="337"/>
      <c r="N1" s="337"/>
      <c r="O1" s="337"/>
      <c r="P1" s="337"/>
      <c r="Q1" s="337"/>
      <c r="R1" s="337"/>
      <c r="S1" s="337"/>
      <c r="T1" s="337"/>
      <c r="U1" s="337"/>
      <c r="V1" s="337"/>
    </row>
    <row r="2" spans="2:22" s="37" customFormat="1" ht="15.75">
      <c r="B2" s="499" t="s">
        <v>1084</v>
      </c>
      <c r="C2" s="499"/>
      <c r="D2" s="499"/>
      <c r="E2" s="500">
        <v>2013</v>
      </c>
      <c r="F2" s="500">
        <f t="shared" ref="F2:K2" si="0">+E2+1</f>
        <v>2014</v>
      </c>
      <c r="G2" s="500">
        <f t="shared" si="0"/>
        <v>2015</v>
      </c>
      <c r="H2" s="500">
        <f t="shared" si="0"/>
        <v>2016</v>
      </c>
      <c r="I2" s="500">
        <f t="shared" si="0"/>
        <v>2017</v>
      </c>
      <c r="J2" s="500">
        <f t="shared" si="0"/>
        <v>2018</v>
      </c>
      <c r="K2" s="500">
        <f t="shared" si="0"/>
        <v>2019</v>
      </c>
      <c r="L2" s="167"/>
      <c r="M2" s="167"/>
      <c r="N2" s="167"/>
      <c r="O2" s="167"/>
      <c r="P2" s="167"/>
      <c r="Q2" s="167"/>
      <c r="R2" s="167"/>
      <c r="S2" s="167"/>
      <c r="T2" s="167"/>
      <c r="U2" s="167"/>
      <c r="V2" s="167"/>
    </row>
    <row r="3" spans="2:22" s="84" customFormat="1">
      <c r="B3" s="337"/>
      <c r="C3" s="337"/>
      <c r="D3" s="337"/>
      <c r="E3" s="338"/>
      <c r="F3" s="337"/>
      <c r="G3" s="337"/>
      <c r="H3" s="337"/>
      <c r="I3" s="337"/>
      <c r="J3" s="337"/>
      <c r="K3" s="337"/>
      <c r="L3" s="337"/>
      <c r="M3" s="337"/>
      <c r="N3" s="337"/>
      <c r="O3" s="337"/>
      <c r="P3" s="337"/>
      <c r="Q3" s="337"/>
      <c r="R3" s="337"/>
      <c r="S3" s="337"/>
      <c r="T3" s="337"/>
      <c r="U3" s="337"/>
      <c r="V3" s="337"/>
    </row>
    <row r="4" spans="2:22" s="84" customFormat="1">
      <c r="B4" s="337"/>
      <c r="C4" s="337"/>
      <c r="D4" s="337"/>
      <c r="E4" s="144">
        <f>+D24</f>
        <v>6.8256617886178848E-3</v>
      </c>
      <c r="F4" s="144">
        <f t="shared" ref="F4:K4" si="1">+E4</f>
        <v>6.8256617886178848E-3</v>
      </c>
      <c r="G4" s="144">
        <f t="shared" si="1"/>
        <v>6.8256617886178848E-3</v>
      </c>
      <c r="H4" s="144">
        <f t="shared" si="1"/>
        <v>6.8256617886178848E-3</v>
      </c>
      <c r="I4" s="144">
        <f t="shared" si="1"/>
        <v>6.8256617886178848E-3</v>
      </c>
      <c r="J4" s="144">
        <f t="shared" si="1"/>
        <v>6.8256617886178848E-3</v>
      </c>
      <c r="K4" s="144">
        <f t="shared" si="1"/>
        <v>6.8256617886178848E-3</v>
      </c>
      <c r="L4" s="337"/>
      <c r="M4" s="337"/>
      <c r="N4" s="337"/>
      <c r="O4" s="337"/>
      <c r="P4" s="337"/>
      <c r="Q4" s="337"/>
      <c r="R4" s="337"/>
      <c r="S4" s="337"/>
      <c r="T4" s="337"/>
      <c r="U4" s="337"/>
      <c r="V4" s="337"/>
    </row>
    <row r="5" spans="2:22">
      <c r="B5" s="138" t="s">
        <v>312</v>
      </c>
      <c r="C5" s="139" t="s">
        <v>352</v>
      </c>
      <c r="D5" s="140"/>
      <c r="E5" s="141">
        <f>((1+E4)^(1/12)-1)*12</f>
        <v>6.804400853574144E-3</v>
      </c>
      <c r="F5" s="141">
        <f t="shared" ref="F5:K5" si="2">((1+F4)^(1/12)-1)*12</f>
        <v>6.804400853574144E-3</v>
      </c>
      <c r="G5" s="141">
        <f t="shared" si="2"/>
        <v>6.804400853574144E-3</v>
      </c>
      <c r="H5" s="141">
        <f t="shared" si="2"/>
        <v>6.804400853574144E-3</v>
      </c>
      <c r="I5" s="141">
        <f t="shared" si="2"/>
        <v>6.804400853574144E-3</v>
      </c>
      <c r="J5" s="141">
        <f t="shared" si="2"/>
        <v>6.804400853574144E-3</v>
      </c>
      <c r="K5" s="141">
        <f t="shared" si="2"/>
        <v>6.804400853574144E-3</v>
      </c>
    </row>
    <row r="6" spans="2:22">
      <c r="B6" s="142"/>
      <c r="C6" s="456" t="s">
        <v>353</v>
      </c>
      <c r="D6" s="143">
        <f>+(3.95%+6.43%)/2</f>
        <v>5.1900000000000002E-2</v>
      </c>
      <c r="E6" s="144">
        <f>((1+$D$6)^(1/12)-1)*12</f>
        <v>5.070487630694398E-2</v>
      </c>
      <c r="F6" s="144">
        <f t="shared" ref="F6:K6" si="3">((1+$D$6)^(1/12)-1)*12</f>
        <v>5.070487630694398E-2</v>
      </c>
      <c r="G6" s="144">
        <f t="shared" si="3"/>
        <v>5.070487630694398E-2</v>
      </c>
      <c r="H6" s="144">
        <f t="shared" si="3"/>
        <v>5.070487630694398E-2</v>
      </c>
      <c r="I6" s="144">
        <f t="shared" si="3"/>
        <v>5.070487630694398E-2</v>
      </c>
      <c r="J6" s="144">
        <f t="shared" si="3"/>
        <v>5.070487630694398E-2</v>
      </c>
      <c r="K6" s="144">
        <f t="shared" si="3"/>
        <v>5.070487630694398E-2</v>
      </c>
    </row>
    <row r="7" spans="2:22">
      <c r="B7" s="142"/>
      <c r="C7" s="145"/>
      <c r="D7" s="146"/>
      <c r="E7" s="144">
        <f>+E5+E6</f>
        <v>5.7509277160518124E-2</v>
      </c>
      <c r="F7" s="144">
        <f t="shared" ref="F7:K7" si="4">+F5+F6</f>
        <v>5.7509277160518124E-2</v>
      </c>
      <c r="G7" s="144">
        <f t="shared" si="4"/>
        <v>5.7509277160518124E-2</v>
      </c>
      <c r="H7" s="144">
        <f t="shared" si="4"/>
        <v>5.7509277160518124E-2</v>
      </c>
      <c r="I7" s="144">
        <f t="shared" si="4"/>
        <v>5.7509277160518124E-2</v>
      </c>
      <c r="J7" s="144">
        <f t="shared" si="4"/>
        <v>5.7509277160518124E-2</v>
      </c>
      <c r="K7" s="144">
        <f t="shared" si="4"/>
        <v>5.7509277160518124E-2</v>
      </c>
    </row>
    <row r="8" spans="2:22" ht="15.75" thickBot="1">
      <c r="B8" s="147"/>
      <c r="C8" s="148" t="s">
        <v>354</v>
      </c>
      <c r="D8" s="149"/>
      <c r="E8" s="150">
        <f>+(((E7/12)+1)^12)-1</f>
        <v>5.9049609352427535E-2</v>
      </c>
      <c r="F8" s="150">
        <f t="shared" ref="F8:K8" si="5">+(((F7/12)+1)^12)-1</f>
        <v>5.9049609352427535E-2</v>
      </c>
      <c r="G8" s="150">
        <f t="shared" si="5"/>
        <v>5.9049609352427535E-2</v>
      </c>
      <c r="H8" s="150">
        <f t="shared" si="5"/>
        <v>5.9049609352427535E-2</v>
      </c>
      <c r="I8" s="150">
        <f t="shared" si="5"/>
        <v>5.9049609352427535E-2</v>
      </c>
      <c r="J8" s="150">
        <f t="shared" si="5"/>
        <v>5.9049609352427535E-2</v>
      </c>
      <c r="K8" s="150">
        <f t="shared" si="5"/>
        <v>5.9049609352427535E-2</v>
      </c>
    </row>
    <row r="9" spans="2:22" ht="8.25" customHeight="1" thickTop="1">
      <c r="B9" s="163"/>
      <c r="C9" s="335"/>
      <c r="D9" s="165"/>
      <c r="E9" s="336"/>
    </row>
    <row r="10" spans="2:22">
      <c r="B10" s="151"/>
      <c r="C10" s="152"/>
      <c r="D10" s="153"/>
      <c r="E10" s="38"/>
      <c r="F10" s="38"/>
      <c r="G10" s="38"/>
      <c r="H10" s="38"/>
      <c r="I10" s="38"/>
      <c r="J10" s="38"/>
      <c r="K10" s="38"/>
    </row>
    <row r="11" spans="2:22">
      <c r="B11" s="151"/>
      <c r="C11" s="152"/>
      <c r="D11" s="153"/>
      <c r="E11" s="151">
        <f>+D26</f>
        <v>4.2430769230769237E-2</v>
      </c>
      <c r="F11" s="334">
        <v>4.1300000000000003E-2</v>
      </c>
      <c r="G11" s="334">
        <v>4.9599999999999998E-2</v>
      </c>
      <c r="H11" s="334">
        <v>5.3499999999999999E-2</v>
      </c>
      <c r="I11" s="334">
        <v>5.11E-2</v>
      </c>
      <c r="J11" s="334">
        <v>4.8300000000000003E-2</v>
      </c>
      <c r="K11" s="334">
        <v>4.36E-2</v>
      </c>
    </row>
    <row r="12" spans="2:22">
      <c r="B12" s="138" t="s">
        <v>310</v>
      </c>
      <c r="C12" s="139" t="s">
        <v>355</v>
      </c>
      <c r="D12" s="140"/>
      <c r="E12" s="141">
        <f>((1+E11)^(1/4)-1)*4</f>
        <v>4.1771868508529764E-2</v>
      </c>
      <c r="F12" s="141">
        <f t="shared" ref="F12:K12" si="6">((1+F11)^(1/4)-1)*4</f>
        <v>4.0675351674166471E-2</v>
      </c>
      <c r="G12" s="141">
        <f t="shared" si="6"/>
        <v>4.8703255096389064E-2</v>
      </c>
      <c r="H12" s="141">
        <f t="shared" si="6"/>
        <v>5.2458968879142809E-2</v>
      </c>
      <c r="I12" s="141">
        <f t="shared" si="6"/>
        <v>5.0148997029292097E-2</v>
      </c>
      <c r="J12" s="141">
        <f t="shared" si="6"/>
        <v>4.7449024767633574E-2</v>
      </c>
      <c r="K12" s="141">
        <f t="shared" si="6"/>
        <v>4.290474412597689E-2</v>
      </c>
    </row>
    <row r="13" spans="2:22">
      <c r="B13" s="142"/>
      <c r="C13" s="456" t="s">
        <v>353</v>
      </c>
      <c r="D13" s="143"/>
      <c r="E13" s="144">
        <f>((1+4.65%)^(1/4)-1)*4</f>
        <v>4.5710470913628676E-2</v>
      </c>
      <c r="F13" s="144">
        <f t="shared" ref="F13:K13" si="7">((1+4.65%)^(1/4)-1)*4</f>
        <v>4.5710470913628676E-2</v>
      </c>
      <c r="G13" s="144">
        <f t="shared" si="7"/>
        <v>4.5710470913628676E-2</v>
      </c>
      <c r="H13" s="144">
        <f t="shared" si="7"/>
        <v>4.5710470913628676E-2</v>
      </c>
      <c r="I13" s="144">
        <f t="shared" si="7"/>
        <v>4.5710470913628676E-2</v>
      </c>
      <c r="J13" s="144">
        <f t="shared" si="7"/>
        <v>4.5710470913628676E-2</v>
      </c>
      <c r="K13" s="144">
        <f t="shared" si="7"/>
        <v>4.5710470913628676E-2</v>
      </c>
    </row>
    <row r="14" spans="2:22">
      <c r="B14" s="142"/>
      <c r="C14" s="145"/>
      <c r="D14" s="146"/>
      <c r="E14" s="144">
        <f>+E12+E13</f>
        <v>8.7482339422158439E-2</v>
      </c>
      <c r="F14" s="144">
        <f t="shared" ref="F14:K14" si="8">+F12+F13</f>
        <v>8.6385822587795147E-2</v>
      </c>
      <c r="G14" s="144">
        <f t="shared" si="8"/>
        <v>9.441372601001774E-2</v>
      </c>
      <c r="H14" s="144">
        <f t="shared" si="8"/>
        <v>9.8169439792771485E-2</v>
      </c>
      <c r="I14" s="144">
        <f t="shared" si="8"/>
        <v>9.5859467942920773E-2</v>
      </c>
      <c r="J14" s="144">
        <f t="shared" si="8"/>
        <v>9.315949568126225E-2</v>
      </c>
      <c r="K14" s="144">
        <f t="shared" si="8"/>
        <v>8.8615215039605566E-2</v>
      </c>
    </row>
    <row r="15" spans="2:22" ht="15.75" thickBot="1">
      <c r="B15" s="147"/>
      <c r="C15" s="148" t="s">
        <v>354</v>
      </c>
      <c r="D15" s="149"/>
      <c r="E15" s="150">
        <f>+(((E14/4)+1)^4)-1</f>
        <v>9.0394347875812242E-2</v>
      </c>
      <c r="F15" s="150">
        <f t="shared" ref="F15:K15" si="9">+(((F14/4)+1)^4)-1</f>
        <v>8.9224772445667622E-2</v>
      </c>
      <c r="G15" s="150">
        <f t="shared" si="9"/>
        <v>9.7809368228928051E-2</v>
      </c>
      <c r="H15" s="150">
        <f t="shared" si="9"/>
        <v>0.10184289732862095</v>
      </c>
      <c r="I15" s="150">
        <f t="shared" si="9"/>
        <v>9.9360740394248248E-2</v>
      </c>
      <c r="J15" s="150">
        <f t="shared" si="9"/>
        <v>9.6464830670637269E-2</v>
      </c>
      <c r="K15" s="150">
        <f t="shared" si="9"/>
        <v>9.1603693593493185E-2</v>
      </c>
    </row>
    <row r="16" spans="2:22" ht="9.75" customHeight="1" thickTop="1">
      <c r="B16" s="153"/>
      <c r="C16" s="152"/>
      <c r="D16" s="153"/>
      <c r="E16" s="153"/>
    </row>
    <row r="17" spans="2:22">
      <c r="B17" s="153"/>
      <c r="C17" s="152"/>
      <c r="D17" s="153"/>
      <c r="E17" s="153"/>
    </row>
    <row r="18" spans="2:22">
      <c r="B18" s="138" t="s">
        <v>356</v>
      </c>
      <c r="C18" s="139" t="s">
        <v>355</v>
      </c>
      <c r="D18" s="140"/>
      <c r="E18" s="141">
        <f>+(3.4%+4.4%)/2</f>
        <v>3.9000000000000007E-2</v>
      </c>
      <c r="F18" s="141">
        <f t="shared" ref="F18:K18" si="10">+(3.4%+4.4%)/2</f>
        <v>3.9000000000000007E-2</v>
      </c>
      <c r="G18" s="141">
        <f t="shared" si="10"/>
        <v>3.9000000000000007E-2</v>
      </c>
      <c r="H18" s="141">
        <f t="shared" si="10"/>
        <v>3.9000000000000007E-2</v>
      </c>
      <c r="I18" s="141">
        <f t="shared" si="10"/>
        <v>3.9000000000000007E-2</v>
      </c>
      <c r="J18" s="141">
        <f t="shared" si="10"/>
        <v>3.9000000000000007E-2</v>
      </c>
      <c r="K18" s="141">
        <f t="shared" si="10"/>
        <v>3.9000000000000007E-2</v>
      </c>
    </row>
    <row r="19" spans="2:22">
      <c r="B19" s="142"/>
      <c r="C19" s="456" t="s">
        <v>353</v>
      </c>
      <c r="D19" s="143">
        <f>+(3.4%+4.4%)/2</f>
        <v>3.9000000000000007E-2</v>
      </c>
      <c r="E19" s="144">
        <f>((1+E18)^(1/4)-1)*4</f>
        <v>3.8442262983608089E-2</v>
      </c>
      <c r="F19" s="144">
        <f t="shared" ref="F19:K19" si="11">((1+F18)^(1/4)-1)*4</f>
        <v>3.8442262983608089E-2</v>
      </c>
      <c r="G19" s="144">
        <f t="shared" si="11"/>
        <v>3.8442262983608089E-2</v>
      </c>
      <c r="H19" s="144">
        <f t="shared" si="11"/>
        <v>3.8442262983608089E-2</v>
      </c>
      <c r="I19" s="144">
        <f t="shared" si="11"/>
        <v>3.8442262983608089E-2</v>
      </c>
      <c r="J19" s="144">
        <f t="shared" si="11"/>
        <v>3.8442262983608089E-2</v>
      </c>
      <c r="K19" s="144">
        <f t="shared" si="11"/>
        <v>3.8442262983608089E-2</v>
      </c>
      <c r="M19" s="337"/>
    </row>
    <row r="20" spans="2:22">
      <c r="B20" s="142"/>
      <c r="C20" s="145"/>
      <c r="D20" s="146"/>
      <c r="E20" s="144">
        <f>+E12+E19</f>
        <v>8.0214131492137852E-2</v>
      </c>
      <c r="F20" s="144">
        <f t="shared" ref="F20:K20" si="12">+F12+F19</f>
        <v>7.911761465777456E-2</v>
      </c>
      <c r="G20" s="144">
        <f t="shared" si="12"/>
        <v>8.7145518079997153E-2</v>
      </c>
      <c r="H20" s="144">
        <f t="shared" si="12"/>
        <v>9.0901231862750898E-2</v>
      </c>
      <c r="I20" s="144">
        <f t="shared" si="12"/>
        <v>8.8591260012900186E-2</v>
      </c>
      <c r="J20" s="144">
        <f t="shared" si="12"/>
        <v>8.5891287751241663E-2</v>
      </c>
      <c r="K20" s="144">
        <f t="shared" si="12"/>
        <v>8.1347007109584979E-2</v>
      </c>
      <c r="M20" s="337"/>
    </row>
    <row r="21" spans="2:22" ht="15.75" thickBot="1">
      <c r="B21" s="147"/>
      <c r="C21" s="148" t="s">
        <v>354</v>
      </c>
      <c r="D21" s="149"/>
      <c r="E21" s="150">
        <f>+(((E20/4)+1)^4)-1</f>
        <v>8.2659415942407666E-2</v>
      </c>
      <c r="F21" s="150">
        <f t="shared" ref="F21:K21" si="13">+(((F20/4)+1)^4)-1</f>
        <v>8.1496069344260347E-2</v>
      </c>
      <c r="G21" s="150">
        <f t="shared" si="13"/>
        <v>9.0034984665233297E-2</v>
      </c>
      <c r="H21" s="150">
        <f t="shared" si="13"/>
        <v>9.4047081303280988E-2</v>
      </c>
      <c r="I21" s="150">
        <f t="shared" si="13"/>
        <v>9.1578111175540045E-2</v>
      </c>
      <c r="J21" s="150">
        <f t="shared" si="13"/>
        <v>8.8697595773544968E-2</v>
      </c>
      <c r="K21" s="150">
        <f t="shared" si="13"/>
        <v>8.386232277571315E-2</v>
      </c>
      <c r="M21" s="501"/>
    </row>
    <row r="22" spans="2:22" ht="15.75" thickTop="1">
      <c r="C22" s="155"/>
      <c r="D22" s="156"/>
      <c r="E22" s="156"/>
      <c r="F22" s="153"/>
      <c r="G22" s="154"/>
      <c r="M22" s="337"/>
    </row>
    <row r="23" spans="2:22" s="183" customFormat="1">
      <c r="B23" s="181" t="s">
        <v>955</v>
      </c>
      <c r="C23" s="181" t="s">
        <v>358</v>
      </c>
      <c r="D23" s="181" t="s">
        <v>357</v>
      </c>
      <c r="E23" s="181" t="s">
        <v>307</v>
      </c>
      <c r="F23" s="181" t="s">
        <v>935</v>
      </c>
      <c r="G23" s="181" t="s">
        <v>954</v>
      </c>
      <c r="H23" s="182"/>
      <c r="I23" s="182"/>
      <c r="J23" s="182"/>
      <c r="K23" s="182"/>
      <c r="L23" s="182"/>
      <c r="M23" s="502"/>
      <c r="N23" s="182"/>
      <c r="O23" s="182"/>
      <c r="P23" s="182"/>
      <c r="Q23" s="182"/>
      <c r="R23" s="182"/>
      <c r="S23" s="182"/>
      <c r="T23" s="182"/>
      <c r="U23" s="182"/>
      <c r="V23" s="182"/>
    </row>
    <row r="24" spans="2:22">
      <c r="B24" s="153" t="s">
        <v>312</v>
      </c>
      <c r="C24" s="155" t="s">
        <v>308</v>
      </c>
      <c r="D24" s="339">
        <f>+AVERAGE(LIBOR!F109:F354)</f>
        <v>6.8256617886178848E-3</v>
      </c>
      <c r="E24" s="157">
        <f>+E8</f>
        <v>5.9049609352427535E-2</v>
      </c>
      <c r="F24" s="154">
        <v>43353675</v>
      </c>
      <c r="G24" s="137">
        <f>+F24/$F$28</f>
        <v>0.83148805621188315</v>
      </c>
      <c r="J24" s="137"/>
    </row>
    <row r="25" spans="2:22">
      <c r="B25" s="153" t="s">
        <v>309</v>
      </c>
      <c r="C25" s="155"/>
      <c r="D25" s="156"/>
      <c r="E25" s="157">
        <v>4.5900000000000003E-2</v>
      </c>
      <c r="F25" s="154">
        <v>8613670</v>
      </c>
      <c r="G25" s="137">
        <f>+F25/$F$28</f>
        <v>0.16520315117808609</v>
      </c>
      <c r="J25" s="137"/>
    </row>
    <row r="26" spans="2:22">
      <c r="B26" s="153" t="s">
        <v>310</v>
      </c>
      <c r="C26" s="155" t="s">
        <v>311</v>
      </c>
      <c r="D26" s="151">
        <f>+AVERAGE(DTF!C27:C78)</f>
        <v>4.2430769230769237E-2</v>
      </c>
      <c r="E26" s="157">
        <f>+E15</f>
        <v>9.0394347875812242E-2</v>
      </c>
      <c r="F26" s="154">
        <v>0</v>
      </c>
      <c r="G26" s="137">
        <f>+F26/$F$28</f>
        <v>0</v>
      </c>
    </row>
    <row r="27" spans="2:22" ht="15.75" thickBot="1">
      <c r="B27" s="158" t="s">
        <v>313</v>
      </c>
      <c r="C27" s="159" t="s">
        <v>953</v>
      </c>
      <c r="D27" s="160"/>
      <c r="E27" s="161">
        <f>+E21</f>
        <v>8.2659415942407666E-2</v>
      </c>
      <c r="F27" s="162">
        <v>172520</v>
      </c>
      <c r="G27" s="479">
        <f>+F27/$F$28</f>
        <v>3.3087926100307317E-3</v>
      </c>
    </row>
    <row r="28" spans="2:22" ht="15.75" thickTop="1">
      <c r="B28" s="153"/>
      <c r="C28" s="155"/>
      <c r="D28" s="156"/>
      <c r="F28" s="154">
        <f>SUM(F24:F27)</f>
        <v>52139865</v>
      </c>
      <c r="G28" s="156">
        <f>SUM(G24:G27)</f>
        <v>0.99999999999999989</v>
      </c>
    </row>
    <row r="29" spans="2:22" ht="15.75">
      <c r="B29" s="163"/>
      <c r="C29" s="164"/>
      <c r="D29" s="165"/>
      <c r="E29" s="166"/>
      <c r="F29" s="153"/>
      <c r="G29" s="168">
        <f>+SUMPRODUCT(E24:E27,G24:G27)</f>
        <v>5.6955372404214853E-2</v>
      </c>
    </row>
    <row r="30" spans="2:22" hidden="1">
      <c r="B30" s="167" t="s">
        <v>366</v>
      </c>
      <c r="F30" s="153"/>
    </row>
    <row r="31" spans="2:22">
      <c r="F31" s="153"/>
      <c r="G31" s="154"/>
    </row>
    <row r="32" spans="2:22" hidden="1">
      <c r="B32" s="169" t="s">
        <v>367</v>
      </c>
      <c r="C32" s="170">
        <v>33864425853</v>
      </c>
    </row>
    <row r="33" spans="2:22" hidden="1">
      <c r="B33" s="169" t="s">
        <v>956</v>
      </c>
      <c r="C33" s="171">
        <v>7.8</v>
      </c>
    </row>
    <row r="34" spans="2:22" hidden="1">
      <c r="B34" s="169" t="s">
        <v>318</v>
      </c>
      <c r="C34" s="172">
        <v>6.8000000000000005E-2</v>
      </c>
    </row>
    <row r="35" spans="2:22" hidden="1">
      <c r="B35" s="169" t="s">
        <v>315</v>
      </c>
      <c r="C35" s="173">
        <f>+'Beta Damodarán'!F60</f>
        <v>1.1200000000000001</v>
      </c>
    </row>
    <row r="36" spans="2:22" hidden="1">
      <c r="B36" s="169" t="s">
        <v>374</v>
      </c>
      <c r="C36" s="174">
        <v>0.25</v>
      </c>
    </row>
    <row r="37" spans="2:22" hidden="1">
      <c r="B37" s="169" t="s">
        <v>375</v>
      </c>
      <c r="C37" s="174">
        <v>0.09</v>
      </c>
    </row>
    <row r="38" spans="2:22" hidden="1">
      <c r="B38" s="169" t="s">
        <v>376</v>
      </c>
      <c r="C38" s="174">
        <v>0.08</v>
      </c>
    </row>
    <row r="39" spans="2:22" hidden="1">
      <c r="B39" s="169" t="s">
        <v>377</v>
      </c>
      <c r="C39" s="174">
        <f>+C36+C37</f>
        <v>0.33999999999999997</v>
      </c>
    </row>
    <row r="40" spans="2:22" hidden="1">
      <c r="B40" s="169" t="s">
        <v>378</v>
      </c>
      <c r="C40" s="174">
        <f>+C36+C38</f>
        <v>0.33</v>
      </c>
    </row>
    <row r="41" spans="2:22" hidden="1">
      <c r="B41" s="169" t="s">
        <v>317</v>
      </c>
      <c r="C41" s="175">
        <f>+C47/C48</f>
        <v>0.25280940022065457</v>
      </c>
      <c r="E41" s="176"/>
    </row>
    <row r="42" spans="2:22" hidden="1">
      <c r="B42" s="169" t="s">
        <v>316</v>
      </c>
      <c r="C42" s="177">
        <f>(C35*(1+(C41)*(1-C39)))</f>
        <v>1.3068767086431079</v>
      </c>
    </row>
    <row r="43" spans="2:22" hidden="1"/>
    <row r="44" spans="2:22" hidden="1">
      <c r="B44" s="167" t="s">
        <v>1048</v>
      </c>
      <c r="D44" s="448"/>
      <c r="E44" s="448"/>
      <c r="F44" s="448"/>
    </row>
    <row r="45" spans="2:22" hidden="1">
      <c r="D45" s="448"/>
      <c r="E45" s="448"/>
      <c r="F45" s="448"/>
    </row>
    <row r="46" spans="2:22" s="183" customFormat="1" ht="15.75" hidden="1" thickBot="1">
      <c r="B46" s="227" t="s">
        <v>304</v>
      </c>
      <c r="C46" s="447" t="s">
        <v>305</v>
      </c>
      <c r="D46" s="449"/>
      <c r="E46" s="449"/>
      <c r="F46" s="449"/>
      <c r="H46" s="182"/>
      <c r="I46" s="182"/>
      <c r="J46" s="182"/>
      <c r="K46" s="182"/>
      <c r="L46" s="182"/>
      <c r="M46" s="182"/>
      <c r="N46" s="182"/>
      <c r="O46" s="182"/>
      <c r="P46" s="182"/>
      <c r="Q46" s="182"/>
      <c r="R46" s="182"/>
      <c r="S46" s="182"/>
      <c r="T46" s="182"/>
      <c r="U46" s="182"/>
      <c r="V46" s="182"/>
    </row>
    <row r="47" spans="2:22" hidden="1">
      <c r="B47" s="178" t="s">
        <v>314</v>
      </c>
      <c r="C47" s="178">
        <f>+Balance!G31+Balance!G32+Balance!G44+Balance!G45</f>
        <v>52139865</v>
      </c>
      <c r="D47" s="450"/>
      <c r="E47" s="451"/>
      <c r="F47" s="451"/>
    </row>
    <row r="48" spans="2:22" ht="15.75" hidden="1" thickBot="1">
      <c r="B48" s="179" t="s">
        <v>306</v>
      </c>
      <c r="C48" s="179">
        <f>+Balance!G57-Balance!G23</f>
        <v>206241797</v>
      </c>
      <c r="D48" s="452"/>
      <c r="E48" s="451"/>
      <c r="F48" s="451"/>
    </row>
    <row r="49" spans="2:7" ht="16.5" hidden="1" thickTop="1">
      <c r="B49" s="180"/>
      <c r="C49" s="178">
        <f>+SUM(C47:C48)</f>
        <v>258381662</v>
      </c>
      <c r="D49" s="453"/>
      <c r="E49" s="454"/>
      <c r="F49" s="455"/>
    </row>
    <row r="50" spans="2:7" hidden="1">
      <c r="B50" s="180"/>
      <c r="C50" s="180"/>
      <c r="D50" s="448"/>
      <c r="E50" s="448"/>
      <c r="F50" s="448"/>
      <c r="G50" s="180"/>
    </row>
    <row r="52" spans="2:7">
      <c r="B52" s="167"/>
    </row>
  </sheetData>
  <mergeCells count="1">
    <mergeCell ref="B1:G1"/>
  </mergeCells>
  <phoneticPr fontId="0" type="noConversion"/>
  <printOptions horizontalCentered="1" verticalCentered="1"/>
  <pageMargins left="1" right="1" top="1" bottom="1" header="0.511811024" footer="0.511811024"/>
  <pageSetup scale="80" orientation="landscape" horizontalDpi="300" verticalDpi="300"/>
  <headerFooter alignWithMargins="0">
    <oddHeader>&amp;A</oddHeader>
    <oddFooter>&amp;CCia.Modelo - EVA&amp;RPágina &amp;P</oddFooter>
  </headerFooter>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dimension ref="A1:H44"/>
  <sheetViews>
    <sheetView showGridLines="0" zoomScale="75" zoomScaleNormal="75" zoomScalePageLayoutView="75" workbookViewId="0">
      <selection activeCell="C8" sqref="C8"/>
    </sheetView>
  </sheetViews>
  <sheetFormatPr baseColWidth="10" defaultColWidth="8.88671875" defaultRowHeight="15"/>
  <cols>
    <col min="1" max="1" width="3.6640625" style="38" customWidth="1"/>
    <col min="2" max="2" width="35.33203125" style="38" customWidth="1"/>
    <col min="3" max="3" width="13" style="38" customWidth="1"/>
    <col min="4" max="4" width="12.109375" style="38" customWidth="1"/>
    <col min="5" max="5" width="12.88671875" style="38" bestFit="1" customWidth="1"/>
    <col min="6" max="6" width="12.109375" style="38" customWidth="1"/>
    <col min="7" max="7" width="12.88671875" style="38" bestFit="1" customWidth="1"/>
    <col min="8" max="8" width="12.109375" style="38" customWidth="1"/>
    <col min="9" max="16384" width="8.88671875" style="38"/>
  </cols>
  <sheetData>
    <row r="1" spans="1:8" ht="15.75">
      <c r="A1" s="88" t="str">
        <f>+Balance!A1</f>
        <v>Compañía Modelo - EVA</v>
      </c>
      <c r="D1" s="388"/>
      <c r="E1" s="388"/>
      <c r="F1" s="388"/>
      <c r="G1" s="388"/>
      <c r="H1" s="388"/>
    </row>
    <row r="2" spans="1:8" ht="15.75">
      <c r="A2" s="389" t="s">
        <v>224</v>
      </c>
      <c r="D2" s="388"/>
      <c r="E2" s="388"/>
      <c r="F2" s="388"/>
      <c r="G2" s="388"/>
      <c r="H2" s="388"/>
    </row>
    <row r="4" spans="1:8" ht="16.5" thickBot="1">
      <c r="B4" s="388"/>
      <c r="C4" s="390" t="str">
        <f>Indicadores!B4</f>
        <v>2014P</v>
      </c>
      <c r="D4" s="390" t="str">
        <f>Indicadores!C4</f>
        <v>2015P</v>
      </c>
      <c r="E4" s="390" t="str">
        <f>Indicadores!D4</f>
        <v>2016P</v>
      </c>
      <c r="F4" s="390" t="str">
        <f>Indicadores!E4</f>
        <v>2017P</v>
      </c>
      <c r="G4" s="390" t="str">
        <f>Indicadores!F4</f>
        <v>2018P</v>
      </c>
      <c r="H4" s="390" t="str">
        <f>Indicadores!G4</f>
        <v>2019P</v>
      </c>
    </row>
    <row r="6" spans="1:8" ht="15.75">
      <c r="A6" s="88" t="s">
        <v>120</v>
      </c>
    </row>
    <row r="7" spans="1:8" ht="15.75">
      <c r="A7" s="88" t="s">
        <v>225</v>
      </c>
    </row>
    <row r="8" spans="1:8">
      <c r="B8" s="388" t="s">
        <v>81</v>
      </c>
      <c r="C8" s="392">
        <f>Indicadores!B16</f>
        <v>78675354.751366884</v>
      </c>
      <c r="D8" s="392">
        <f>Indicadores!C16</f>
        <v>91610534.029231817</v>
      </c>
      <c r="E8" s="392">
        <f>Indicadores!D16</f>
        <v>105115509.02207437</v>
      </c>
      <c r="F8" s="392">
        <f>Indicadores!E16</f>
        <v>114485376.21617386</v>
      </c>
      <c r="G8" s="392">
        <f>Indicadores!F16</f>
        <v>114485376.21617386</v>
      </c>
      <c r="H8" s="392">
        <f>Indicadores!G16</f>
        <v>114485376.21617386</v>
      </c>
    </row>
    <row r="9" spans="1:8" ht="15.75" thickBot="1">
      <c r="B9" s="400" t="s">
        <v>226</v>
      </c>
      <c r="C9" s="392">
        <f>Indicadores!B26</f>
        <v>309303080.22330856</v>
      </c>
      <c r="D9" s="392">
        <f>Indicadores!C26</f>
        <v>336757524.85819107</v>
      </c>
      <c r="E9" s="392">
        <f>Indicadores!D26</f>
        <v>357045743.90764642</v>
      </c>
      <c r="F9" s="392">
        <f>Indicadores!E26</f>
        <v>388757115.28696412</v>
      </c>
      <c r="G9" s="392">
        <f>Indicadores!F26</f>
        <v>404338102.18794841</v>
      </c>
      <c r="H9" s="392">
        <f>Indicadores!G26</f>
        <v>415030427.05701351</v>
      </c>
    </row>
    <row r="10" spans="1:8" ht="15.75">
      <c r="B10" s="401" t="s">
        <v>124</v>
      </c>
      <c r="C10" s="402">
        <f t="shared" ref="C10:H10" si="0">SUM(C8:C9)</f>
        <v>387978434.97467542</v>
      </c>
      <c r="D10" s="402">
        <f t="shared" si="0"/>
        <v>428368058.88742292</v>
      </c>
      <c r="E10" s="402">
        <f t="shared" si="0"/>
        <v>462161252.92972076</v>
      </c>
      <c r="F10" s="402">
        <f t="shared" si="0"/>
        <v>503242491.50313795</v>
      </c>
      <c r="G10" s="402">
        <f t="shared" si="0"/>
        <v>518823478.40412223</v>
      </c>
      <c r="H10" s="402">
        <f t="shared" si="0"/>
        <v>529515803.2731874</v>
      </c>
    </row>
    <row r="11" spans="1:8">
      <c r="B11" s="388"/>
      <c r="C11" s="392"/>
      <c r="D11" s="392"/>
      <c r="E11" s="392"/>
      <c r="F11" s="392"/>
      <c r="G11" s="392"/>
      <c r="H11" s="392"/>
    </row>
    <row r="12" spans="1:8" ht="15.75">
      <c r="A12" s="37" t="s">
        <v>227</v>
      </c>
      <c r="B12" s="388"/>
      <c r="C12" s="392">
        <f>KWOp.!H29-Indicadores!B18</f>
        <v>-3517639.4643158019</v>
      </c>
      <c r="D12" s="392">
        <f>KWOp.!I29-Indicadores!C18</f>
        <v>-5102413.7010380924</v>
      </c>
      <c r="E12" s="392">
        <f>KWOp.!J29-Indicadores!D18</f>
        <v>-6642810.3528321385</v>
      </c>
      <c r="F12" s="392">
        <f>KWOp.!K29-Indicadores!E18</f>
        <v>-7715769.8995760009</v>
      </c>
      <c r="G12" s="392">
        <f>KWOp.!L29-Indicadores!F18</f>
        <v>-7800934.0809393227</v>
      </c>
      <c r="H12" s="392">
        <f>KWOp.!M29-Indicadores!G18</f>
        <v>-7823168.7584638819</v>
      </c>
    </row>
    <row r="13" spans="1:8" ht="15.75">
      <c r="A13" s="37" t="s">
        <v>228</v>
      </c>
      <c r="B13" s="388"/>
      <c r="C13" s="392">
        <f>Indicadores!B17</f>
        <v>-26749620.615464743</v>
      </c>
      <c r="D13" s="392">
        <f>Indicadores!C17</f>
        <v>-31147581.56993882</v>
      </c>
      <c r="E13" s="392">
        <f>Indicadores!D17</f>
        <v>-34688117.977284543</v>
      </c>
      <c r="F13" s="392">
        <f>Indicadores!E17</f>
        <v>-37780174.151337378</v>
      </c>
      <c r="G13" s="392">
        <f>Indicadores!F17</f>
        <v>-37780174.151337378</v>
      </c>
      <c r="H13" s="392">
        <f>Indicadores!G17</f>
        <v>-37780174.151337378</v>
      </c>
    </row>
    <row r="14" spans="1:8" ht="15.75">
      <c r="A14" s="37" t="s">
        <v>229</v>
      </c>
      <c r="B14" s="388"/>
      <c r="C14" s="392">
        <f>-Indicadores!B23</f>
        <v>-171123370.2949622</v>
      </c>
      <c r="D14" s="392">
        <f>-Indicadores!C23</f>
        <v>-144218807.67290846</v>
      </c>
      <c r="E14" s="392">
        <f>-Indicadores!D23</f>
        <v>-132090578.6250812</v>
      </c>
      <c r="F14" s="392">
        <f>-Indicadores!E23</f>
        <v>-106137283.19881326</v>
      </c>
      <c r="G14" s="392">
        <f>-Indicadores!F23</f>
        <v>-90904736.140154213</v>
      </c>
      <c r="H14" s="392">
        <f>-Indicadores!G23</f>
        <v>-99799153.202089816</v>
      </c>
    </row>
    <row r="15" spans="1:8" ht="15.75" thickBot="1">
      <c r="B15" s="388"/>
      <c r="C15" s="392"/>
      <c r="D15" s="392"/>
      <c r="E15" s="392"/>
      <c r="F15" s="392"/>
      <c r="G15" s="392"/>
      <c r="H15" s="392"/>
    </row>
    <row r="16" spans="1:8" ht="17.25" thickTop="1" thickBot="1">
      <c r="A16" s="403" t="s">
        <v>120</v>
      </c>
      <c r="B16" s="403"/>
      <c r="C16" s="404">
        <f t="shared" ref="C16:H16" si="1">SUM(C10:C15)</f>
        <v>186587804.5999327</v>
      </c>
      <c r="D16" s="404">
        <f t="shared" si="1"/>
        <v>247899255.9435375</v>
      </c>
      <c r="E16" s="404">
        <f t="shared" si="1"/>
        <v>288739745.97452289</v>
      </c>
      <c r="F16" s="404">
        <f t="shared" si="1"/>
        <v>351609264.25341129</v>
      </c>
      <c r="G16" s="404">
        <f t="shared" si="1"/>
        <v>382337634.03169131</v>
      </c>
      <c r="H16" s="404">
        <f t="shared" si="1"/>
        <v>384113307.16129637</v>
      </c>
    </row>
    <row r="17" spans="1:8" ht="15.75" thickTop="1">
      <c r="B17" s="388"/>
      <c r="C17" s="89"/>
      <c r="D17" s="388"/>
      <c r="E17" s="388"/>
      <c r="F17" s="388"/>
      <c r="G17" s="388"/>
      <c r="H17" s="388"/>
    </row>
    <row r="18" spans="1:8" ht="15.75">
      <c r="A18" s="88" t="s">
        <v>133</v>
      </c>
      <c r="B18" s="60"/>
    </row>
    <row r="19" spans="1:8" ht="15.75">
      <c r="A19" s="88" t="s">
        <v>134</v>
      </c>
      <c r="B19" s="60"/>
    </row>
    <row r="20" spans="1:8">
      <c r="A20" s="60"/>
      <c r="B20" s="60" t="s">
        <v>230</v>
      </c>
      <c r="C20" s="393" t="e">
        <f>-Proy.WACC!#REF!*((Balance!H31+Balance!H44+AnalVr.Proy.!C14)/2)</f>
        <v>#REF!</v>
      </c>
      <c r="D20" s="393" t="e">
        <f>-Proy.WACC!#REF!*((Balance!I31+Balance!I44+AnalVr.Proy.!D14)/2)</f>
        <v>#REF!</v>
      </c>
      <c r="E20" s="393" t="e">
        <f>-Proy.WACC!#REF!*((Balance!J31+Balance!J44+AnalVr.Proy.!E14)/2)</f>
        <v>#REF!</v>
      </c>
      <c r="F20" s="393" t="e">
        <f>-Proy.WACC!#REF!*((Balance!K31+Balance!K44+AnalVr.Proy.!F14)/2)</f>
        <v>#REF!</v>
      </c>
      <c r="G20" s="393" t="e">
        <f>-Proy.WACC!#REF!*((Balance!L31+Balance!L44+AnalVr.Proy.!G14)/2)</f>
        <v>#REF!</v>
      </c>
      <c r="H20" s="393" t="e">
        <f>-Proy.WACC!#REF!*((Balance!M31+Balance!M44+AnalVr.Proy.!H14)/2)</f>
        <v>#REF!</v>
      </c>
    </row>
    <row r="21" spans="1:8">
      <c r="A21" s="60"/>
      <c r="B21" s="60" t="s">
        <v>231</v>
      </c>
      <c r="C21" s="393" t="e">
        <f>-Proy.WACC!#REF!*((Balance!H32+Balance!H45+AnalVr.Proy.!C14)/2)</f>
        <v>#REF!</v>
      </c>
      <c r="D21" s="393" t="e">
        <f>-Proy.WACC!#REF!*((Balance!I32+Balance!I45+AnalVr.Proy.!D14)/2)</f>
        <v>#REF!</v>
      </c>
      <c r="E21" s="393" t="e">
        <f>-Proy.WACC!#REF!*((Balance!J32+Balance!J45+AnalVr.Proy.!E14)/2)</f>
        <v>#REF!</v>
      </c>
      <c r="F21" s="393" t="e">
        <f>-Proy.WACC!#REF!*((Balance!K32+Balance!K45+AnalVr.Proy.!F14)/2)</f>
        <v>#REF!</v>
      </c>
      <c r="G21" s="393" t="e">
        <f>-Proy.WACC!#REF!*((Balance!L32+Balance!L45+AnalVr.Proy.!G14)/2)</f>
        <v>#REF!</v>
      </c>
      <c r="H21" s="393" t="e">
        <f>-Proy.WACC!#REF!*((Balance!M32+Balance!M45+AnalVr.Proy.!H14)/2)</f>
        <v>#REF!</v>
      </c>
    </row>
    <row r="22" spans="1:8" ht="15.75" thickBot="1">
      <c r="A22" s="60"/>
      <c r="B22" s="60" t="s">
        <v>136</v>
      </c>
      <c r="C22" s="393" t="e">
        <f>(C20+C21)*-Indicadores!B10</f>
        <v>#REF!</v>
      </c>
      <c r="D22" s="393" t="e">
        <f>(D20+D21)*-Indicadores!C10</f>
        <v>#REF!</v>
      </c>
      <c r="E22" s="393" t="e">
        <f>(E20+E21)*-Indicadores!D10</f>
        <v>#REF!</v>
      </c>
      <c r="F22" s="393" t="e">
        <f>(F20+F21)*-Indicadores!E10</f>
        <v>#REF!</v>
      </c>
      <c r="G22" s="393" t="e">
        <f>(G20+G21)*-Indicadores!F10</f>
        <v>#REF!</v>
      </c>
      <c r="H22" s="393" t="e">
        <f>(H20+H21)*-Indicadores!G10</f>
        <v>#REF!</v>
      </c>
    </row>
    <row r="23" spans="1:8" ht="15.75">
      <c r="A23" s="60"/>
      <c r="B23" s="405" t="s">
        <v>137</v>
      </c>
      <c r="C23" s="406" t="e">
        <f t="shared" ref="C23:H23" si="2">SUM(C20:C22)</f>
        <v>#REF!</v>
      </c>
      <c r="D23" s="406" t="e">
        <f t="shared" si="2"/>
        <v>#REF!</v>
      </c>
      <c r="E23" s="406" t="e">
        <f t="shared" si="2"/>
        <v>#REF!</v>
      </c>
      <c r="F23" s="406" t="e">
        <f t="shared" si="2"/>
        <v>#REF!</v>
      </c>
      <c r="G23" s="406" t="e">
        <f t="shared" si="2"/>
        <v>#REF!</v>
      </c>
      <c r="H23" s="406" t="e">
        <f t="shared" si="2"/>
        <v>#REF!</v>
      </c>
    </row>
    <row r="25" spans="1:8">
      <c r="A25" s="60"/>
      <c r="B25" s="60" t="s">
        <v>138</v>
      </c>
    </row>
    <row r="26" spans="1:8">
      <c r="A26" s="60"/>
      <c r="B26" s="60" t="s">
        <v>232</v>
      </c>
      <c r="C26" s="393">
        <f>+AnalVr.Proy.!C14-AnalVr.!M12</f>
        <v>1522462456241542.2</v>
      </c>
      <c r="D26" s="393">
        <f>+AnalVr.Proy.!D14-AnalVr.!N12</f>
        <v>508255768887440.44</v>
      </c>
      <c r="E26" s="393">
        <f>+AnalVr.Proy.!E14-AnalVr.!O12</f>
        <v>-2090836889821995.7</v>
      </c>
      <c r="F26" s="393">
        <f>+AnalVr.Proy.!F14-AnalVr.!P12</f>
        <v>-4501441322671417</v>
      </c>
      <c r="G26" s="393">
        <f>+AnalVr.Proy.!G14-AnalVr.!Q12</f>
        <v>-2204542583521931.2</v>
      </c>
      <c r="H26" s="393">
        <f>+AnalVr.Proy.!H14-AnalVr.!R12</f>
        <v>-1542523780408036.2</v>
      </c>
    </row>
    <row r="27" spans="1:8" ht="15.75" thickBot="1">
      <c r="A27" s="60"/>
      <c r="B27" s="60" t="s">
        <v>233</v>
      </c>
      <c r="C27" s="393">
        <f>+AnalVr.Proy.!C15-AnalVr.!M12</f>
        <v>4784776583615719</v>
      </c>
      <c r="D27" s="393">
        <f>+AnalVr.Proy.!D15-AnalVr.!N12</f>
        <v>1566257573510275.7</v>
      </c>
      <c r="E27" s="393">
        <f>+AnalVr.Proy.!E15-AnalVr.!O12</f>
        <v>-6443190816000829</v>
      </c>
      <c r="F27" s="393">
        <f>+AnalVr.Proy.!F15-AnalVr.!P12</f>
        <v>-1.3871788565783348E+16</v>
      </c>
      <c r="G27" s="393">
        <f>+AnalVr.Proy.!G15-AnalVr.!Q12</f>
        <v>-6793590011212691</v>
      </c>
      <c r="H27" s="393">
        <f>+AnalVr.Proy.!H15-AnalVr.!R12</f>
        <v>-4753491649828847</v>
      </c>
    </row>
    <row r="28" spans="1:8" ht="15.75">
      <c r="A28" s="60"/>
      <c r="B28" s="405" t="s">
        <v>139</v>
      </c>
      <c r="C28" s="406">
        <f t="shared" ref="C28:H28" si="3">SUM(C26:C27)</f>
        <v>6307239039857261</v>
      </c>
      <c r="D28" s="406">
        <f t="shared" si="3"/>
        <v>2074513342397716.2</v>
      </c>
      <c r="E28" s="406">
        <f t="shared" si="3"/>
        <v>-8534027705822825</v>
      </c>
      <c r="F28" s="406">
        <f t="shared" si="3"/>
        <v>-1.8373229888454764E+16</v>
      </c>
      <c r="G28" s="406">
        <f t="shared" si="3"/>
        <v>-8998132594734622</v>
      </c>
      <c r="H28" s="406">
        <f t="shared" si="3"/>
        <v>-6296015430236883</v>
      </c>
    </row>
    <row r="30" spans="1:8" ht="15.75">
      <c r="A30" s="88" t="s">
        <v>140</v>
      </c>
      <c r="B30" s="60"/>
    </row>
    <row r="31" spans="1:8" ht="15.75">
      <c r="A31" s="88"/>
      <c r="B31" s="60" t="s">
        <v>141</v>
      </c>
      <c r="C31" s="393">
        <v>0</v>
      </c>
      <c r="D31" s="393">
        <v>0</v>
      </c>
      <c r="E31" s="393">
        <v>0</v>
      </c>
      <c r="F31" s="393">
        <v>0</v>
      </c>
      <c r="G31" s="393">
        <v>0</v>
      </c>
      <c r="H31" s="393">
        <v>0</v>
      </c>
    </row>
    <row r="33" spans="1:8" ht="15.75">
      <c r="A33" s="88" t="s">
        <v>142</v>
      </c>
      <c r="B33" s="60"/>
    </row>
    <row r="34" spans="1:8">
      <c r="A34" s="60"/>
      <c r="B34" s="60" t="s">
        <v>143</v>
      </c>
      <c r="C34" s="393"/>
      <c r="D34" s="393"/>
      <c r="E34" s="393"/>
      <c r="F34" s="393"/>
      <c r="G34" s="393"/>
      <c r="H34" s="393"/>
    </row>
    <row r="35" spans="1:8" ht="15.75" thickBot="1">
      <c r="A35" s="60"/>
      <c r="B35" s="60" t="s">
        <v>144</v>
      </c>
      <c r="C35" s="393">
        <f t="shared" ref="C35:H35" si="4">-C44*(B8+B13+B23)</f>
        <v>0</v>
      </c>
      <c r="D35" s="393" t="e">
        <f t="shared" si="4"/>
        <v>#REF!</v>
      </c>
      <c r="E35" s="393" t="e">
        <f t="shared" si="4"/>
        <v>#REF!</v>
      </c>
      <c r="F35" s="393" t="e">
        <f t="shared" si="4"/>
        <v>#REF!</v>
      </c>
      <c r="G35" s="393" t="e">
        <f t="shared" si="4"/>
        <v>#REF!</v>
      </c>
      <c r="H35" s="393" t="e">
        <f t="shared" si="4"/>
        <v>#REF!</v>
      </c>
    </row>
    <row r="36" spans="1:8" ht="15.75">
      <c r="A36" s="60"/>
      <c r="B36" s="405" t="s">
        <v>145</v>
      </c>
      <c r="C36" s="406">
        <f t="shared" ref="C36:H36" si="5">SUM(C34:C35)</f>
        <v>0</v>
      </c>
      <c r="D36" s="406" t="e">
        <f t="shared" si="5"/>
        <v>#REF!</v>
      </c>
      <c r="E36" s="406" t="e">
        <f t="shared" si="5"/>
        <v>#REF!</v>
      </c>
      <c r="F36" s="406" t="e">
        <f t="shared" si="5"/>
        <v>#REF!</v>
      </c>
      <c r="G36" s="406" t="e">
        <f t="shared" si="5"/>
        <v>#REF!</v>
      </c>
      <c r="H36" s="406" t="e">
        <f t="shared" si="5"/>
        <v>#REF!</v>
      </c>
    </row>
    <row r="38" spans="1:8" ht="15.75">
      <c r="A38" s="88" t="s">
        <v>146</v>
      </c>
      <c r="B38" s="60"/>
    </row>
    <row r="39" spans="1:8" ht="15.75" thickBot="1">
      <c r="A39" s="60"/>
      <c r="B39" s="60" t="s">
        <v>147</v>
      </c>
      <c r="C39" s="393" t="e">
        <f t="shared" ref="C39:H39" si="6">-(+C23+C28+C36+C16)</f>
        <v>#REF!</v>
      </c>
      <c r="D39" s="393" t="e">
        <f t="shared" si="6"/>
        <v>#REF!</v>
      </c>
      <c r="E39" s="393" t="e">
        <f t="shared" si="6"/>
        <v>#REF!</v>
      </c>
      <c r="F39" s="393" t="e">
        <f t="shared" si="6"/>
        <v>#REF!</v>
      </c>
      <c r="G39" s="393" t="e">
        <f t="shared" si="6"/>
        <v>#REF!</v>
      </c>
      <c r="H39" s="393" t="e">
        <f t="shared" si="6"/>
        <v>#REF!</v>
      </c>
    </row>
    <row r="40" spans="1:8" ht="15.75">
      <c r="A40" s="60"/>
      <c r="B40" s="405" t="s">
        <v>148</v>
      </c>
      <c r="C40" s="406" t="e">
        <f t="shared" ref="C40:H40" si="7">+C39</f>
        <v>#REF!</v>
      </c>
      <c r="D40" s="406" t="e">
        <f t="shared" si="7"/>
        <v>#REF!</v>
      </c>
      <c r="E40" s="406" t="e">
        <f t="shared" si="7"/>
        <v>#REF!</v>
      </c>
      <c r="F40" s="406" t="e">
        <f t="shared" si="7"/>
        <v>#REF!</v>
      </c>
      <c r="G40" s="406" t="e">
        <f t="shared" si="7"/>
        <v>#REF!</v>
      </c>
      <c r="H40" s="406" t="e">
        <f t="shared" si="7"/>
        <v>#REF!</v>
      </c>
    </row>
    <row r="41" spans="1:8" ht="15.75" thickBot="1">
      <c r="A41" s="60"/>
      <c r="B41" s="60"/>
    </row>
    <row r="42" spans="1:8" ht="17.25" thickTop="1" thickBot="1">
      <c r="A42" s="403" t="s">
        <v>133</v>
      </c>
      <c r="B42" s="403"/>
      <c r="C42" s="403" t="e">
        <f t="shared" ref="C42:H42" si="8">+C23+C28+C31+C36+C40</f>
        <v>#REF!</v>
      </c>
      <c r="D42" s="403" t="e">
        <f t="shared" si="8"/>
        <v>#REF!</v>
      </c>
      <c r="E42" s="403" t="e">
        <f t="shared" si="8"/>
        <v>#REF!</v>
      </c>
      <c r="F42" s="403" t="e">
        <f t="shared" si="8"/>
        <v>#REF!</v>
      </c>
      <c r="G42" s="403" t="e">
        <f t="shared" si="8"/>
        <v>#REF!</v>
      </c>
      <c r="H42" s="403" t="e">
        <f t="shared" si="8"/>
        <v>#REF!</v>
      </c>
    </row>
    <row r="43" spans="1:8" ht="15.75" thickTop="1"/>
    <row r="44" spans="1:8">
      <c r="B44" s="38" t="s">
        <v>234</v>
      </c>
      <c r="C44" s="356">
        <v>0.5</v>
      </c>
      <c r="D44" s="356">
        <v>0.5</v>
      </c>
      <c r="E44" s="356">
        <v>0.5</v>
      </c>
      <c r="F44" s="356">
        <v>0.5</v>
      </c>
      <c r="G44" s="356">
        <v>0.5</v>
      </c>
      <c r="H44" s="356">
        <v>0.5</v>
      </c>
    </row>
  </sheetData>
  <phoneticPr fontId="0" type="noConversion"/>
  <printOptions horizontalCentered="1" verticalCentered="1"/>
  <pageMargins left="0.51181102362204722" right="0.51181102362204722" top="0.51181102362204722" bottom="0.51181102362204722" header="0.51181102362204722" footer="0.51181102362204722"/>
  <pageSetup scale="95" firstPageNumber="16" orientation="landscape" blackAndWhite="1" horizontalDpi="300" verticalDpi="300"/>
  <headerFooter alignWithMargins="0">
    <oddHeader>&amp;C&amp;A</oddHeader>
    <oddFooter>&amp;CCia.Modelo -  EVA&amp;RPágina &amp;P</oddFooter>
  </headerFooter>
  <rowBreaks count="1" manualBreakCount="1">
    <brk id="17" max="65535" man="1"/>
  </rowBreaks>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dimension ref="A1:L33"/>
  <sheetViews>
    <sheetView showGridLines="0" zoomScale="70" zoomScaleNormal="70" zoomScalePageLayoutView="70" workbookViewId="0">
      <selection activeCell="K22" sqref="K22"/>
    </sheetView>
  </sheetViews>
  <sheetFormatPr baseColWidth="10" defaultColWidth="8.88671875" defaultRowHeight="15"/>
  <cols>
    <col min="1" max="1" width="30.88671875" style="38" customWidth="1"/>
    <col min="2" max="4" width="14.6640625" style="38" customWidth="1"/>
    <col min="5" max="5" width="16.109375" style="38" customWidth="1"/>
    <col min="6" max="12" width="14.6640625" style="38" customWidth="1"/>
    <col min="13" max="16384" width="8.88671875" style="38"/>
  </cols>
  <sheetData>
    <row r="1" spans="1:12" ht="15.75">
      <c r="A1" s="88" t="str">
        <f>+Balance!A1</f>
        <v>Compañía Modelo - EVA</v>
      </c>
      <c r="B1" s="60"/>
      <c r="C1" s="60"/>
      <c r="D1" s="60"/>
      <c r="E1" s="60"/>
    </row>
    <row r="2" spans="1:12" ht="15.75">
      <c r="A2" s="88" t="s">
        <v>164</v>
      </c>
      <c r="B2" s="60"/>
      <c r="C2" s="60"/>
      <c r="D2" s="60"/>
      <c r="E2" s="60"/>
    </row>
    <row r="3" spans="1:12" ht="15.75">
      <c r="A3" s="88"/>
      <c r="B3" s="60"/>
      <c r="C3" s="60"/>
      <c r="D3" s="60"/>
      <c r="E3" s="60"/>
    </row>
    <row r="4" spans="1:12" ht="16.5" thickBot="1">
      <c r="A4" s="60"/>
      <c r="B4" s="390">
        <f>'KWOp.%'!$C$4</f>
        <v>2009</v>
      </c>
      <c r="C4" s="390">
        <f>B4+1</f>
        <v>2010</v>
      </c>
      <c r="D4" s="390">
        <f>C4+1</f>
        <v>2011</v>
      </c>
      <c r="E4" s="390">
        <f>D4+1</f>
        <v>2012</v>
      </c>
      <c r="F4" s="390">
        <f>E4+1</f>
        <v>2013</v>
      </c>
      <c r="G4" s="390" t="s">
        <v>342</v>
      </c>
      <c r="H4" s="390" t="s">
        <v>343</v>
      </c>
      <c r="I4" s="390" t="s">
        <v>344</v>
      </c>
      <c r="J4" s="390" t="s">
        <v>345</v>
      </c>
      <c r="K4" s="390" t="s">
        <v>346</v>
      </c>
      <c r="L4" s="390" t="s">
        <v>347</v>
      </c>
    </row>
    <row r="5" spans="1:12">
      <c r="B5" s="236"/>
      <c r="C5" s="236"/>
      <c r="D5" s="236"/>
      <c r="E5" s="236"/>
      <c r="F5" s="236"/>
      <c r="G5" s="236"/>
      <c r="H5" s="236"/>
      <c r="I5" s="236"/>
      <c r="J5" s="236"/>
      <c r="K5" s="236"/>
      <c r="L5" s="236"/>
    </row>
    <row r="6" spans="1:12" ht="15.75">
      <c r="A6" s="389" t="s">
        <v>165</v>
      </c>
      <c r="B6" s="407">
        <v>110000000</v>
      </c>
      <c r="C6" s="407">
        <f>AnalVr.!C12</f>
        <v>111061997</v>
      </c>
      <c r="D6" s="407">
        <f>AnalVr.!E12</f>
        <v>133381561</v>
      </c>
      <c r="E6" s="407">
        <f>AnalVr.!G12</f>
        <v>92094170</v>
      </c>
      <c r="F6" s="407">
        <f>AnalVr.!I12</f>
        <v>253995437</v>
      </c>
      <c r="G6" s="407">
        <f>AnalVr.!K12</f>
        <v>243905654</v>
      </c>
      <c r="H6" s="407">
        <f>AnalVr.!M12</f>
        <v>230601597.87099582</v>
      </c>
      <c r="I6" s="407">
        <f>AnalVr.!O12</f>
        <v>199794909.09526688</v>
      </c>
      <c r="J6" s="407">
        <f>AnalVr.!Q12</f>
        <v>191788135.86902109</v>
      </c>
      <c r="K6" s="407">
        <f>AnalVr.!S12</f>
        <v>158553387.89274496</v>
      </c>
      <c r="L6" s="407">
        <f>AnalVr.!U12</f>
        <v>140322651.82656536</v>
      </c>
    </row>
    <row r="7" spans="1:12" ht="15.75">
      <c r="A7" s="389" t="s">
        <v>81</v>
      </c>
      <c r="B7" s="407">
        <f>+Imptos.!C10</f>
        <v>8462932</v>
      </c>
      <c r="C7" s="407">
        <f>+Imptos.!D10</f>
        <v>10135788</v>
      </c>
      <c r="D7" s="407">
        <f>+Imptos.!E10</f>
        <v>10863860</v>
      </c>
      <c r="E7" s="407">
        <f>+Imptos.!F10</f>
        <v>8222416</v>
      </c>
      <c r="F7" s="407">
        <f>+Imptos.!G10</f>
        <v>18623838</v>
      </c>
      <c r="G7" s="407">
        <f>+Imptos.!H10</f>
        <v>36816122.26756689</v>
      </c>
      <c r="H7" s="407">
        <f>+Imptos.!I10</f>
        <v>48282042.485250436</v>
      </c>
      <c r="I7" s="407">
        <f>+Imptos.!J10</f>
        <v>60175197.592656881</v>
      </c>
      <c r="J7" s="407">
        <f>+Imptos.!K10</f>
        <v>67837332.952438518</v>
      </c>
      <c r="K7" s="407">
        <f>+Imptos.!L10</f>
        <v>67837332.952438518</v>
      </c>
      <c r="L7" s="407">
        <f>+Imptos.!M10</f>
        <v>67837332.952438518</v>
      </c>
    </row>
    <row r="8" spans="1:12" ht="15.75">
      <c r="A8" s="389" t="s">
        <v>161</v>
      </c>
      <c r="B8" s="407">
        <f>AnalVr.!C28</f>
        <v>7757164.9219791563</v>
      </c>
      <c r="C8" s="407">
        <f>AnalVr.!E28</f>
        <v>7818140.8869156884</v>
      </c>
      <c r="D8" s="407">
        <f>AnalVr.!G28</f>
        <v>15273886.089689465</v>
      </c>
      <c r="E8" s="407">
        <f>AnalVr.!I28</f>
        <v>3384038</v>
      </c>
      <c r="F8" s="407">
        <f>AnalVr.!K28</f>
        <v>10744480.382325683</v>
      </c>
      <c r="G8" s="407">
        <f>AnalVr.!M28</f>
        <v>19700168.965318408</v>
      </c>
      <c r="H8" s="407">
        <f>AnalVr.!O28</f>
        <v>33140211.71696398</v>
      </c>
      <c r="I8" s="407">
        <f>AnalVr.!Q28</f>
        <v>40981555.659228891</v>
      </c>
      <c r="J8" s="407">
        <f>AnalVr.!S28</f>
        <v>45552865.531978764</v>
      </c>
      <c r="K8" s="407">
        <f>AnalVr.!U28</f>
        <v>44571210.63608402</v>
      </c>
      <c r="L8" s="407">
        <f>+AnalVr.!W28</f>
        <v>44510876.100482374</v>
      </c>
    </row>
    <row r="9" spans="1:12" ht="15.75">
      <c r="A9" s="389"/>
      <c r="B9" s="407"/>
      <c r="C9" s="236"/>
      <c r="D9" s="236"/>
      <c r="E9" s="236"/>
      <c r="F9" s="236"/>
      <c r="G9" s="236"/>
      <c r="H9" s="236"/>
      <c r="I9" s="236"/>
      <c r="J9" s="236"/>
      <c r="K9" s="236"/>
      <c r="L9" s="236"/>
    </row>
    <row r="10" spans="1:12" ht="15.75">
      <c r="A10" s="389" t="s">
        <v>166</v>
      </c>
      <c r="B10" s="415"/>
      <c r="C10" s="415">
        <f t="shared" ref="C10:L10" si="0">+(C8/B8)-1</f>
        <v>7.8605992717470929E-3</v>
      </c>
      <c r="D10" s="415">
        <f t="shared" si="0"/>
        <v>0.95364682097908848</v>
      </c>
      <c r="E10" s="415">
        <f t="shared" si="0"/>
        <v>-0.77844289396106126</v>
      </c>
      <c r="F10" s="415">
        <f t="shared" si="0"/>
        <v>2.1750472016938587</v>
      </c>
      <c r="G10" s="415">
        <f t="shared" si="0"/>
        <v>0.83351528080636994</v>
      </c>
      <c r="H10" s="415">
        <f t="shared" si="0"/>
        <v>0.6822298212419593</v>
      </c>
      <c r="I10" s="415">
        <f t="shared" si="0"/>
        <v>0.2366111601589751</v>
      </c>
      <c r="J10" s="415">
        <f t="shared" si="0"/>
        <v>0.11154554284765017</v>
      </c>
      <c r="K10" s="415">
        <f t="shared" si="0"/>
        <v>-2.1549794605250638E-2</v>
      </c>
      <c r="L10" s="415">
        <f t="shared" si="0"/>
        <v>-1.3536660714528193E-3</v>
      </c>
    </row>
    <row r="11" spans="1:12" ht="15.75">
      <c r="A11" s="389" t="s">
        <v>167</v>
      </c>
      <c r="B11" s="415"/>
      <c r="C11" s="415">
        <f t="shared" ref="C11:L11" si="1">+(C7/B7)-1</f>
        <v>0.1976686094133806</v>
      </c>
      <c r="D11" s="415">
        <f t="shared" si="1"/>
        <v>7.183181021544649E-2</v>
      </c>
      <c r="E11" s="415">
        <f t="shared" si="1"/>
        <v>-0.2431404675686174</v>
      </c>
      <c r="F11" s="415">
        <f t="shared" si="1"/>
        <v>1.2650079976493527</v>
      </c>
      <c r="G11" s="415">
        <f t="shared" si="1"/>
        <v>0.97682788411104582</v>
      </c>
      <c r="H11" s="415">
        <f t="shared" si="1"/>
        <v>0.31143747661291399</v>
      </c>
      <c r="I11" s="415">
        <f t="shared" si="1"/>
        <v>0.24632667748137749</v>
      </c>
      <c r="J11" s="415">
        <f t="shared" si="1"/>
        <v>0.12733045617313676</v>
      </c>
      <c r="K11" s="415">
        <f t="shared" si="1"/>
        <v>0</v>
      </c>
      <c r="L11" s="415">
        <f t="shared" si="1"/>
        <v>0</v>
      </c>
    </row>
    <row r="12" spans="1:12" ht="15.75" thickBot="1">
      <c r="A12" s="388"/>
      <c r="B12" s="235"/>
      <c r="C12" s="235"/>
      <c r="D12" s="235"/>
      <c r="E12" s="235"/>
      <c r="F12" s="235"/>
      <c r="G12" s="235"/>
      <c r="H12" s="235"/>
      <c r="I12" s="235"/>
      <c r="J12" s="235"/>
      <c r="K12" s="235"/>
      <c r="L12" s="235"/>
    </row>
    <row r="13" spans="1:12" ht="17.25" thickTop="1" thickBot="1">
      <c r="A13" s="409" t="s">
        <v>163</v>
      </c>
      <c r="B13" s="414">
        <f t="shared" ref="B13:G13" si="2">B8/B6</f>
        <v>7.0519681108901416E-2</v>
      </c>
      <c r="C13" s="414">
        <f t="shared" si="2"/>
        <v>7.0394384200706275E-2</v>
      </c>
      <c r="D13" s="414">
        <f t="shared" si="2"/>
        <v>0.11451272556099014</v>
      </c>
      <c r="E13" s="414">
        <f t="shared" si="2"/>
        <v>3.6745409617134288E-2</v>
      </c>
      <c r="F13" s="414">
        <f t="shared" si="2"/>
        <v>4.2301863802087447E-2</v>
      </c>
      <c r="G13" s="414">
        <f t="shared" si="2"/>
        <v>8.0769628101029625E-2</v>
      </c>
      <c r="H13" s="414">
        <f>H8/H6</f>
        <v>0.14371197781336895</v>
      </c>
      <c r="I13" s="414">
        <f>I8/I6</f>
        <v>0.20511811759772081</v>
      </c>
      <c r="J13" s="414">
        <f>J8/J6</f>
        <v>0.23751659781024426</v>
      </c>
      <c r="K13" s="414">
        <f>K8/K6</f>
        <v>0.28111168880374016</v>
      </c>
      <c r="L13" s="414">
        <f>L8/L6</f>
        <v>0.31720378371623492</v>
      </c>
    </row>
    <row r="14" spans="1:12" ht="15.75" thickTop="1">
      <c r="A14" s="388"/>
      <c r="B14" s="235"/>
      <c r="C14" s="235"/>
      <c r="D14" s="235"/>
      <c r="E14" s="235"/>
      <c r="F14" s="235"/>
      <c r="G14" s="235"/>
      <c r="H14" s="235"/>
      <c r="I14" s="235"/>
      <c r="J14" s="235"/>
      <c r="K14" s="235"/>
      <c r="L14" s="235"/>
    </row>
    <row r="15" spans="1:12">
      <c r="A15" s="388" t="s">
        <v>168</v>
      </c>
      <c r="B15" s="415">
        <f>+C15</f>
        <v>0.11218780629997595</v>
      </c>
      <c r="C15" s="415">
        <f>+D15</f>
        <v>0.11218780629997595</v>
      </c>
      <c r="D15" s="415">
        <f>+E15</f>
        <v>0.11218780629997595</v>
      </c>
      <c r="E15" s="415">
        <f>+F15</f>
        <v>0.11218780629997595</v>
      </c>
      <c r="F15" s="415">
        <f>+Proy.WACC!B42</f>
        <v>0.11218780629997595</v>
      </c>
      <c r="G15" s="415">
        <f>+Proy.WACC!C42</f>
        <v>0.1133831017411461</v>
      </c>
      <c r="H15" s="415">
        <f>+Proy.WACC!D42</f>
        <v>0.11446282306240972</v>
      </c>
      <c r="I15" s="415">
        <f>+Proy.WACC!E42</f>
        <v>0.11468661489353074</v>
      </c>
      <c r="J15" s="415">
        <f>+Proy.WACC!F42</f>
        <v>0.11681866159362198</v>
      </c>
      <c r="K15" s="415">
        <f>+Proy.WACC!G42</f>
        <v>0.11736976758800426</v>
      </c>
      <c r="L15" s="415">
        <f>+Proy.WACC!H42</f>
        <v>0.1181023275080117</v>
      </c>
    </row>
    <row r="16" spans="1:12">
      <c r="A16" s="388" t="s">
        <v>169</v>
      </c>
      <c r="B16" s="415">
        <f t="shared" ref="B16:L16" si="3">+B13-B15</f>
        <v>-4.1668125191074531E-2</v>
      </c>
      <c r="C16" s="415">
        <f t="shared" si="3"/>
        <v>-4.1793422099269673E-2</v>
      </c>
      <c r="D16" s="415">
        <f t="shared" si="3"/>
        <v>2.3249192610141911E-3</v>
      </c>
      <c r="E16" s="415">
        <f t="shared" si="3"/>
        <v>-7.5442396682841667E-2</v>
      </c>
      <c r="F16" s="415">
        <f t="shared" si="3"/>
        <v>-6.9885942497888501E-2</v>
      </c>
      <c r="G16" s="415">
        <f t="shared" si="3"/>
        <v>-3.2613473640116478E-2</v>
      </c>
      <c r="H16" s="415">
        <f t="shared" si="3"/>
        <v>2.9249154750959225E-2</v>
      </c>
      <c r="I16" s="415">
        <f t="shared" si="3"/>
        <v>9.0431502704190064E-2</v>
      </c>
      <c r="J16" s="415">
        <f t="shared" si="3"/>
        <v>0.12069793621662228</v>
      </c>
      <c r="K16" s="415">
        <f t="shared" si="3"/>
        <v>0.16374192121573589</v>
      </c>
      <c r="L16" s="415">
        <f t="shared" si="3"/>
        <v>0.19910145620822323</v>
      </c>
    </row>
    <row r="17" spans="1:12" ht="15.75" thickBot="1">
      <c r="A17" s="388"/>
      <c r="B17" s="408"/>
      <c r="C17" s="408"/>
      <c r="D17" s="408"/>
      <c r="E17" s="408"/>
      <c r="F17" s="408"/>
      <c r="G17" s="408"/>
      <c r="H17" s="408"/>
      <c r="I17" s="408"/>
      <c r="J17" s="408"/>
      <c r="K17" s="408"/>
      <c r="L17" s="408"/>
    </row>
    <row r="18" spans="1:12" ht="17.25" thickTop="1" thickBot="1">
      <c r="A18" s="409" t="s">
        <v>170</v>
      </c>
      <c r="B18" s="410">
        <f t="shared" ref="B18:G18" si="4">+B6*B16</f>
        <v>-4583493.7710181987</v>
      </c>
      <c r="C18" s="410">
        <f t="shared" si="4"/>
        <v>-4641660.9198088218</v>
      </c>
      <c r="D18" s="410">
        <f t="shared" si="4"/>
        <v>310101.36023303925</v>
      </c>
      <c r="E18" s="410">
        <f t="shared" si="4"/>
        <v>-6947804.9053170569</v>
      </c>
      <c r="F18" s="410">
        <f t="shared" si="4"/>
        <v>-17750710.504908063</v>
      </c>
      <c r="G18" s="410">
        <f t="shared" si="4"/>
        <v>-7954610.6174043706</v>
      </c>
      <c r="H18" s="410">
        <f>+H6*H16</f>
        <v>6744901.8219472263</v>
      </c>
      <c r="I18" s="410">
        <f>+I6*I16</f>
        <v>18067753.862132035</v>
      </c>
      <c r="J18" s="410">
        <f>+J6*J16</f>
        <v>23148432.190223996</v>
      </c>
      <c r="K18" s="410">
        <f>+K6*K16</f>
        <v>25961836.348821856</v>
      </c>
      <c r="L18" s="410">
        <f>+L6*L16</f>
        <v>27938444.317668658</v>
      </c>
    </row>
    <row r="19" spans="1:12" ht="15.75" thickTop="1">
      <c r="A19" s="388"/>
      <c r="B19" s="235"/>
      <c r="C19" s="235"/>
      <c r="D19" s="235"/>
      <c r="E19" s="235"/>
      <c r="F19" s="235"/>
      <c r="G19" s="235"/>
      <c r="H19" s="235"/>
      <c r="I19" s="235"/>
      <c r="J19" s="235"/>
      <c r="K19" s="235"/>
      <c r="L19" s="235"/>
    </row>
    <row r="20" spans="1:12">
      <c r="A20" s="388" t="s">
        <v>171</v>
      </c>
      <c r="B20" s="415">
        <f>Imptos.!C32</f>
        <v>-8.3395102078197475E-2</v>
      </c>
      <c r="C20" s="415">
        <f>Imptos.!D32</f>
        <v>-0.2286597858088894</v>
      </c>
      <c r="D20" s="415">
        <f>Imptos.!E32</f>
        <v>0.40593546765969601</v>
      </c>
      <c r="E20" s="415">
        <f>Imptos.!F32</f>
        <v>-23.281020089017201</v>
      </c>
      <c r="F20" s="415">
        <f>Imptos.!G32</f>
        <v>-0.42307915359198878</v>
      </c>
      <c r="G20" s="415">
        <f>Imptos.!H32</f>
        <v>-0.46490374998908446</v>
      </c>
      <c r="H20" s="415">
        <f>Imptos.!I32</f>
        <v>-0.31361205924360175</v>
      </c>
      <c r="I20" s="415">
        <f>Imptos.!J32</f>
        <v>-0.31896267401322459</v>
      </c>
      <c r="J20" s="415">
        <f>Imptos.!K32</f>
        <v>-0.32849857815140865</v>
      </c>
      <c r="K20" s="415">
        <f>Imptos.!L32</f>
        <v>-0.34296929586937952</v>
      </c>
      <c r="L20" s="415">
        <f>Imptos.!M32</f>
        <v>-0.34385869604146402</v>
      </c>
    </row>
    <row r="21" spans="1:12">
      <c r="B21" s="368"/>
      <c r="C21" s="368"/>
      <c r="D21" s="368"/>
      <c r="E21" s="368"/>
      <c r="F21" s="368"/>
      <c r="G21" s="368"/>
      <c r="H21" s="368"/>
      <c r="I21" s="368"/>
      <c r="J21" s="368"/>
      <c r="K21" s="368"/>
      <c r="L21" s="368"/>
    </row>
    <row r="22" spans="1:12">
      <c r="A22" s="388" t="s">
        <v>172</v>
      </c>
      <c r="B22" s="415">
        <f t="shared" ref="B22:G22" si="5">B7/B6</f>
        <v>7.6935745454545457E-2</v>
      </c>
      <c r="C22" s="415">
        <f t="shared" si="5"/>
        <v>9.1262432459232656E-2</v>
      </c>
      <c r="D22" s="415">
        <f t="shared" si="5"/>
        <v>8.1449489108918138E-2</v>
      </c>
      <c r="E22" s="415">
        <f t="shared" si="5"/>
        <v>8.9282698351046547E-2</v>
      </c>
      <c r="F22" s="415">
        <f t="shared" si="5"/>
        <v>7.3323514075569793E-2</v>
      </c>
      <c r="G22" s="415">
        <f t="shared" si="5"/>
        <v>0.15094411164231106</v>
      </c>
      <c r="H22" s="415">
        <f>H7/H6</f>
        <v>0.20937427550810203</v>
      </c>
      <c r="I22" s="415">
        <f>I7/I6</f>
        <v>0.3011848393192238</v>
      </c>
      <c r="J22" s="415">
        <f>J7/J6</f>
        <v>0.35370974666945526</v>
      </c>
      <c r="K22" s="415">
        <f>K7/K6</f>
        <v>0.42785167730586599</v>
      </c>
      <c r="L22" s="415">
        <f>L7/L6</f>
        <v>0.48343821948493004</v>
      </c>
    </row>
    <row r="23" spans="1:12">
      <c r="B23" s="368"/>
      <c r="C23" s="368"/>
      <c r="D23" s="368"/>
      <c r="E23" s="368"/>
      <c r="F23" s="368"/>
      <c r="G23" s="368"/>
      <c r="H23" s="368"/>
      <c r="I23" s="368"/>
      <c r="J23" s="368"/>
      <c r="K23" s="368"/>
      <c r="L23" s="368"/>
    </row>
    <row r="24" spans="1:12">
      <c r="A24" s="388" t="s">
        <v>173</v>
      </c>
      <c r="B24" s="415">
        <f>Resultados!C$7/B6</f>
        <v>0.74698641818181821</v>
      </c>
      <c r="C24" s="415">
        <f>Resultados!D$7/C6</f>
        <v>0.83163359650376179</v>
      </c>
      <c r="D24" s="415">
        <f>Resultados!E$7/D6</f>
        <v>0.81779783638909431</v>
      </c>
      <c r="E24" s="415">
        <f>Resultados!F$7/E6</f>
        <v>1.4460592890950643</v>
      </c>
      <c r="F24" s="415">
        <f>Resultados!G$7/F6</f>
        <v>0.74399060956358831</v>
      </c>
      <c r="G24" s="415">
        <f>Resultados!H$7/G6</f>
        <v>0.91313279122832036</v>
      </c>
      <c r="H24" s="415">
        <f>Resultados!I$7/H6</f>
        <v>1.0669557305893547</v>
      </c>
      <c r="I24" s="415">
        <f>Resultados!J$7/I6</f>
        <v>1.3479386301335101</v>
      </c>
      <c r="J24" s="415">
        <f>Resultados!K$7/J6</f>
        <v>1.5346387966190607</v>
      </c>
      <c r="K24" s="415">
        <f>Resultados!L$7/K6</f>
        <v>1.8563180386592995</v>
      </c>
      <c r="L24" s="415">
        <f>Resultados!M$7/L6</f>
        <v>2.0974911049972533</v>
      </c>
    </row>
    <row r="25" spans="1:12">
      <c r="A25" s="388" t="s">
        <v>174</v>
      </c>
      <c r="B25" s="415">
        <f>Resultados!C$7/+KWOp.!C29</f>
        <v>2.3568507255127664</v>
      </c>
      <c r="C25" s="415">
        <f>Resultados!D$7/+KWOp.!D29</f>
        <v>2.4773336955341581</v>
      </c>
      <c r="D25" s="415">
        <f>Resultados!E$7/+KWOp.!E29</f>
        <v>5.2276011627525252</v>
      </c>
      <c r="E25" s="415">
        <f>Resultados!F$7/+KWOp.!F29</f>
        <v>2.3272236857625921</v>
      </c>
      <c r="F25" s="415">
        <f>Resultados!G$7/+KWOp.!G29</f>
        <v>4.1177483331985592</v>
      </c>
      <c r="G25" s="415">
        <f>Resultados!H$7/+KWOp.!H29</f>
        <v>3.7445340876823963</v>
      </c>
      <c r="H25" s="415">
        <f>Resultados!I$7/+KWOp.!I29</f>
        <v>4.4271132741336485</v>
      </c>
      <c r="I25" s="415">
        <f>Resultados!J$7/+KWOp.!J29</f>
        <v>4.5112612392672382</v>
      </c>
      <c r="J25" s="415">
        <f>Resultados!K$7/+KWOp.!K29</f>
        <v>5.6151733470938758</v>
      </c>
      <c r="K25" s="415">
        <f>Resultados!L$7/+KWOp.!L29</f>
        <v>5.9558463757058204</v>
      </c>
      <c r="L25" s="415">
        <f>Resultados!M$7/+KWOp.!M29</f>
        <v>6.477157574704826</v>
      </c>
    </row>
    <row r="26" spans="1:12">
      <c r="A26" s="388" t="s">
        <v>175</v>
      </c>
      <c r="B26" s="415">
        <f>Resultados!C$7/AnalVr.!C9</f>
        <v>1.0783507665721195</v>
      </c>
      <c r="C26" s="415">
        <f>Resultados!D$7/AnalVr.!E9</f>
        <v>0.96112849023454372</v>
      </c>
      <c r="D26" s="415">
        <f>Resultados!E$7/AnalVr.!G9</f>
        <v>1.5314047750633475</v>
      </c>
      <c r="E26" s="415">
        <f>Resultados!F$7/AnalVr.!I9</f>
        <v>0.67679436217458</v>
      </c>
      <c r="F26" s="415">
        <f>Resultados!G$7/AnalVr.!K9</f>
        <v>0.95432750050545667</v>
      </c>
      <c r="G26" s="415">
        <f>Resultados!H$7/AnalVr.!M9</f>
        <v>1.3015069201213931</v>
      </c>
      <c r="H26" s="415">
        <f>Resultados!I$7/AnalVr.!O9</f>
        <v>1.7060305815975756</v>
      </c>
      <c r="I26" s="415">
        <f>Resultados!J$7/AnalVr.!Q9</f>
        <v>2.0388378859170713</v>
      </c>
      <c r="J26" s="415">
        <f>Resultados!K$7/AnalVr.!S9</f>
        <v>2.773064329190766</v>
      </c>
      <c r="K26" s="415">
        <f>Resultados!L$7/AnalVr.!U9</f>
        <v>3.2377357498960784</v>
      </c>
      <c r="L26" s="415">
        <f>Resultados!M$7/AnalVr.!W9</f>
        <v>2.949178470881896</v>
      </c>
    </row>
    <row r="27" spans="1:12">
      <c r="B27" s="368"/>
      <c r="C27" s="368"/>
      <c r="D27" s="368"/>
      <c r="E27" s="368"/>
      <c r="F27" s="368"/>
      <c r="G27" s="368"/>
      <c r="H27" s="368"/>
      <c r="I27" s="368"/>
      <c r="J27" s="368"/>
      <c r="K27" s="368"/>
      <c r="L27" s="368"/>
    </row>
    <row r="28" spans="1:12">
      <c r="A28" s="388" t="s">
        <v>176</v>
      </c>
      <c r="B28" s="415">
        <f>'Resultados%'!C8</f>
        <v>-0.68351426518573921</v>
      </c>
      <c r="C28" s="415">
        <f>'Resultados%'!D8</f>
        <v>-0.65694190939547059</v>
      </c>
      <c r="D28" s="415">
        <f>'Resultados%'!E8</f>
        <v>-0.68777582722681962</v>
      </c>
      <c r="E28" s="415">
        <f>'Resultados%'!F8</f>
        <v>-0.69843484029082936</v>
      </c>
      <c r="F28" s="415">
        <f>'Resultados%'!G8</f>
        <v>-0.68577791781160014</v>
      </c>
      <c r="G28" s="415">
        <f>'Resultados%'!H8</f>
        <v>-0.64674940411204795</v>
      </c>
      <c r="H28" s="415">
        <f>'Resultados%'!I8</f>
        <v>-0.62766256534910991</v>
      </c>
      <c r="I28" s="415">
        <f>'Resultados%'!J8</f>
        <v>-0.60968767979333571</v>
      </c>
      <c r="J28" s="415">
        <f>'Resultados%'!K8</f>
        <v>-0.61102462832280968</v>
      </c>
      <c r="K28" s="415">
        <f>'Resultados%'!L8</f>
        <v>-0.61102462832280968</v>
      </c>
      <c r="L28" s="415">
        <f>'Resultados%'!M8</f>
        <v>-0.61102462832280968</v>
      </c>
    </row>
    <row r="29" spans="1:12">
      <c r="A29" s="388" t="s">
        <v>177</v>
      </c>
      <c r="B29" s="415">
        <f>'Resultados%'!C12+'Resultados%'!C13</f>
        <v>-0.21522800962208075</v>
      </c>
      <c r="C29" s="415">
        <f>'Resultados%'!D12+'Resultados%'!D13</f>
        <v>-0.22969826365758506</v>
      </c>
      <c r="D29" s="415">
        <f>'Resultados%'!E12+'Resultados%'!E13</f>
        <v>-0.20969778899637945</v>
      </c>
      <c r="E29" s="415">
        <f>'Resultados%'!F12+'Resultados%'!F13</f>
        <v>-0.20850469421010751</v>
      </c>
      <c r="F29" s="415">
        <f>'Resultados%'!G12+'Resultados%'!G13</f>
        <v>-0.20478388605358028</v>
      </c>
      <c r="G29" s="415">
        <f>'Resultados%'!H12+'Resultados%'!H13</f>
        <v>-0.17846212963941688</v>
      </c>
      <c r="H29" s="415">
        <f>'Resultados%'!I12+'Resultados%'!I13</f>
        <v>-0.16721509270368731</v>
      </c>
      <c r="I29" s="415">
        <f>'Resultados%'!J12+'Resultados%'!J13</f>
        <v>-0.15844996840633208</v>
      </c>
      <c r="J29" s="415">
        <f>'Resultados%'!K12+'Resultados%'!K13</f>
        <v>-0.15049294360857229</v>
      </c>
      <c r="K29" s="415">
        <f>'Resultados%'!L12+'Resultados%'!L13</f>
        <v>-0.15049294360857229</v>
      </c>
      <c r="L29" s="415">
        <f>'Resultados%'!M12+'Resultados%'!M13</f>
        <v>-0.15049294360857229</v>
      </c>
    </row>
    <row r="30" spans="1:12" ht="15.75" thickBot="1">
      <c r="A30" s="388"/>
      <c r="B30" s="415"/>
      <c r="C30" s="415"/>
      <c r="D30" s="415"/>
      <c r="E30" s="415"/>
      <c r="F30" s="415"/>
      <c r="G30" s="415"/>
      <c r="H30" s="415"/>
      <c r="I30" s="415"/>
      <c r="J30" s="415"/>
      <c r="K30" s="415"/>
      <c r="L30" s="415"/>
    </row>
    <row r="31" spans="1:12" ht="17.25" thickTop="1" thickBot="1">
      <c r="A31" s="409" t="s">
        <v>178</v>
      </c>
      <c r="B31" s="414">
        <f>+Generadores!B9</f>
        <v>0.10299483843603047</v>
      </c>
      <c r="C31" s="414">
        <f>+Generadores!C9</f>
        <v>0.10973875134783573</v>
      </c>
      <c r="D31" s="414">
        <f>+Generadores!D9</f>
        <v>9.9596117138864446E-2</v>
      </c>
      <c r="E31" s="414">
        <f>+Generadores!E9</f>
        <v>6.1742073111621269E-2</v>
      </c>
      <c r="F31" s="414">
        <f>+Generadores!F9</f>
        <v>9.8554354225761073E-2</v>
      </c>
      <c r="G31" s="414">
        <f>+Generadores!G9</f>
        <v>0.16530357149836367</v>
      </c>
      <c r="H31" s="414">
        <f>+Generadores!H9</f>
        <v>0.19623520405335834</v>
      </c>
      <c r="I31" s="414">
        <f>+Generadores!I9</f>
        <v>0.22344106221615753</v>
      </c>
      <c r="J31" s="414">
        <f>+Generadores!J9</f>
        <v>0.23048403796952602</v>
      </c>
      <c r="K31" s="414">
        <f>+Generadores!K9</f>
        <v>0.23048403796952602</v>
      </c>
      <c r="L31" s="414">
        <f>+Generadores!L9</f>
        <v>0.23048403796952602</v>
      </c>
    </row>
    <row r="32" spans="1:12" ht="15.75" thickTop="1">
      <c r="A32" s="388"/>
      <c r="B32" s="235"/>
      <c r="C32" s="235"/>
      <c r="D32" s="235"/>
      <c r="E32" s="235"/>
      <c r="F32" s="235"/>
      <c r="G32" s="235"/>
      <c r="H32" s="235"/>
      <c r="I32" s="235"/>
      <c r="J32" s="235"/>
      <c r="K32" s="235"/>
      <c r="L32" s="235"/>
    </row>
    <row r="33" spans="2:12">
      <c r="B33" s="236"/>
      <c r="C33" s="236"/>
      <c r="D33" s="236"/>
      <c r="E33" s="236"/>
      <c r="F33" s="236"/>
      <c r="G33" s="236"/>
      <c r="H33" s="236"/>
      <c r="I33" s="236"/>
      <c r="J33" s="236"/>
      <c r="K33" s="236"/>
      <c r="L33" s="236"/>
    </row>
  </sheetData>
  <phoneticPr fontId="0" type="noConversion"/>
  <printOptions horizontalCentered="1" verticalCentered="1"/>
  <pageMargins left="0.51181102362204722" right="0.51181102362204722" top="0.51181102362204722" bottom="0.51181102362204722" header="0.51181102362204722" footer="0.27559055118110237"/>
  <pageSetup scale="95" firstPageNumber="13" orientation="landscape" blackAndWhite="1" horizontalDpi="300" verticalDpi="300"/>
  <headerFooter alignWithMargins="0">
    <oddHeader>&amp;C&amp;A</oddHeader>
    <oddFooter>&amp;CCia.Modelo -  EVA&amp;RPágina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pageSetUpPr fitToPage="1"/>
  </sheetPr>
  <dimension ref="A1:M30"/>
  <sheetViews>
    <sheetView showGridLines="0" zoomScale="70" zoomScaleNormal="70" zoomScalePageLayoutView="70" workbookViewId="0">
      <selection activeCell="C13" sqref="C13"/>
    </sheetView>
  </sheetViews>
  <sheetFormatPr baseColWidth="10" defaultColWidth="8.88671875" defaultRowHeight="15"/>
  <cols>
    <col min="1" max="1" width="3.6640625" customWidth="1"/>
    <col min="2" max="2" width="22.33203125" customWidth="1"/>
    <col min="3" max="12" width="8" customWidth="1"/>
    <col min="13" max="13" width="8" bestFit="1" customWidth="1"/>
  </cols>
  <sheetData>
    <row r="1" spans="1:13" ht="15.75">
      <c r="A1" s="1" t="str">
        <f>+Balance!A1</f>
        <v>Compañía Modelo - EVA</v>
      </c>
      <c r="B1" s="2"/>
      <c r="C1" s="2"/>
      <c r="D1" s="2"/>
      <c r="E1" s="2"/>
      <c r="F1" s="2"/>
    </row>
    <row r="2" spans="1:13" ht="15.75">
      <c r="A2" s="1" t="s">
        <v>51</v>
      </c>
      <c r="B2" s="2"/>
      <c r="C2" s="2"/>
      <c r="D2" s="2"/>
      <c r="E2" s="2"/>
      <c r="F2" s="2"/>
    </row>
    <row r="3" spans="1:13">
      <c r="A3" s="38" t="s">
        <v>287</v>
      </c>
    </row>
    <row r="4" spans="1:13">
      <c r="A4" s="38"/>
    </row>
    <row r="5" spans="1:13" ht="16.5" thickBot="1">
      <c r="A5" s="2"/>
      <c r="B5" s="2"/>
      <c r="C5" s="3">
        <f>Balance!$C$5</f>
        <v>2009</v>
      </c>
      <c r="D5" s="3">
        <f>C5+1</f>
        <v>2010</v>
      </c>
      <c r="E5" s="3">
        <f>D5+1</f>
        <v>2011</v>
      </c>
      <c r="F5" s="3">
        <f>E5+1</f>
        <v>2012</v>
      </c>
      <c r="G5" s="3">
        <f>F5+1</f>
        <v>2013</v>
      </c>
      <c r="H5" s="3" t="s">
        <v>342</v>
      </c>
      <c r="I5" s="3" t="s">
        <v>343</v>
      </c>
      <c r="J5" s="3" t="s">
        <v>344</v>
      </c>
      <c r="K5" s="3" t="s">
        <v>345</v>
      </c>
      <c r="L5" s="3" t="s">
        <v>346</v>
      </c>
      <c r="M5" s="3" t="s">
        <v>347</v>
      </c>
    </row>
    <row r="7" spans="1:13" ht="15.75">
      <c r="A7" s="1" t="s">
        <v>34</v>
      </c>
      <c r="B7" s="2"/>
      <c r="C7" s="6">
        <f>Resultados!C7/Resultados!C7</f>
        <v>1</v>
      </c>
      <c r="D7" s="6">
        <f>Resultados!D7/Resultados!D7</f>
        <v>1</v>
      </c>
      <c r="E7" s="6">
        <f>Resultados!E7/Resultados!E7</f>
        <v>1</v>
      </c>
      <c r="F7" s="6">
        <f>Resultados!F7/Resultados!F7</f>
        <v>1</v>
      </c>
      <c r="G7" s="6">
        <f>Resultados!G7/Resultados!G7</f>
        <v>1</v>
      </c>
      <c r="H7" s="6">
        <f>Resultados!H7/Resultados!H7</f>
        <v>1</v>
      </c>
      <c r="I7" s="6">
        <f>Resultados!I7/Resultados!I7</f>
        <v>1</v>
      </c>
      <c r="J7" s="6">
        <f>Resultados!J7/Resultados!J7</f>
        <v>1</v>
      </c>
      <c r="K7" s="6">
        <f>Resultados!K7/Resultados!K7</f>
        <v>1</v>
      </c>
      <c r="L7" s="6">
        <f>Resultados!L7/Resultados!L7</f>
        <v>1</v>
      </c>
      <c r="M7" s="6">
        <f>Resultados!M7/Resultados!M7</f>
        <v>1</v>
      </c>
    </row>
    <row r="8" spans="1:13" ht="15.75" thickBot="1">
      <c r="A8" s="2" t="s">
        <v>35</v>
      </c>
      <c r="B8" s="2"/>
      <c r="C8" s="6">
        <f>Resultados!C8/Resultados!C7</f>
        <v>-0.68351426518573921</v>
      </c>
      <c r="D8" s="6">
        <f>Resultados!D8/Resultados!D7</f>
        <v>-0.65694190939547059</v>
      </c>
      <c r="E8" s="6">
        <f>Resultados!E8/Resultados!E7</f>
        <v>-0.68777582722681962</v>
      </c>
      <c r="F8" s="6">
        <f>Resultados!F8/Resultados!F7</f>
        <v>-0.69843484029082936</v>
      </c>
      <c r="G8" s="6">
        <f>Resultados!G8/Resultados!G7</f>
        <v>-0.68577791781160014</v>
      </c>
      <c r="H8" s="6">
        <f>Resultados!H8/Resultados!H7</f>
        <v>-0.64674940411204795</v>
      </c>
      <c r="I8" s="6">
        <f>Resultados!I8/Resultados!I7</f>
        <v>-0.62766256534910991</v>
      </c>
      <c r="J8" s="6">
        <f>Resultados!J8/Resultados!J7</f>
        <v>-0.60968767979333571</v>
      </c>
      <c r="K8" s="6">
        <f>Resultados!K8/Resultados!K7</f>
        <v>-0.61102462832280968</v>
      </c>
      <c r="L8" s="6">
        <f>Resultados!L8/Resultados!L7</f>
        <v>-0.61102462832280968</v>
      </c>
      <c r="M8" s="6">
        <f>Resultados!M8/Resultados!M7</f>
        <v>-0.61102462832280968</v>
      </c>
    </row>
    <row r="9" spans="1:13" ht="15.75">
      <c r="A9" s="1" t="s">
        <v>36</v>
      </c>
      <c r="B9" s="2"/>
      <c r="C9" s="7">
        <f t="shared" ref="C9:M9" si="0">SUM(C7:C8)</f>
        <v>0.31648573481426079</v>
      </c>
      <c r="D9" s="7">
        <f t="shared" si="0"/>
        <v>0.34305809060452941</v>
      </c>
      <c r="E9" s="7">
        <f t="shared" si="0"/>
        <v>0.31222417277318038</v>
      </c>
      <c r="F9" s="7">
        <f t="shared" si="0"/>
        <v>0.30156515970917064</v>
      </c>
      <c r="G9" s="7">
        <f t="shared" si="0"/>
        <v>0.31422208218839986</v>
      </c>
      <c r="H9" s="7">
        <f t="shared" si="0"/>
        <v>0.35325059588795205</v>
      </c>
      <c r="I9" s="7">
        <f t="shared" si="0"/>
        <v>0.37233743465089009</v>
      </c>
      <c r="J9" s="7">
        <f t="shared" si="0"/>
        <v>0.39031232020666429</v>
      </c>
      <c r="K9" s="7">
        <f t="shared" si="0"/>
        <v>0.38897537167719032</v>
      </c>
      <c r="L9" s="7">
        <f t="shared" si="0"/>
        <v>0.38897537167719032</v>
      </c>
      <c r="M9" s="7">
        <f t="shared" si="0"/>
        <v>0.38897537167719032</v>
      </c>
    </row>
    <row r="10" spans="1:13" ht="15.75">
      <c r="A10" s="1"/>
      <c r="B10" s="2"/>
      <c r="C10" s="6"/>
      <c r="D10" s="6"/>
      <c r="E10" s="6"/>
      <c r="F10" s="6"/>
      <c r="G10" s="6"/>
      <c r="H10" s="6"/>
      <c r="I10" s="6"/>
      <c r="J10" s="6"/>
      <c r="K10" s="6"/>
      <c r="L10" s="6"/>
      <c r="M10" s="6"/>
    </row>
    <row r="11" spans="1:13" ht="15.75">
      <c r="A11" s="1" t="s">
        <v>37</v>
      </c>
      <c r="B11" s="2"/>
      <c r="C11" s="6"/>
      <c r="D11" s="6"/>
      <c r="E11" s="6"/>
      <c r="F11" s="6"/>
      <c r="G11" s="6"/>
      <c r="H11" s="6"/>
      <c r="I11" s="6"/>
      <c r="J11" s="6"/>
      <c r="K11" s="6"/>
      <c r="L11" s="6"/>
      <c r="M11" s="6"/>
    </row>
    <row r="12" spans="1:13" ht="15.75">
      <c r="A12" s="1"/>
      <c r="B12" s="2" t="s">
        <v>38</v>
      </c>
      <c r="C12" s="6">
        <f>Resultados!C12/Resultados!C7</f>
        <v>-0.16103310920609898</v>
      </c>
      <c r="D12" s="6">
        <f>Resultados!D12/Resultados!D7</f>
        <v>-0.17270431171446263</v>
      </c>
      <c r="E12" s="6">
        <f>Resultados!E12/Resultados!E7</f>
        <v>-0.15015807053578856</v>
      </c>
      <c r="F12" s="6">
        <f>Resultados!F12/Resultados!F7</f>
        <v>-0.15348667750514872</v>
      </c>
      <c r="G12" s="6">
        <f>Resultados!G12/Resultados!G7</f>
        <v>-0.15910365135839921</v>
      </c>
      <c r="H12" s="6">
        <f>Resultados!H12/Resultados!H7</f>
        <v>-0.13865337259689534</v>
      </c>
      <c r="I12" s="6">
        <f>Resultados!I12/Resultados!I7</f>
        <v>-0.12991516238943224</v>
      </c>
      <c r="J12" s="6">
        <f>Resultados!J12/Resultados!J7</f>
        <v>-0.12310523555781344</v>
      </c>
      <c r="K12" s="6">
        <f>Resultados!K12/Resultados!K7</f>
        <v>-0.1169231490486158</v>
      </c>
      <c r="L12" s="6">
        <f>Resultados!L12/Resultados!L7</f>
        <v>-0.1169231490486158</v>
      </c>
      <c r="M12" s="6">
        <f>Resultados!M12/Resultados!M7</f>
        <v>-0.1169231490486158</v>
      </c>
    </row>
    <row r="13" spans="1:13" ht="15.75">
      <c r="A13" s="1"/>
      <c r="B13" s="2" t="s">
        <v>39</v>
      </c>
      <c r="C13" s="6">
        <f>Resultados!C13/Resultados!C7</f>
        <v>-5.419490041598176E-2</v>
      </c>
      <c r="D13" s="6">
        <f>Resultados!D13/Resultados!D7</f>
        <v>-5.6993951943122435E-2</v>
      </c>
      <c r="E13" s="6">
        <f>Resultados!E13/Resultados!E7</f>
        <v>-5.953971846059089E-2</v>
      </c>
      <c r="F13" s="6">
        <f>Resultados!F13/Resultados!F7</f>
        <v>-5.5018016704958782E-2</v>
      </c>
      <c r="G13" s="6">
        <f>Resultados!G13/Resultados!G7</f>
        <v>-4.5680234695181073E-2</v>
      </c>
      <c r="H13" s="6">
        <f>Resultados!H13/Resultados!H7</f>
        <v>-3.9808757042521542E-2</v>
      </c>
      <c r="I13" s="6">
        <f>Resultados!I13/Resultados!I7</f>
        <v>-3.7299930314255075E-2</v>
      </c>
      <c r="J13" s="6">
        <f>Resultados!J13/Resultados!J7</f>
        <v>-3.5344732848518627E-2</v>
      </c>
      <c r="K13" s="6">
        <f>Resultados!K13/Resultados!K7</f>
        <v>-3.3569794559956505E-2</v>
      </c>
      <c r="L13" s="6">
        <f>Resultados!L13/Resultados!L7</f>
        <v>-3.3569794559956505E-2</v>
      </c>
      <c r="M13" s="6">
        <f>Resultados!M13/Resultados!M7</f>
        <v>-3.3569794559956505E-2</v>
      </c>
    </row>
    <row r="14" spans="1:13" ht="15.75">
      <c r="A14" s="1"/>
      <c r="B14" s="2" t="s">
        <v>46</v>
      </c>
      <c r="C14" s="6">
        <f>Resultados!C14/Resultados!C7</f>
        <v>8.3947248596682525E-3</v>
      </c>
      <c r="D14" s="6">
        <f>Resultados!D14/Resultados!D7</f>
        <v>6.3928273875541878E-3</v>
      </c>
      <c r="E14" s="6">
        <f>Resultados!E14/Resultados!E7</f>
        <v>1.0006678453092485E-2</v>
      </c>
      <c r="F14" s="6">
        <f>Resultados!F14/Resultados!F7</f>
        <v>6.2002590152419818E-3</v>
      </c>
      <c r="G14" s="6">
        <f>Resultados!G14/Resultados!G7</f>
        <v>9.3054926855670704E-3</v>
      </c>
      <c r="H14" s="6">
        <f>Resultados!H14/Resultados!H7</f>
        <v>8.1094175621601941E-3</v>
      </c>
      <c r="I14" s="6">
        <f>Resultados!I14/Resultados!I7</f>
        <v>7.5983460029831655E-3</v>
      </c>
      <c r="J14" s="6">
        <f>Resultados!J14/Resultados!J7</f>
        <v>7.2000539224442465E-3</v>
      </c>
      <c r="K14" s="6">
        <f>Resultados!K14/Resultados!K7</f>
        <v>6.8384823286956244E-3</v>
      </c>
      <c r="L14" s="6">
        <f>Resultados!L14/Resultados!L7</f>
        <v>6.8384823286956244E-3</v>
      </c>
      <c r="M14" s="6">
        <f>Resultados!M14/Resultados!M7</f>
        <v>6.8384823286956244E-3</v>
      </c>
    </row>
    <row r="15" spans="1:13" ht="15.75">
      <c r="A15" s="1"/>
      <c r="B15" s="2" t="s">
        <v>47</v>
      </c>
      <c r="C15" s="6">
        <f>Resultados!C15/Resultados!C7</f>
        <v>-6.6576116158178654E-3</v>
      </c>
      <c r="D15" s="6">
        <f>Resultados!D15/Resultados!D7</f>
        <v>-1.0013902986662781E-2</v>
      </c>
      <c r="E15" s="6">
        <f>Resultados!E15/Resultados!E7</f>
        <v>-1.2936945091028943E-2</v>
      </c>
      <c r="F15" s="6">
        <f>Resultados!F15/Resultados!F7</f>
        <v>-3.7518651402683852E-2</v>
      </c>
      <c r="G15" s="6">
        <f>Resultados!G15/Resultados!G7</f>
        <v>-2.0189334594625543E-2</v>
      </c>
      <c r="H15" s="6">
        <f>Resultados!H15/Resultados!H7</f>
        <v>-1.7594312312331644E-2</v>
      </c>
      <c r="I15" s="6">
        <f>Resultados!I15/Resultados!I7</f>
        <v>-1.648548389682758E-2</v>
      </c>
      <c r="J15" s="6">
        <f>Resultados!J15/Resultados!J7</f>
        <v>-1.5621343506618915E-2</v>
      </c>
      <c r="K15" s="6">
        <f>Resultados!K15/Resultados!K7</f>
        <v>-1.4836872427787681E-2</v>
      </c>
      <c r="L15" s="6">
        <f>Resultados!L15/Resultados!L7</f>
        <v>-1.4836872427787681E-2</v>
      </c>
      <c r="M15" s="6">
        <f>Resultados!M15/Resultados!M7</f>
        <v>-1.4836872427787681E-2</v>
      </c>
    </row>
    <row r="16" spans="1:13" ht="16.5" thickBot="1">
      <c r="A16" s="1"/>
      <c r="B16" s="2"/>
      <c r="C16" s="6"/>
      <c r="D16" s="6"/>
      <c r="E16" s="6"/>
      <c r="F16" s="6"/>
      <c r="G16" s="6"/>
      <c r="H16" s="6"/>
      <c r="I16" s="6"/>
      <c r="J16" s="6"/>
      <c r="K16" s="6"/>
      <c r="L16" s="6"/>
      <c r="M16" s="6"/>
    </row>
    <row r="17" spans="1:13" ht="15.75">
      <c r="A17" s="1" t="s">
        <v>40</v>
      </c>
      <c r="B17" s="2"/>
      <c r="C17" s="7">
        <f>SUM(C9:C15)</f>
        <v>0.10299483843603043</v>
      </c>
      <c r="D17" s="7">
        <f t="shared" ref="D17:M17" si="1">SUM(D9:D15)</f>
        <v>0.10973875134783576</v>
      </c>
      <c r="E17" s="7">
        <f t="shared" si="1"/>
        <v>9.9596117138864473E-2</v>
      </c>
      <c r="F17" s="7">
        <f t="shared" si="1"/>
        <v>6.1742073111621269E-2</v>
      </c>
      <c r="G17" s="7">
        <f t="shared" si="1"/>
        <v>9.8554354225761115E-2</v>
      </c>
      <c r="H17" s="7">
        <f t="shared" si="1"/>
        <v>0.16530357149836372</v>
      </c>
      <c r="I17" s="7">
        <f t="shared" si="1"/>
        <v>0.19623520405335837</v>
      </c>
      <c r="J17" s="7">
        <f t="shared" si="1"/>
        <v>0.22344106221615753</v>
      </c>
      <c r="K17" s="7">
        <f t="shared" si="1"/>
        <v>0.23048403796952599</v>
      </c>
      <c r="L17" s="7">
        <f t="shared" si="1"/>
        <v>0.23048403796952599</v>
      </c>
      <c r="M17" s="7">
        <f t="shared" si="1"/>
        <v>0.23048403796952599</v>
      </c>
    </row>
    <row r="18" spans="1:13" ht="15.75">
      <c r="A18" s="1"/>
      <c r="B18" s="2"/>
      <c r="C18" s="6"/>
      <c r="D18" s="6"/>
      <c r="E18" s="6"/>
      <c r="F18" s="6"/>
      <c r="G18" s="6"/>
      <c r="H18" s="6"/>
      <c r="I18" s="6"/>
      <c r="J18" s="6"/>
      <c r="K18" s="6"/>
      <c r="L18" s="6"/>
      <c r="M18" s="6"/>
    </row>
    <row r="19" spans="1:13" ht="15.75">
      <c r="A19" s="1" t="s">
        <v>41</v>
      </c>
      <c r="B19" s="2"/>
      <c r="C19" s="6"/>
      <c r="D19" s="6"/>
      <c r="E19" s="6"/>
      <c r="F19" s="6"/>
      <c r="G19" s="6"/>
      <c r="H19" s="6"/>
      <c r="I19" s="6"/>
      <c r="J19" s="6"/>
      <c r="K19" s="6"/>
      <c r="L19" s="6"/>
      <c r="M19" s="6"/>
    </row>
    <row r="20" spans="1:13" ht="15.75">
      <c r="A20" s="1"/>
      <c r="B20" s="2" t="s">
        <v>42</v>
      </c>
      <c r="C20" s="6">
        <f>Resultados!C19/Resultados!C7</f>
        <v>1.9254262697681275E-2</v>
      </c>
      <c r="D20" s="6">
        <f>Resultados!D19/Resultados!D7</f>
        <v>1.4985347794668352E-2</v>
      </c>
      <c r="E20" s="6">
        <f>Resultados!E19/Resultados!E7</f>
        <v>1.101933759074328E-2</v>
      </c>
      <c r="F20" s="6">
        <f>Resultados!F19/Resultados!F7</f>
        <v>4.2996207282177408E-2</v>
      </c>
      <c r="G20" s="6">
        <f>Resultados!G19/Resultados!G7</f>
        <v>7.1716263017527315E-2</v>
      </c>
      <c r="H20" s="6">
        <f>Resultados!H19/Resultados!H7</f>
        <v>1.1501477562862907E-2</v>
      </c>
      <c r="I20" s="6">
        <f>Resultados!I19/Resultados!I7</f>
        <v>1.0729781269250204E-2</v>
      </c>
      <c r="J20" s="6">
        <f>Resultados!J19/Resultados!J7</f>
        <v>1.0110489226490365E-2</v>
      </c>
      <c r="K20" s="6">
        <f>Resultados!K19/Resultados!K7</f>
        <v>9.5380031728630275E-3</v>
      </c>
      <c r="L20" s="6">
        <f>Resultados!L19/Resultados!L7</f>
        <v>9.5380031728630275E-3</v>
      </c>
      <c r="M20" s="6">
        <f>Resultados!M19/Resultados!M7</f>
        <v>9.5380031728630275E-3</v>
      </c>
    </row>
    <row r="21" spans="1:13" ht="15.75">
      <c r="A21" s="1"/>
      <c r="B21" s="2" t="s">
        <v>43</v>
      </c>
      <c r="C21" s="6">
        <f>Resultados!C20/Resultados!C7</f>
        <v>-2.5508824512398949E-2</v>
      </c>
      <c r="D21" s="6">
        <f>Resultados!D20/Resultados!D7</f>
        <v>-2.2386318193082053E-2</v>
      </c>
      <c r="E21" s="6">
        <f>Resultados!E20/Resultados!E7</f>
        <v>-4.0127227978449996E-2</v>
      </c>
      <c r="F21" s="6">
        <f>Resultados!F20/Resultados!F7</f>
        <v>-0.10317772369800238</v>
      </c>
      <c r="G21" s="6">
        <f>Resultados!G20/Resultados!G7</f>
        <v>-0.11296624409920251</v>
      </c>
      <c r="H21" s="6">
        <f>Resultados!H20/Resultados!H7</f>
        <v>-1.9828746693455145E-2</v>
      </c>
      <c r="I21" s="6">
        <f>Resultados!I20/Resultados!I7</f>
        <v>-1.529478129051275E-2</v>
      </c>
      <c r="J21" s="6">
        <f>Resultados!J20/Resultados!J7</f>
        <v>-1.4317026114310379E-2</v>
      </c>
      <c r="K21" s="6">
        <f>Resultados!K20/Resultados!K7</f>
        <v>-9.9161449790324523E-3</v>
      </c>
      <c r="L21" s="6">
        <f>Resultados!L20/Resultados!L7</f>
        <v>-7.8855925821530864E-3</v>
      </c>
      <c r="M21" s="6">
        <f>Resultados!M20/Resultados!M7</f>
        <v>-7.3554556511265974E-3</v>
      </c>
    </row>
    <row r="22" spans="1:13" ht="16.5" thickBot="1">
      <c r="A22" s="1"/>
      <c r="B22" s="2" t="s">
        <v>44</v>
      </c>
      <c r="C22" s="6">
        <f>Resultados!C21/Resultados!C7</f>
        <v>0</v>
      </c>
      <c r="D22" s="6">
        <f>Resultados!D21/Resultados!D7</f>
        <v>0</v>
      </c>
      <c r="E22" s="6">
        <f>Resultados!E21/Resultados!E7</f>
        <v>0</v>
      </c>
      <c r="F22" s="6">
        <f>Resultados!F21/Resultados!F7</f>
        <v>0</v>
      </c>
      <c r="G22" s="6">
        <f>Resultados!G21/Resultados!G7</f>
        <v>0</v>
      </c>
      <c r="H22" s="6">
        <f>Resultados!H21/Resultados!H7</f>
        <v>0</v>
      </c>
      <c r="I22" s="6">
        <f>Resultados!I21/Resultados!I7</f>
        <v>0</v>
      </c>
      <c r="J22" s="6">
        <f>Resultados!J21/Resultados!J7</f>
        <v>0</v>
      </c>
      <c r="K22" s="6">
        <f>Resultados!K21/Resultados!K7</f>
        <v>0</v>
      </c>
      <c r="L22" s="6">
        <f>Resultados!L21/Resultados!L7</f>
        <v>0</v>
      </c>
      <c r="M22" s="6">
        <f>Resultados!M21/Resultados!M7</f>
        <v>0</v>
      </c>
    </row>
    <row r="23" spans="1:13" ht="15.75">
      <c r="A23" s="1" t="s">
        <v>45</v>
      </c>
      <c r="B23" s="2"/>
      <c r="C23" s="8">
        <f t="shared" ref="C23:M23" si="2">SUM(C20:C22)</f>
        <v>-6.254561814717674E-3</v>
      </c>
      <c r="D23" s="8">
        <f t="shared" si="2"/>
        <v>-7.4009703984137011E-3</v>
      </c>
      <c r="E23" s="8">
        <f t="shared" si="2"/>
        <v>-2.9107890387706718E-2</v>
      </c>
      <c r="F23" s="8">
        <f t="shared" si="2"/>
        <v>-6.0181516415824969E-2</v>
      </c>
      <c r="G23" s="8">
        <f t="shared" si="2"/>
        <v>-4.1249981081675199E-2</v>
      </c>
      <c r="H23" s="8">
        <f t="shared" si="2"/>
        <v>-8.3272691305922384E-3</v>
      </c>
      <c r="I23" s="8">
        <f t="shared" si="2"/>
        <v>-4.5650000212625452E-3</v>
      </c>
      <c r="J23" s="8">
        <f t="shared" si="2"/>
        <v>-4.206536887820014E-3</v>
      </c>
      <c r="K23" s="8">
        <f t="shared" si="2"/>
        <v>-3.7814180616942486E-4</v>
      </c>
      <c r="L23" s="8">
        <f t="shared" si="2"/>
        <v>1.652410590709941E-3</v>
      </c>
      <c r="M23" s="8">
        <f t="shared" si="2"/>
        <v>2.1825475217364301E-3</v>
      </c>
    </row>
    <row r="24" spans="1:13" ht="15.75" thickBot="1">
      <c r="A24" s="2"/>
    </row>
    <row r="25" spans="1:13" ht="15.75">
      <c r="A25" s="1" t="s">
        <v>48</v>
      </c>
      <c r="B25" s="2"/>
      <c r="C25" s="7">
        <f t="shared" ref="C25:M25" si="3">C17+SUM(C23:C24)</f>
        <v>9.6740276621312751E-2</v>
      </c>
      <c r="D25" s="7">
        <f t="shared" si="3"/>
        <v>0.10233778094942206</v>
      </c>
      <c r="E25" s="7">
        <f t="shared" si="3"/>
        <v>7.0488226751157762E-2</v>
      </c>
      <c r="F25" s="7">
        <f t="shared" si="3"/>
        <v>1.5605566957963002E-3</v>
      </c>
      <c r="G25" s="7">
        <f t="shared" si="3"/>
        <v>5.7304373144085916E-2</v>
      </c>
      <c r="H25" s="7">
        <f t="shared" si="3"/>
        <v>0.15697630236777149</v>
      </c>
      <c r="I25" s="7">
        <f t="shared" si="3"/>
        <v>0.19167020403209584</v>
      </c>
      <c r="J25" s="7">
        <f t="shared" si="3"/>
        <v>0.21923452532833751</v>
      </c>
      <c r="K25" s="7">
        <f t="shared" si="3"/>
        <v>0.23010589616335655</v>
      </c>
      <c r="L25" s="7">
        <f t="shared" si="3"/>
        <v>0.23213644856023594</v>
      </c>
      <c r="M25" s="7">
        <f t="shared" si="3"/>
        <v>0.23266658549126243</v>
      </c>
    </row>
    <row r="26" spans="1:13" ht="15.75">
      <c r="A26" s="1"/>
      <c r="B26" s="2"/>
      <c r="C26" s="6"/>
      <c r="D26" s="6"/>
      <c r="E26" s="6"/>
      <c r="F26" s="6"/>
      <c r="G26" s="6"/>
      <c r="H26" s="6"/>
      <c r="I26" s="6"/>
      <c r="J26" s="6"/>
      <c r="K26" s="6"/>
      <c r="L26" s="6"/>
      <c r="M26" s="6"/>
    </row>
    <row r="27" spans="1:13" ht="15.75">
      <c r="A27" s="1" t="s">
        <v>49</v>
      </c>
      <c r="B27" s="2"/>
      <c r="C27" s="6">
        <f>Resultados!C26/Resultados!C7</f>
        <v>-2.2654519238794486E-2</v>
      </c>
      <c r="D27" s="6">
        <f>Resultados!D26/Resultados!D7</f>
        <v>-2.5313543682176764E-2</v>
      </c>
      <c r="E27" s="6">
        <f>Resultados!E26/Resultados!E7</f>
        <v>-2.2864965066835136E-2</v>
      </c>
      <c r="F27" s="6">
        <f>Resultados!F26/Resultados!F7</f>
        <v>-2.5029369553116482E-2</v>
      </c>
      <c r="G27" s="6">
        <f>Resultados!G26/Resultados!G7</f>
        <v>-3.4900530887882759E-2</v>
      </c>
      <c r="H27" s="6">
        <f>Resultados!H26/Resultados!H7</f>
        <v>-5.5102179781364578E-2</v>
      </c>
      <c r="I27" s="6">
        <f>Resultados!I26/Resultados!I7</f>
        <v>-6.6551167330591604E-2</v>
      </c>
      <c r="J27" s="6">
        <f>Resultados!J26/Resultados!J7</f>
        <v>-7.5647393358351384E-2</v>
      </c>
      <c r="K27" s="6">
        <f>Resultados!K26/Resultados!K7</f>
        <v>-7.9234945733907686E-2</v>
      </c>
      <c r="L27" s="6">
        <f>Resultados!L26/Resultados!L7</f>
        <v>-7.9905028024877867E-2</v>
      </c>
      <c r="M27" s="6">
        <f>Resultados!M26/Resultados!M7</f>
        <v>-8.0079973212116601E-2</v>
      </c>
    </row>
    <row r="28" spans="1:13" ht="16.5" thickBot="1">
      <c r="A28" s="1"/>
      <c r="B28" s="2"/>
      <c r="C28" s="6"/>
      <c r="D28" s="6"/>
      <c r="E28" s="6"/>
      <c r="F28" s="6"/>
      <c r="G28" s="6"/>
      <c r="H28" s="6"/>
      <c r="I28" s="6"/>
      <c r="J28" s="6"/>
      <c r="K28" s="6"/>
      <c r="L28" s="6"/>
      <c r="M28" s="6"/>
    </row>
    <row r="29" spans="1:13" ht="17.25" thickTop="1" thickBot="1">
      <c r="A29" s="5" t="s">
        <v>50</v>
      </c>
      <c r="B29" s="5"/>
      <c r="C29" s="9">
        <f t="shared" ref="C29:H29" si="4">C25+C27</f>
        <v>7.4085757382518269E-2</v>
      </c>
      <c r="D29" s="9">
        <f t="shared" si="4"/>
        <v>7.7024237267245291E-2</v>
      </c>
      <c r="E29" s="9">
        <f t="shared" si="4"/>
        <v>4.7623261684322626E-2</v>
      </c>
      <c r="F29" s="9">
        <f t="shared" si="4"/>
        <v>-2.3468812857320182E-2</v>
      </c>
      <c r="G29" s="9">
        <f t="shared" si="4"/>
        <v>2.2403842256203156E-2</v>
      </c>
      <c r="H29" s="9">
        <f t="shared" si="4"/>
        <v>0.10187412258640691</v>
      </c>
      <c r="I29" s="9">
        <f>I25+I27</f>
        <v>0.12511903670150423</v>
      </c>
      <c r="J29" s="9">
        <f>J25+J27</f>
        <v>0.14358713196998613</v>
      </c>
      <c r="K29" s="9">
        <f>K25+K27</f>
        <v>0.15087095042944887</v>
      </c>
      <c r="L29" s="9">
        <f>L25+L27</f>
        <v>0.15223142053535807</v>
      </c>
      <c r="M29" s="9">
        <f>M25+M27</f>
        <v>0.15258661227914583</v>
      </c>
    </row>
    <row r="30" spans="1:13" ht="15.75" thickTop="1">
      <c r="A30" s="2"/>
      <c r="B30" s="2"/>
      <c r="C30" s="2"/>
      <c r="D30" s="2"/>
      <c r="E30" s="2"/>
      <c r="F30" s="2"/>
    </row>
  </sheetData>
  <phoneticPr fontId="0" type="noConversion"/>
  <printOptions horizontalCentered="1" verticalCentered="1"/>
  <pageMargins left="0.51181102362204722" right="0.51181102362204722" top="0.51181102362204722" bottom="0.51181102362204722" header="0.51181102362204722" footer="0.51181102362204722"/>
  <pageSetup firstPageNumber="3" orientation="landscape" blackAndWhite="1" horizontalDpi="300" verticalDpi="300"/>
  <headerFooter alignWithMargins="0">
    <oddHeader>&amp;C&amp;A</oddHeader>
    <oddFooter>&amp;CCompañía Modelo - EVA&amp;RPágina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8"/>
  <sheetViews>
    <sheetView showGridLines="0" zoomScale="70" zoomScaleNormal="70" zoomScalePageLayoutView="70" workbookViewId="0">
      <selection activeCell="G20" sqref="G20"/>
    </sheetView>
  </sheetViews>
  <sheetFormatPr baseColWidth="10" defaultColWidth="10.6640625" defaultRowHeight="15"/>
  <cols>
    <col min="1" max="1" width="7.44140625" style="54" customWidth="1"/>
    <col min="2" max="2" width="8.5546875" style="54" customWidth="1"/>
    <col min="3" max="3" width="12.109375" style="54" customWidth="1"/>
    <col min="4" max="4" width="11.88671875" style="54" bestFit="1" customWidth="1"/>
    <col min="5" max="5" width="13.33203125" style="54" customWidth="1"/>
    <col min="6" max="7" width="11.88671875" style="54" bestFit="1" customWidth="1"/>
    <col min="8" max="8" width="11.6640625" style="54" customWidth="1"/>
    <col min="9" max="9" width="3.33203125" style="54" customWidth="1"/>
    <col min="10" max="10" width="7.6640625" style="54" customWidth="1"/>
    <col min="11" max="11" width="12.33203125" style="54" customWidth="1"/>
    <col min="12" max="13" width="10.6640625" style="54"/>
    <col min="14" max="14" width="11.6640625" style="54" bestFit="1" customWidth="1"/>
    <col min="15" max="15" width="3.6640625" style="54" customWidth="1"/>
    <col min="16" max="16384" width="10.6640625" style="54"/>
  </cols>
  <sheetData>
    <row r="1" spans="1:20" ht="15.75">
      <c r="A1" s="378" t="s">
        <v>1014</v>
      </c>
      <c r="B1" s="681">
        <v>15000000</v>
      </c>
      <c r="C1" s="681"/>
    </row>
    <row r="2" spans="1:20">
      <c r="A2" s="359"/>
      <c r="B2" s="360"/>
      <c r="C2" s="360"/>
    </row>
    <row r="3" spans="1:20" ht="15.75">
      <c r="B3" s="369" t="s">
        <v>964</v>
      </c>
      <c r="C3" s="369"/>
      <c r="D3" s="369"/>
      <c r="E3" s="369" t="s">
        <v>965</v>
      </c>
      <c r="F3" s="369"/>
      <c r="G3" s="370"/>
      <c r="J3" s="369" t="s">
        <v>309</v>
      </c>
      <c r="K3" s="369"/>
      <c r="L3" s="369"/>
      <c r="M3" s="369"/>
      <c r="N3" s="369"/>
      <c r="P3" s="369" t="s">
        <v>1020</v>
      </c>
      <c r="Q3" s="370"/>
      <c r="R3" s="370"/>
      <c r="S3" s="370" t="s">
        <v>953</v>
      </c>
      <c r="T3" s="370"/>
    </row>
    <row r="4" spans="1:20">
      <c r="B4" s="371">
        <f>+[2]Proy.WACC!E20</f>
        <v>6.2508990681833465E-2</v>
      </c>
      <c r="C4" s="372" t="s">
        <v>966</v>
      </c>
      <c r="J4" s="373">
        <f>+[2]Proy.WACC!E21</f>
        <v>4.5900000000000003E-2</v>
      </c>
      <c r="K4" s="372" t="s">
        <v>966</v>
      </c>
      <c r="N4" s="34"/>
      <c r="P4" s="371">
        <f>+[2]Proy.WACC!E23</f>
        <v>8.0596695179987021E-2</v>
      </c>
      <c r="Q4" s="372" t="s">
        <v>966</v>
      </c>
      <c r="R4" s="264"/>
    </row>
    <row r="5" spans="1:20">
      <c r="B5" s="371">
        <f>+(1+B4)^(0.0833333333333333)-1</f>
        <v>5.0655436700146605E-3</v>
      </c>
      <c r="C5" s="267" t="s">
        <v>1019</v>
      </c>
      <c r="F5" s="34"/>
      <c r="I5" s="271"/>
      <c r="J5" s="371">
        <f>+(1+J4)^(0.0833333333333333)-1</f>
        <v>3.7468150587982585E-3</v>
      </c>
      <c r="K5" s="267" t="s">
        <v>1019</v>
      </c>
      <c r="P5" s="375">
        <f>+(1+P4)^(0.0833333333333333)-1</f>
        <v>6.4803559060542248E-3</v>
      </c>
      <c r="Q5" s="267" t="s">
        <v>1019</v>
      </c>
      <c r="T5" s="34"/>
    </row>
    <row r="6" spans="1:20">
      <c r="G6" s="265"/>
      <c r="H6" s="265"/>
      <c r="I6" s="272"/>
    </row>
    <row r="7" spans="1:20" s="266" customFormat="1" ht="30.75" customHeight="1">
      <c r="B7" s="270" t="s">
        <v>973</v>
      </c>
      <c r="C7" s="270" t="s">
        <v>967</v>
      </c>
      <c r="D7" s="270" t="s">
        <v>968</v>
      </c>
      <c r="E7" s="270" t="s">
        <v>969</v>
      </c>
      <c r="F7" s="270" t="s">
        <v>970</v>
      </c>
      <c r="G7" s="270" t="s">
        <v>971</v>
      </c>
      <c r="H7" s="270" t="s">
        <v>972</v>
      </c>
      <c r="I7" s="273"/>
      <c r="J7" s="270" t="s">
        <v>973</v>
      </c>
      <c r="K7" s="270" t="s">
        <v>967</v>
      </c>
      <c r="L7" s="270" t="s">
        <v>968</v>
      </c>
      <c r="M7" s="270" t="s">
        <v>969</v>
      </c>
      <c r="N7" s="270" t="s">
        <v>970</v>
      </c>
      <c r="P7" s="270" t="s">
        <v>973</v>
      </c>
      <c r="Q7" s="270" t="s">
        <v>967</v>
      </c>
      <c r="R7" s="270" t="s">
        <v>968</v>
      </c>
      <c r="S7" s="270" t="s">
        <v>969</v>
      </c>
      <c r="T7" s="270" t="s">
        <v>970</v>
      </c>
    </row>
    <row r="8" spans="1:20">
      <c r="B8" s="267">
        <v>0</v>
      </c>
      <c r="C8" s="268">
        <f>+$B$1*'Deuda actual '!C7</f>
        <v>12472320.843178248</v>
      </c>
      <c r="D8" s="268"/>
      <c r="E8" s="268"/>
      <c r="F8" s="268"/>
      <c r="G8" s="267"/>
      <c r="H8" s="267"/>
      <c r="I8" s="274"/>
      <c r="J8" s="267">
        <v>0</v>
      </c>
      <c r="K8" s="268">
        <f>+$B$1*'Deuda actual '!K7</f>
        <v>2478047.2676712913</v>
      </c>
      <c r="L8" s="268"/>
      <c r="M8" s="268"/>
      <c r="N8" s="268"/>
      <c r="P8" s="267">
        <v>0</v>
      </c>
      <c r="Q8" s="268">
        <f>+$B$1*'Deuda actual '!Q7</f>
        <v>49631.889150460978</v>
      </c>
      <c r="R8" s="268"/>
      <c r="S8" s="268"/>
      <c r="T8" s="268"/>
    </row>
    <row r="9" spans="1:20">
      <c r="B9" s="267">
        <v>1</v>
      </c>
      <c r="C9" s="268">
        <f>+C8-E9</f>
        <v>12242137.143125197</v>
      </c>
      <c r="D9" s="268">
        <f t="shared" ref="D9:D56" si="0">+C8*$B$5</f>
        <v>63179.085897553487</v>
      </c>
      <c r="E9" s="268">
        <f>+F9-D9</f>
        <v>230183.70005305036</v>
      </c>
      <c r="F9" s="268">
        <f>+PMT(B5,B56,-C8)</f>
        <v>293362.78595060384</v>
      </c>
      <c r="G9" s="267"/>
      <c r="H9" s="267"/>
      <c r="I9" s="274"/>
      <c r="J9" s="267">
        <v>1</v>
      </c>
      <c r="K9" s="268">
        <f>+K8-M9</f>
        <v>2430828.2002065429</v>
      </c>
      <c r="L9" s="268">
        <f t="shared" ref="L9:L56" si="1">+K8*$J$5</f>
        <v>9284.7848189246724</v>
      </c>
      <c r="M9" s="268">
        <f>+N9-L9</f>
        <v>47219.06746474855</v>
      </c>
      <c r="N9" s="268">
        <f>+PMT(J5,J56,-K8)</f>
        <v>56503.852283673223</v>
      </c>
      <c r="P9" s="267">
        <v>1</v>
      </c>
      <c r="Q9" s="268">
        <f>+Q8-S9</f>
        <v>48747.063898168264</v>
      </c>
      <c r="R9" s="268">
        <f t="shared" ref="R9:R56" si="2">+Q8*$P$5</f>
        <v>321.6323059848184</v>
      </c>
      <c r="S9" s="268">
        <f>+T9-R9</f>
        <v>884.82525229271187</v>
      </c>
      <c r="T9" s="268">
        <f>+PMT(P5,P56,-Q8)</f>
        <v>1206.4575582775303</v>
      </c>
    </row>
    <row r="10" spans="1:20">
      <c r="B10" s="267">
        <v>2</v>
      </c>
      <c r="C10" s="268">
        <f t="shared" ref="C10:C56" si="3">+C9-E10</f>
        <v>12010787.437487403</v>
      </c>
      <c r="D10" s="268">
        <f t="shared" si="0"/>
        <v>62013.080312809201</v>
      </c>
      <c r="E10" s="268">
        <f>+F10-D10</f>
        <v>231349.70563779463</v>
      </c>
      <c r="F10" s="268">
        <f>+F9</f>
        <v>293362.78595060384</v>
      </c>
      <c r="G10" s="267"/>
      <c r="H10" s="267"/>
      <c r="I10" s="274"/>
      <c r="J10" s="267">
        <v>2</v>
      </c>
      <c r="K10" s="268">
        <f t="shared" ref="K10:K56" si="4">+K9-M10</f>
        <v>2383432.2116287551</v>
      </c>
      <c r="L10" s="268">
        <f t="shared" si="1"/>
        <v>9107.8637058853419</v>
      </c>
      <c r="M10" s="268">
        <f t="shared" ref="M10:M56" si="5">+N10-L10</f>
        <v>47395.988577787881</v>
      </c>
      <c r="N10" s="268">
        <f>+N9</f>
        <v>56503.852283673223</v>
      </c>
      <c r="P10" s="267">
        <v>2</v>
      </c>
      <c r="Q10" s="268">
        <f t="shared" ref="Q10:Q56" si="6">+Q9-S10</f>
        <v>47856.504663326028</v>
      </c>
      <c r="R10" s="268">
        <f t="shared" si="2"/>
        <v>315.89832343529741</v>
      </c>
      <c r="S10" s="268">
        <f t="shared" ref="S10:S56" si="7">+T10-R10</f>
        <v>890.55923484223285</v>
      </c>
      <c r="T10" s="268">
        <f>+T9</f>
        <v>1206.4575582775303</v>
      </c>
    </row>
    <row r="11" spans="1:20">
      <c r="B11" s="267">
        <v>3</v>
      </c>
      <c r="C11" s="268">
        <f t="shared" si="3"/>
        <v>11778265.819812655</v>
      </c>
      <c r="D11" s="268">
        <f t="shared" si="0"/>
        <v>60841.168275855918</v>
      </c>
      <c r="E11" s="268">
        <f t="shared" ref="E11:E56" si="8">+F11-D11</f>
        <v>232521.61767474792</v>
      </c>
      <c r="F11" s="268">
        <f t="shared" ref="F11:F56" si="9">+F10</f>
        <v>293362.78595060384</v>
      </c>
      <c r="G11" s="267"/>
      <c r="H11" s="267"/>
      <c r="I11" s="274"/>
      <c r="J11" s="267">
        <v>3</v>
      </c>
      <c r="K11" s="268">
        <f t="shared" si="4"/>
        <v>2335858.6390472371</v>
      </c>
      <c r="L11" s="268">
        <f t="shared" si="1"/>
        <v>8930.2797021554579</v>
      </c>
      <c r="M11" s="268">
        <f t="shared" si="5"/>
        <v>47573.572581517765</v>
      </c>
      <c r="N11" s="268">
        <f t="shared" ref="N11:N56" si="10">+N10</f>
        <v>56503.852283673223</v>
      </c>
      <c r="P11" s="267">
        <v>3</v>
      </c>
      <c r="Q11" s="268">
        <f t="shared" si="6"/>
        <v>46960.174287686597</v>
      </c>
      <c r="R11" s="268">
        <f t="shared" si="2"/>
        <v>310.12718263809637</v>
      </c>
      <c r="S11" s="268">
        <f t="shared" si="7"/>
        <v>896.3303756394339</v>
      </c>
      <c r="T11" s="268">
        <f t="shared" ref="T11:T56" si="11">+T10</f>
        <v>1206.4575582775303</v>
      </c>
    </row>
    <row r="12" spans="1:20">
      <c r="B12" s="267">
        <v>4</v>
      </c>
      <c r="C12" s="268">
        <f t="shared" si="3"/>
        <v>11544566.353729354</v>
      </c>
      <c r="D12" s="268">
        <f t="shared" si="0"/>
        <v>59663.319867302031</v>
      </c>
      <c r="E12" s="268">
        <f t="shared" si="8"/>
        <v>233699.46608330181</v>
      </c>
      <c r="F12" s="268">
        <f t="shared" si="9"/>
        <v>293362.78595060384</v>
      </c>
      <c r="G12" s="267"/>
      <c r="H12" s="267"/>
      <c r="I12" s="274"/>
      <c r="J12" s="267">
        <v>4</v>
      </c>
      <c r="K12" s="268">
        <f t="shared" si="4"/>
        <v>2288106.8170875702</v>
      </c>
      <c r="L12" s="268">
        <f t="shared" si="1"/>
        <v>8752.030324006193</v>
      </c>
      <c r="M12" s="268">
        <f t="shared" si="5"/>
        <v>47751.821959667031</v>
      </c>
      <c r="N12" s="268">
        <f t="shared" si="10"/>
        <v>56503.852283673223</v>
      </c>
      <c r="P12" s="267">
        <v>4</v>
      </c>
      <c r="Q12" s="268">
        <f t="shared" si="6"/>
        <v>46058.035372203616</v>
      </c>
      <c r="R12" s="268">
        <f t="shared" si="2"/>
        <v>304.31864279454561</v>
      </c>
      <c r="S12" s="268">
        <f t="shared" si="7"/>
        <v>902.13891548298466</v>
      </c>
      <c r="T12" s="268">
        <f t="shared" si="11"/>
        <v>1206.4575582775303</v>
      </c>
    </row>
    <row r="13" spans="1:20">
      <c r="B13" s="267">
        <v>5</v>
      </c>
      <c r="C13" s="268">
        <f t="shared" si="3"/>
        <v>11309683.072794948</v>
      </c>
      <c r="D13" s="268">
        <f t="shared" si="0"/>
        <v>58479.50501619796</v>
      </c>
      <c r="E13" s="268">
        <f t="shared" si="8"/>
        <v>234883.28093440586</v>
      </c>
      <c r="F13" s="268">
        <f t="shared" si="9"/>
        <v>293362.78595060384</v>
      </c>
      <c r="G13" s="267"/>
      <c r="H13" s="267"/>
      <c r="I13" s="274"/>
      <c r="J13" s="267">
        <v>5</v>
      </c>
      <c r="K13" s="268">
        <f t="shared" si="4"/>
        <v>2240176.0778822997</v>
      </c>
      <c r="L13" s="268">
        <f t="shared" si="1"/>
        <v>8573.1130784026609</v>
      </c>
      <c r="M13" s="268">
        <f t="shared" si="5"/>
        <v>47930.739205270562</v>
      </c>
      <c r="N13" s="268">
        <f t="shared" si="10"/>
        <v>56503.852283673223</v>
      </c>
      <c r="P13" s="267">
        <v>5</v>
      </c>
      <c r="Q13" s="268">
        <f t="shared" si="6"/>
        <v>45150.0502754716</v>
      </c>
      <c r="R13" s="268">
        <f t="shared" si="2"/>
        <v>298.47246154551408</v>
      </c>
      <c r="S13" s="268">
        <f t="shared" si="7"/>
        <v>907.98509673201625</v>
      </c>
      <c r="T13" s="268">
        <f t="shared" si="11"/>
        <v>1206.4575582775303</v>
      </c>
    </row>
    <row r="14" spans="1:20">
      <c r="B14" s="267">
        <v>6</v>
      </c>
      <c r="C14" s="268">
        <f t="shared" si="3"/>
        <v>11073609.980343612</v>
      </c>
      <c r="D14" s="268">
        <f t="shared" si="0"/>
        <v>57289.693499268404</v>
      </c>
      <c r="E14" s="268">
        <f t="shared" si="8"/>
        <v>236073.09245133543</v>
      </c>
      <c r="F14" s="268">
        <f t="shared" si="9"/>
        <v>293362.78595060384</v>
      </c>
      <c r="G14" s="267"/>
      <c r="H14" s="267"/>
      <c r="I14" s="274"/>
      <c r="J14" s="267">
        <v>6</v>
      </c>
      <c r="K14" s="268">
        <f t="shared" si="4"/>
        <v>2192065.7510615955</v>
      </c>
      <c r="L14" s="268">
        <f t="shared" si="1"/>
        <v>8393.5254629690207</v>
      </c>
      <c r="M14" s="268">
        <f t="shared" si="5"/>
        <v>48110.326820704198</v>
      </c>
      <c r="N14" s="268">
        <f t="shared" si="10"/>
        <v>56503.852283673223</v>
      </c>
      <c r="P14" s="267">
        <v>6</v>
      </c>
      <c r="Q14" s="268">
        <f t="shared" si="6"/>
        <v>44236.181112155369</v>
      </c>
      <c r="R14" s="268">
        <f t="shared" si="2"/>
        <v>292.58839496129758</v>
      </c>
      <c r="S14" s="268">
        <f t="shared" si="7"/>
        <v>913.86916331623274</v>
      </c>
      <c r="T14" s="268">
        <f t="shared" si="11"/>
        <v>1206.4575582775303</v>
      </c>
    </row>
    <row r="15" spans="1:20">
      <c r="B15" s="267">
        <v>7</v>
      </c>
      <c r="C15" s="268">
        <f t="shared" si="3"/>
        <v>10836341.04933315</v>
      </c>
      <c r="D15" s="268">
        <f t="shared" si="0"/>
        <v>56093.854940140751</v>
      </c>
      <c r="E15" s="268">
        <f t="shared" si="8"/>
        <v>237268.9310104631</v>
      </c>
      <c r="F15" s="268">
        <f t="shared" si="9"/>
        <v>293362.78595060384</v>
      </c>
      <c r="G15" s="267"/>
      <c r="H15" s="267"/>
      <c r="I15" s="274"/>
      <c r="J15" s="267">
        <v>7</v>
      </c>
      <c r="K15" s="268">
        <f t="shared" si="4"/>
        <v>2143775.1637438759</v>
      </c>
      <c r="L15" s="268">
        <f t="shared" si="1"/>
        <v>8213.2649659535</v>
      </c>
      <c r="M15" s="268">
        <f t="shared" si="5"/>
        <v>48290.587317719721</v>
      </c>
      <c r="N15" s="268">
        <f t="shared" si="10"/>
        <v>56503.852283673223</v>
      </c>
      <c r="P15" s="267">
        <v>7</v>
      </c>
      <c r="Q15" s="268">
        <f t="shared" si="6"/>
        <v>43316.389751409282</v>
      </c>
      <c r="R15" s="268">
        <f t="shared" si="2"/>
        <v>286.66619753144039</v>
      </c>
      <c r="S15" s="268">
        <f t="shared" si="7"/>
        <v>919.79136074608994</v>
      </c>
      <c r="T15" s="268">
        <f t="shared" si="11"/>
        <v>1206.4575582775303</v>
      </c>
    </row>
    <row r="16" spans="1:20">
      <c r="B16" s="267">
        <v>8</v>
      </c>
      <c r="C16" s="268">
        <f t="shared" si="3"/>
        <v>10597870.222191116</v>
      </c>
      <c r="D16" s="268">
        <f t="shared" si="0"/>
        <v>54891.958808569558</v>
      </c>
      <c r="E16" s="268">
        <f t="shared" si="8"/>
        <v>238470.82714203428</v>
      </c>
      <c r="F16" s="268">
        <f t="shared" si="9"/>
        <v>293362.78595060384</v>
      </c>
      <c r="G16" s="267"/>
      <c r="H16" s="267"/>
      <c r="I16" s="274"/>
      <c r="J16" s="267">
        <v>8</v>
      </c>
      <c r="K16" s="268">
        <f t="shared" si="4"/>
        <v>2095303.640526396</v>
      </c>
      <c r="L16" s="268">
        <f t="shared" si="1"/>
        <v>8032.3290661932569</v>
      </c>
      <c r="M16" s="268">
        <f t="shared" si="5"/>
        <v>48471.523217479968</v>
      </c>
      <c r="N16" s="268">
        <f t="shared" si="10"/>
        <v>56503.852283673223</v>
      </c>
      <c r="P16" s="267">
        <v>8</v>
      </c>
      <c r="Q16" s="268">
        <f t="shared" si="6"/>
        <v>42390.637815286245</v>
      </c>
      <c r="R16" s="268">
        <f t="shared" si="2"/>
        <v>280.70562215449183</v>
      </c>
      <c r="S16" s="268">
        <f t="shared" si="7"/>
        <v>925.75193612303849</v>
      </c>
      <c r="T16" s="268">
        <f t="shared" si="11"/>
        <v>1206.4575582775303</v>
      </c>
    </row>
    <row r="17" spans="1:20">
      <c r="B17" s="267">
        <v>9</v>
      </c>
      <c r="C17" s="268">
        <f t="shared" si="3"/>
        <v>10358191.41066017</v>
      </c>
      <c r="D17" s="268">
        <f t="shared" si="0"/>
        <v>53683.974419657068</v>
      </c>
      <c r="E17" s="268">
        <f t="shared" si="8"/>
        <v>239678.81153094675</v>
      </c>
      <c r="F17" s="268">
        <f t="shared" si="9"/>
        <v>293362.78595060384</v>
      </c>
      <c r="G17" s="267"/>
      <c r="H17" s="267"/>
      <c r="I17" s="274"/>
      <c r="J17" s="267">
        <v>9</v>
      </c>
      <c r="K17" s="268">
        <f t="shared" si="4"/>
        <v>2046650.5034758018</v>
      </c>
      <c r="L17" s="268">
        <f t="shared" si="1"/>
        <v>7850.7152330791132</v>
      </c>
      <c r="M17" s="268">
        <f t="shared" si="5"/>
        <v>48653.137050594109</v>
      </c>
      <c r="N17" s="268">
        <f t="shared" si="10"/>
        <v>56503.852283673223</v>
      </c>
      <c r="P17" s="267">
        <v>9</v>
      </c>
      <c r="Q17" s="268">
        <f t="shared" si="6"/>
        <v>41458.886677136412</v>
      </c>
      <c r="R17" s="268">
        <f t="shared" si="2"/>
        <v>274.70642012769576</v>
      </c>
      <c r="S17" s="268">
        <f t="shared" si="7"/>
        <v>931.75113814983456</v>
      </c>
      <c r="T17" s="268">
        <f t="shared" si="11"/>
        <v>1206.4575582775303</v>
      </c>
    </row>
    <row r="18" spans="1:20">
      <c r="B18" s="267">
        <v>10</v>
      </c>
      <c r="C18" s="268">
        <f t="shared" si="3"/>
        <v>10117298.495642636</v>
      </c>
      <c r="D18" s="268">
        <f t="shared" si="0"/>
        <v>52469.870933069855</v>
      </c>
      <c r="E18" s="268">
        <f t="shared" si="8"/>
        <v>240892.91501753399</v>
      </c>
      <c r="F18" s="268">
        <f t="shared" si="9"/>
        <v>293362.78595060384</v>
      </c>
      <c r="G18" s="267"/>
      <c r="H18" s="267"/>
      <c r="I18" s="274"/>
      <c r="J18" s="267">
        <v>10</v>
      </c>
      <c r="K18" s="268">
        <f t="shared" si="4"/>
        <v>1997815.0721186488</v>
      </c>
      <c r="L18" s="268">
        <f t="shared" si="1"/>
        <v>7668.4209265201716</v>
      </c>
      <c r="M18" s="268">
        <f t="shared" si="5"/>
        <v>48835.431357153051</v>
      </c>
      <c r="N18" s="268">
        <f t="shared" si="10"/>
        <v>56503.852283673223</v>
      </c>
      <c r="P18" s="267">
        <v>10</v>
      </c>
      <c r="Q18" s="268">
        <f t="shared" si="6"/>
        <v>40521.097459995493</v>
      </c>
      <c r="R18" s="268">
        <f t="shared" si="2"/>
        <v>268.66834113661378</v>
      </c>
      <c r="S18" s="268">
        <f t="shared" si="7"/>
        <v>937.78921714091655</v>
      </c>
      <c r="T18" s="268">
        <f t="shared" si="11"/>
        <v>1206.4575582775303</v>
      </c>
    </row>
    <row r="19" spans="1:20">
      <c r="B19" s="361">
        <v>11</v>
      </c>
      <c r="C19" s="362">
        <f t="shared" si="3"/>
        <v>9875185.327044284</v>
      </c>
      <c r="D19" s="362">
        <f t="shared" si="0"/>
        <v>51249.6173522514</v>
      </c>
      <c r="E19" s="362">
        <f t="shared" si="8"/>
        <v>242113.16859835244</v>
      </c>
      <c r="F19" s="362">
        <f t="shared" si="9"/>
        <v>293362.78595060384</v>
      </c>
      <c r="G19" s="267"/>
      <c r="H19" s="267"/>
      <c r="I19" s="274"/>
      <c r="J19" s="267">
        <v>11</v>
      </c>
      <c r="K19" s="268">
        <f t="shared" si="4"/>
        <v>1948796.6634318838</v>
      </c>
      <c r="L19" s="268">
        <f t="shared" si="1"/>
        <v>7485.4435969082824</v>
      </c>
      <c r="M19" s="268">
        <f t="shared" si="5"/>
        <v>49018.408686764938</v>
      </c>
      <c r="N19" s="268">
        <f t="shared" si="10"/>
        <v>56503.852283673223</v>
      </c>
      <c r="P19" s="267">
        <v>11</v>
      </c>
      <c r="Q19" s="268">
        <f t="shared" si="6"/>
        <v>39577.231034962642</v>
      </c>
      <c r="R19" s="268">
        <f t="shared" si="2"/>
        <v>262.59113324468063</v>
      </c>
      <c r="S19" s="268">
        <f t="shared" si="7"/>
        <v>943.86642503284975</v>
      </c>
      <c r="T19" s="268">
        <f t="shared" si="11"/>
        <v>1206.4575582775303</v>
      </c>
    </row>
    <row r="20" spans="1:20" ht="15.75">
      <c r="A20" s="277">
        <v>2016</v>
      </c>
      <c r="B20" s="361">
        <v>12</v>
      </c>
      <c r="C20" s="362">
        <f t="shared" si="3"/>
        <v>9631845.7236173116</v>
      </c>
      <c r="D20" s="362">
        <f t="shared" si="0"/>
        <v>50023.182523630829</v>
      </c>
      <c r="E20" s="362">
        <f t="shared" si="8"/>
        <v>243339.60342697302</v>
      </c>
      <c r="F20" s="362">
        <f t="shared" si="9"/>
        <v>293362.78595060384</v>
      </c>
      <c r="G20" s="269">
        <f>+SUM(D9:D20)+SUM(L9:L20)+SUM(R9:R20)</f>
        <v>782944.71298082359</v>
      </c>
      <c r="H20" s="269">
        <f>+SUM(E9:E20)+SUM(M9:M20)+SUM(S9:S20)</f>
        <v>3429932.4365298306</v>
      </c>
      <c r="I20" s="193"/>
      <c r="J20" s="267">
        <v>12</v>
      </c>
      <c r="K20" s="268">
        <f t="shared" si="4"/>
        <v>1899594.591833293</v>
      </c>
      <c r="L20" s="268">
        <f t="shared" si="1"/>
        <v>7301.7806850823836</v>
      </c>
      <c r="M20" s="268">
        <f t="shared" si="5"/>
        <v>49202.071598590839</v>
      </c>
      <c r="N20" s="268">
        <f t="shared" si="10"/>
        <v>56503.852283673223</v>
      </c>
      <c r="P20" s="267">
        <v>12</v>
      </c>
      <c r="Q20" s="268">
        <f t="shared" si="6"/>
        <v>38627.248019567807</v>
      </c>
      <c r="R20" s="268">
        <f t="shared" si="2"/>
        <v>256.47454288269273</v>
      </c>
      <c r="S20" s="268">
        <f t="shared" si="7"/>
        <v>949.98301539483759</v>
      </c>
      <c r="T20" s="268">
        <f t="shared" si="11"/>
        <v>1206.4575582775303</v>
      </c>
    </row>
    <row r="21" spans="1:20">
      <c r="B21" s="361">
        <v>13</v>
      </c>
      <c r="C21" s="362">
        <f t="shared" si="3"/>
        <v>9387273.4728025347</v>
      </c>
      <c r="D21" s="362">
        <f t="shared" si="0"/>
        <v>48790.535135827449</v>
      </c>
      <c r="E21" s="362">
        <f t="shared" si="8"/>
        <v>244572.2508147764</v>
      </c>
      <c r="F21" s="362">
        <f t="shared" si="9"/>
        <v>293362.78595060384</v>
      </c>
      <c r="G21" s="267"/>
      <c r="H21" s="267"/>
      <c r="I21" s="274"/>
      <c r="J21" s="267">
        <v>13</v>
      </c>
      <c r="K21" s="268">
        <f t="shared" si="4"/>
        <v>1850208.1691719124</v>
      </c>
      <c r="L21" s="268">
        <f t="shared" si="1"/>
        <v>7117.4296222927132</v>
      </c>
      <c r="M21" s="268">
        <f t="shared" si="5"/>
        <v>49386.422661380508</v>
      </c>
      <c r="N21" s="268">
        <f t="shared" si="10"/>
        <v>56503.852283673223</v>
      </c>
      <c r="P21" s="267">
        <v>13</v>
      </c>
      <c r="Q21" s="268">
        <f t="shared" si="6"/>
        <v>37671.108776128502</v>
      </c>
      <c r="R21" s="268">
        <f t="shared" si="2"/>
        <v>250.31831483822759</v>
      </c>
      <c r="S21" s="268">
        <f t="shared" si="7"/>
        <v>956.13924343930273</v>
      </c>
      <c r="T21" s="268">
        <f t="shared" si="11"/>
        <v>1206.4575582775303</v>
      </c>
    </row>
    <row r="22" spans="1:20">
      <c r="B22" s="361">
        <v>14</v>
      </c>
      <c r="C22" s="362">
        <f t="shared" si="3"/>
        <v>9141462.3305707816</v>
      </c>
      <c r="D22" s="362">
        <f t="shared" si="0"/>
        <v>47551.643718851417</v>
      </c>
      <c r="E22" s="362">
        <f t="shared" si="8"/>
        <v>245811.14223175243</v>
      </c>
      <c r="F22" s="362">
        <f t="shared" si="9"/>
        <v>293362.78595060384</v>
      </c>
      <c r="G22" s="267"/>
      <c r="H22" s="267"/>
      <c r="I22" s="274"/>
      <c r="J22" s="267">
        <v>14</v>
      </c>
      <c r="K22" s="268">
        <f t="shared" si="4"/>
        <v>1800636.704718404</v>
      </c>
      <c r="L22" s="268">
        <f t="shared" si="1"/>
        <v>6932.3878301648774</v>
      </c>
      <c r="M22" s="268">
        <f t="shared" si="5"/>
        <v>49571.464453508343</v>
      </c>
      <c r="N22" s="268">
        <f t="shared" si="10"/>
        <v>56503.852283673223</v>
      </c>
      <c r="P22" s="267">
        <v>14</v>
      </c>
      <c r="Q22" s="268">
        <f t="shared" si="6"/>
        <v>36708.773410095964</v>
      </c>
      <c r="R22" s="268">
        <f t="shared" si="2"/>
        <v>244.12219224499549</v>
      </c>
      <c r="S22" s="268">
        <f t="shared" si="7"/>
        <v>962.33536603253481</v>
      </c>
      <c r="T22" s="268">
        <f t="shared" si="11"/>
        <v>1206.4575582775303</v>
      </c>
    </row>
    <row r="23" spans="1:20">
      <c r="B23" s="361">
        <v>15</v>
      </c>
      <c r="C23" s="362">
        <f t="shared" si="3"/>
        <v>8894406.0212634783</v>
      </c>
      <c r="D23" s="362">
        <f t="shared" si="0"/>
        <v>46306.476643300288</v>
      </c>
      <c r="E23" s="362">
        <f t="shared" si="8"/>
        <v>247056.30930730354</v>
      </c>
      <c r="F23" s="362">
        <f t="shared" si="9"/>
        <v>293362.78595060384</v>
      </c>
      <c r="G23" s="267"/>
      <c r="H23" s="267"/>
      <c r="I23" s="274"/>
      <c r="J23" s="267">
        <v>15</v>
      </c>
      <c r="K23" s="268">
        <f t="shared" si="4"/>
        <v>1750879.5051553946</v>
      </c>
      <c r="L23" s="268">
        <f t="shared" si="1"/>
        <v>6746.6527206637893</v>
      </c>
      <c r="M23" s="268">
        <f t="shared" si="5"/>
        <v>49757.199563009432</v>
      </c>
      <c r="N23" s="268">
        <f t="shared" si="10"/>
        <v>56503.852283673223</v>
      </c>
      <c r="P23" s="267">
        <v>15</v>
      </c>
      <c r="Q23" s="268">
        <f t="shared" si="6"/>
        <v>35740.201768390558</v>
      </c>
      <c r="R23" s="268">
        <f t="shared" si="2"/>
        <v>237.88591657212166</v>
      </c>
      <c r="S23" s="268">
        <f t="shared" si="7"/>
        <v>968.57164170540864</v>
      </c>
      <c r="T23" s="268">
        <f t="shared" si="11"/>
        <v>1206.4575582775303</v>
      </c>
    </row>
    <row r="24" spans="1:20">
      <c r="B24" s="361">
        <v>16</v>
      </c>
      <c r="C24" s="362">
        <f t="shared" si="3"/>
        <v>8646098.2374324258</v>
      </c>
      <c r="D24" s="362">
        <f t="shared" si="0"/>
        <v>45055.002119551493</v>
      </c>
      <c r="E24" s="362">
        <f t="shared" si="8"/>
        <v>248307.78383105234</v>
      </c>
      <c r="F24" s="362">
        <f t="shared" si="9"/>
        <v>293362.78595060384</v>
      </c>
      <c r="G24" s="267"/>
      <c r="H24" s="267"/>
      <c r="I24" s="274"/>
      <c r="J24" s="267">
        <v>16</v>
      </c>
      <c r="K24" s="268">
        <f t="shared" si="4"/>
        <v>1700935.8745677788</v>
      </c>
      <c r="L24" s="268">
        <f t="shared" si="1"/>
        <v>6560.2216960574751</v>
      </c>
      <c r="M24" s="268">
        <f t="shared" si="5"/>
        <v>49943.630587615749</v>
      </c>
      <c r="N24" s="268">
        <f t="shared" si="10"/>
        <v>56503.852283673223</v>
      </c>
      <c r="P24" s="267">
        <v>16</v>
      </c>
      <c r="Q24" s="268">
        <f t="shared" si="6"/>
        <v>34765.353437726386</v>
      </c>
      <c r="R24" s="268">
        <f t="shared" si="2"/>
        <v>231.60922761335939</v>
      </c>
      <c r="S24" s="268">
        <f t="shared" si="7"/>
        <v>974.84833066417093</v>
      </c>
      <c r="T24" s="268">
        <f t="shared" si="11"/>
        <v>1206.4575582775303</v>
      </c>
    </row>
    <row r="25" spans="1:20">
      <c r="B25" s="361">
        <v>17</v>
      </c>
      <c r="C25" s="362">
        <f t="shared" si="3"/>
        <v>8396532.6396787725</v>
      </c>
      <c r="D25" s="362">
        <f t="shared" si="0"/>
        <v>43797.188196950738</v>
      </c>
      <c r="E25" s="362">
        <f t="shared" si="8"/>
        <v>249565.5977536531</v>
      </c>
      <c r="F25" s="362">
        <f t="shared" si="9"/>
        <v>293362.78595060384</v>
      </c>
      <c r="G25" s="267"/>
      <c r="H25" s="267"/>
      <c r="I25" s="274"/>
      <c r="J25" s="267">
        <v>17</v>
      </c>
      <c r="K25" s="268">
        <f t="shared" si="4"/>
        <v>1650805.1144329864</v>
      </c>
      <c r="L25" s="268">
        <f t="shared" si="1"/>
        <v>6373.0921488807389</v>
      </c>
      <c r="M25" s="268">
        <f t="shared" si="5"/>
        <v>50130.760134792486</v>
      </c>
      <c r="N25" s="268">
        <f t="shared" si="10"/>
        <v>56503.852283673223</v>
      </c>
      <c r="P25" s="267">
        <v>17</v>
      </c>
      <c r="Q25" s="268">
        <f t="shared" si="6"/>
        <v>33784.187742925089</v>
      </c>
      <c r="R25" s="268">
        <f t="shared" si="2"/>
        <v>225.29186347623272</v>
      </c>
      <c r="S25" s="268">
        <f t="shared" si="7"/>
        <v>981.1656948012976</v>
      </c>
      <c r="T25" s="268">
        <f t="shared" si="11"/>
        <v>1206.4575582775303</v>
      </c>
    </row>
    <row r="26" spans="1:20">
      <c r="B26" s="361">
        <v>18</v>
      </c>
      <c r="C26" s="362">
        <f t="shared" si="3"/>
        <v>8145702.8564911652</v>
      </c>
      <c r="D26" s="362">
        <f t="shared" si="0"/>
        <v>42533.002762996293</v>
      </c>
      <c r="E26" s="362">
        <f t="shared" si="8"/>
        <v>250829.78318760754</v>
      </c>
      <c r="F26" s="362">
        <f t="shared" si="9"/>
        <v>293362.78595060384</v>
      </c>
      <c r="G26" s="267"/>
      <c r="H26" s="267"/>
      <c r="I26" s="274"/>
      <c r="J26" s="267">
        <v>18</v>
      </c>
      <c r="K26" s="268">
        <f t="shared" si="4"/>
        <v>1600486.5236112119</v>
      </c>
      <c r="L26" s="268">
        <f t="shared" si="1"/>
        <v>6185.2614618986954</v>
      </c>
      <c r="M26" s="268">
        <f t="shared" si="5"/>
        <v>50318.590821774531</v>
      </c>
      <c r="N26" s="268">
        <f t="shared" si="10"/>
        <v>56503.852283673223</v>
      </c>
      <c r="P26" s="267">
        <v>18</v>
      </c>
      <c r="Q26" s="268">
        <f t="shared" si="6"/>
        <v>32796.66374521867</v>
      </c>
      <c r="R26" s="268">
        <f t="shared" si="2"/>
        <v>218.93356057110935</v>
      </c>
      <c r="S26" s="268">
        <f t="shared" si="7"/>
        <v>987.52399770642091</v>
      </c>
      <c r="T26" s="268">
        <f t="shared" si="11"/>
        <v>1206.4575582775303</v>
      </c>
    </row>
    <row r="27" spans="1:20">
      <c r="B27" s="361">
        <v>19</v>
      </c>
      <c r="C27" s="362">
        <f t="shared" si="3"/>
        <v>7893602.4840830807</v>
      </c>
      <c r="D27" s="362">
        <f t="shared" si="0"/>
        <v>41262.413542519163</v>
      </c>
      <c r="E27" s="362">
        <f t="shared" si="8"/>
        <v>252100.37240808469</v>
      </c>
      <c r="F27" s="362">
        <f t="shared" si="9"/>
        <v>293362.78595060384</v>
      </c>
      <c r="G27" s="267"/>
      <c r="H27" s="267"/>
      <c r="I27" s="274"/>
      <c r="J27" s="267">
        <v>19</v>
      </c>
      <c r="K27" s="268">
        <f t="shared" si="4"/>
        <v>1549979.3983356089</v>
      </c>
      <c r="L27" s="268">
        <f t="shared" si="1"/>
        <v>5996.7270080701637</v>
      </c>
      <c r="M27" s="268">
        <f t="shared" si="5"/>
        <v>50507.125275603059</v>
      </c>
      <c r="N27" s="268">
        <f t="shared" si="10"/>
        <v>56503.852283673223</v>
      </c>
      <c r="P27" s="267">
        <v>19</v>
      </c>
      <c r="Q27" s="268">
        <f t="shared" si="6"/>
        <v>31802.740240541341</v>
      </c>
      <c r="R27" s="268">
        <f t="shared" si="2"/>
        <v>212.53405360020227</v>
      </c>
      <c r="S27" s="268">
        <f t="shared" si="7"/>
        <v>993.92350467732808</v>
      </c>
      <c r="T27" s="268">
        <f t="shared" si="11"/>
        <v>1206.4575582775303</v>
      </c>
    </row>
    <row r="28" spans="1:20">
      <c r="B28" s="361">
        <v>20</v>
      </c>
      <c r="C28" s="362">
        <f t="shared" si="3"/>
        <v>7640225.0862293355</v>
      </c>
      <c r="D28" s="362">
        <f t="shared" si="0"/>
        <v>39985.388096859053</v>
      </c>
      <c r="E28" s="362">
        <f t="shared" si="8"/>
        <v>253377.3978537448</v>
      </c>
      <c r="F28" s="362">
        <f t="shared" si="9"/>
        <v>293362.78595060384</v>
      </c>
      <c r="G28" s="267"/>
      <c r="H28" s="267"/>
      <c r="I28" s="274"/>
      <c r="J28" s="267">
        <v>20</v>
      </c>
      <c r="K28" s="268">
        <f t="shared" si="4"/>
        <v>1499283.0322024466</v>
      </c>
      <c r="L28" s="268">
        <f t="shared" si="1"/>
        <v>5807.4861505109238</v>
      </c>
      <c r="M28" s="268">
        <f t="shared" si="5"/>
        <v>50696.366133162301</v>
      </c>
      <c r="N28" s="268">
        <f t="shared" si="10"/>
        <v>56503.852283673223</v>
      </c>
      <c r="P28" s="267">
        <v>20</v>
      </c>
      <c r="Q28" s="268">
        <f t="shared" si="6"/>
        <v>30802.37575781031</v>
      </c>
      <c r="R28" s="268">
        <f t="shared" si="2"/>
        <v>206.09307554650044</v>
      </c>
      <c r="S28" s="268">
        <f t="shared" si="7"/>
        <v>1000.3644827310299</v>
      </c>
      <c r="T28" s="268">
        <f t="shared" si="11"/>
        <v>1206.4575582775303</v>
      </c>
    </row>
    <row r="29" spans="1:20">
      <c r="B29" s="361">
        <v>21</v>
      </c>
      <c r="C29" s="362">
        <f t="shared" si="3"/>
        <v>7385564.1941017676</v>
      </c>
      <c r="D29" s="362">
        <f t="shared" si="0"/>
        <v>38701.893823036226</v>
      </c>
      <c r="E29" s="362">
        <f t="shared" si="8"/>
        <v>254660.89212756761</v>
      </c>
      <c r="F29" s="362">
        <f t="shared" si="9"/>
        <v>293362.78595060384</v>
      </c>
      <c r="G29" s="267"/>
      <c r="H29" s="267"/>
      <c r="I29" s="274"/>
      <c r="J29" s="267">
        <v>21</v>
      </c>
      <c r="K29" s="268">
        <f t="shared" si="4"/>
        <v>1448396.7161612301</v>
      </c>
      <c r="L29" s="268">
        <f t="shared" si="1"/>
        <v>5617.5362424568411</v>
      </c>
      <c r="M29" s="268">
        <f t="shared" si="5"/>
        <v>50886.316041216385</v>
      </c>
      <c r="N29" s="268">
        <f t="shared" si="10"/>
        <v>56503.852283673223</v>
      </c>
      <c r="P29" s="267">
        <v>21</v>
      </c>
      <c r="Q29" s="268">
        <f t="shared" si="6"/>
        <v>29795.528557195408</v>
      </c>
      <c r="R29" s="268">
        <f t="shared" si="2"/>
        <v>199.61035766262754</v>
      </c>
      <c r="S29" s="268">
        <f t="shared" si="7"/>
        <v>1006.8472006149028</v>
      </c>
      <c r="T29" s="268">
        <f t="shared" si="11"/>
        <v>1206.4575582775303</v>
      </c>
    </row>
    <row r="30" spans="1:20">
      <c r="B30" s="361">
        <v>22</v>
      </c>
      <c r="C30" s="362">
        <f t="shared" si="3"/>
        <v>7129613.3061040826</v>
      </c>
      <c r="D30" s="362">
        <f t="shared" si="0"/>
        <v>37411.897952919135</v>
      </c>
      <c r="E30" s="362">
        <f t="shared" si="8"/>
        <v>255950.88799768471</v>
      </c>
      <c r="F30" s="362">
        <f t="shared" si="9"/>
        <v>293362.78595060384</v>
      </c>
      <c r="G30" s="267"/>
      <c r="H30" s="267"/>
      <c r="I30" s="274"/>
      <c r="J30" s="267">
        <v>22</v>
      </c>
      <c r="K30" s="268">
        <f t="shared" si="4"/>
        <v>1397319.7385047837</v>
      </c>
      <c r="L30" s="268">
        <f t="shared" si="1"/>
        <v>5426.8746272268436</v>
      </c>
      <c r="M30" s="268">
        <f t="shared" si="5"/>
        <v>51076.977656446383</v>
      </c>
      <c r="N30" s="268">
        <f t="shared" si="10"/>
        <v>56503.852283673223</v>
      </c>
      <c r="P30" s="267">
        <v>22</v>
      </c>
      <c r="Q30" s="268">
        <f t="shared" si="6"/>
        <v>28782.156628377506</v>
      </c>
      <c r="R30" s="268">
        <f t="shared" si="2"/>
        <v>193.08562945962859</v>
      </c>
      <c r="S30" s="268">
        <f t="shared" si="7"/>
        <v>1013.3719288179018</v>
      </c>
      <c r="T30" s="268">
        <f t="shared" si="11"/>
        <v>1206.4575582775303</v>
      </c>
    </row>
    <row r="31" spans="1:20">
      <c r="B31" s="361">
        <v>23</v>
      </c>
      <c r="C31" s="362">
        <f t="shared" si="3"/>
        <v>6872365.8877058662</v>
      </c>
      <c r="D31" s="362">
        <f t="shared" si="0"/>
        <v>36115.367552387834</v>
      </c>
      <c r="E31" s="362">
        <f t="shared" si="8"/>
        <v>257247.41839821602</v>
      </c>
      <c r="F31" s="362">
        <f t="shared" si="9"/>
        <v>293362.78595060384</v>
      </c>
      <c r="G31" s="267"/>
      <c r="H31" s="267"/>
      <c r="I31" s="274"/>
      <c r="J31" s="267">
        <v>23</v>
      </c>
      <c r="K31" s="268">
        <f t="shared" si="4"/>
        <v>1346051.3848592963</v>
      </c>
      <c r="L31" s="268">
        <f t="shared" si="1"/>
        <v>5235.498638185768</v>
      </c>
      <c r="M31" s="268">
        <f t="shared" si="5"/>
        <v>51268.353645487456</v>
      </c>
      <c r="N31" s="268">
        <f t="shared" si="10"/>
        <v>56503.852283673223</v>
      </c>
      <c r="P31" s="267">
        <v>23</v>
      </c>
      <c r="Q31" s="268">
        <f t="shared" si="6"/>
        <v>27762.217688795659</v>
      </c>
      <c r="R31" s="268">
        <f t="shared" si="2"/>
        <v>186.51861869568393</v>
      </c>
      <c r="S31" s="268">
        <f t="shared" si="7"/>
        <v>1019.9389395818464</v>
      </c>
      <c r="T31" s="268">
        <f t="shared" si="11"/>
        <v>1206.4575582775303</v>
      </c>
    </row>
    <row r="32" spans="1:20" ht="15.75">
      <c r="A32" s="277">
        <v>2017</v>
      </c>
      <c r="B32" s="361">
        <v>24</v>
      </c>
      <c r="C32" s="362">
        <f t="shared" si="3"/>
        <v>6613815.3712757556</v>
      </c>
      <c r="D32" s="362">
        <f t="shared" si="0"/>
        <v>34812.269520493137</v>
      </c>
      <c r="E32" s="362">
        <f t="shared" si="8"/>
        <v>258550.5164301107</v>
      </c>
      <c r="F32" s="362">
        <f t="shared" si="9"/>
        <v>293362.78595060384</v>
      </c>
      <c r="G32" s="269">
        <f>+SUM(D21:D32)+SUM(L21:L32)+SUM(R21:R32)</f>
        <v>577951.56467245345</v>
      </c>
      <c r="H32" s="269">
        <f>+SUM(E21:E32)+SUM(M21:M32)+SUM(S21:S32)</f>
        <v>3634925.5848382008</v>
      </c>
      <c r="I32" s="193"/>
      <c r="J32" s="267">
        <v>24</v>
      </c>
      <c r="K32" s="268">
        <f t="shared" si="4"/>
        <v>1294590.9381743302</v>
      </c>
      <c r="L32" s="268">
        <f t="shared" si="1"/>
        <v>5043.4055987070615</v>
      </c>
      <c r="M32" s="268">
        <f t="shared" si="5"/>
        <v>51460.446684966162</v>
      </c>
      <c r="N32" s="268">
        <f t="shared" si="10"/>
        <v>56503.852283673223</v>
      </c>
      <c r="P32" s="267">
        <v>24</v>
      </c>
      <c r="Q32" s="268">
        <f t="shared" si="6"/>
        <v>26735.66918188288</v>
      </c>
      <c r="R32" s="268">
        <f t="shared" si="2"/>
        <v>179.90905136475001</v>
      </c>
      <c r="S32" s="268">
        <f t="shared" si="7"/>
        <v>1026.5485069127803</v>
      </c>
      <c r="T32" s="268">
        <f t="shared" si="11"/>
        <v>1206.4575582775303</v>
      </c>
    </row>
    <row r="33" spans="1:20">
      <c r="B33" s="361">
        <v>25</v>
      </c>
      <c r="C33" s="362">
        <f t="shared" si="3"/>
        <v>6353955.1559137637</v>
      </c>
      <c r="D33" s="362">
        <f t="shared" si="0"/>
        <v>33502.570588611568</v>
      </c>
      <c r="E33" s="362">
        <f t="shared" si="8"/>
        <v>259860.21536199228</v>
      </c>
      <c r="F33" s="362">
        <f t="shared" si="9"/>
        <v>293362.78595060384</v>
      </c>
      <c r="G33" s="267"/>
      <c r="H33" s="267"/>
      <c r="I33" s="274"/>
      <c r="J33" s="267">
        <v>25</v>
      </c>
      <c r="K33" s="268">
        <f t="shared" si="4"/>
        <v>1242937.6787127922</v>
      </c>
      <c r="L33" s="268">
        <f t="shared" si="1"/>
        <v>4850.5928221353452</v>
      </c>
      <c r="M33" s="268">
        <f t="shared" si="5"/>
        <v>51653.259461537877</v>
      </c>
      <c r="N33" s="268">
        <f t="shared" si="10"/>
        <v>56503.852283673223</v>
      </c>
      <c r="P33" s="267">
        <v>25</v>
      </c>
      <c r="Q33" s="268">
        <f t="shared" si="6"/>
        <v>25702.468275290477</v>
      </c>
      <c r="R33" s="268">
        <f t="shared" si="2"/>
        <v>173.25665168512666</v>
      </c>
      <c r="S33" s="268">
        <f t="shared" si="7"/>
        <v>1033.2009065924037</v>
      </c>
      <c r="T33" s="268">
        <f t="shared" si="11"/>
        <v>1206.4575582775303</v>
      </c>
    </row>
    <row r="34" spans="1:20">
      <c r="B34" s="361">
        <v>26</v>
      </c>
      <c r="C34" s="362">
        <f t="shared" si="3"/>
        <v>6092778.6072827559</v>
      </c>
      <c r="D34" s="362">
        <f t="shared" si="0"/>
        <v>32186.237319595981</v>
      </c>
      <c r="E34" s="362">
        <f t="shared" si="8"/>
        <v>261176.54863100784</v>
      </c>
      <c r="F34" s="362">
        <f t="shared" si="9"/>
        <v>293362.78595060384</v>
      </c>
      <c r="G34" s="267"/>
      <c r="H34" s="267"/>
      <c r="I34" s="274"/>
      <c r="J34" s="267">
        <v>26</v>
      </c>
      <c r="K34" s="268">
        <f t="shared" si="4"/>
        <v>1191090.8840408679</v>
      </c>
      <c r="L34" s="268">
        <f t="shared" si="1"/>
        <v>4657.0576117488417</v>
      </c>
      <c r="M34" s="268">
        <f t="shared" si="5"/>
        <v>51846.794671924377</v>
      </c>
      <c r="N34" s="268">
        <f t="shared" si="10"/>
        <v>56503.852283673223</v>
      </c>
      <c r="P34" s="267">
        <v>26</v>
      </c>
      <c r="Q34" s="268">
        <f t="shared" si="6"/>
        <v>24662.571859100895</v>
      </c>
      <c r="R34" s="268">
        <f t="shared" si="2"/>
        <v>166.56114208795</v>
      </c>
      <c r="S34" s="268">
        <f t="shared" si="7"/>
        <v>1039.8964161895803</v>
      </c>
      <c r="T34" s="268">
        <f t="shared" si="11"/>
        <v>1206.4575582775303</v>
      </c>
    </row>
    <row r="35" spans="1:20">
      <c r="B35" s="361">
        <v>27</v>
      </c>
      <c r="C35" s="362">
        <f t="shared" si="3"/>
        <v>5830279.0574390739</v>
      </c>
      <c r="D35" s="362">
        <f t="shared" si="0"/>
        <v>30863.236106921904</v>
      </c>
      <c r="E35" s="362">
        <f t="shared" si="8"/>
        <v>262499.54984368192</v>
      </c>
      <c r="F35" s="362">
        <f t="shared" si="9"/>
        <v>293362.78595060384</v>
      </c>
      <c r="G35" s="267"/>
      <c r="H35" s="267"/>
      <c r="I35" s="274"/>
      <c r="J35" s="267">
        <v>27</v>
      </c>
      <c r="K35" s="268">
        <f t="shared" si="4"/>
        <v>1139049.8290179162</v>
      </c>
      <c r="L35" s="268">
        <f t="shared" si="1"/>
        <v>4462.7972607216543</v>
      </c>
      <c r="M35" s="268">
        <f t="shared" si="5"/>
        <v>52041.055022951565</v>
      </c>
      <c r="N35" s="268">
        <f t="shared" si="10"/>
        <v>56503.852283673223</v>
      </c>
      <c r="P35" s="267">
        <v>27</v>
      </c>
      <c r="Q35" s="268">
        <f t="shared" si="6"/>
        <v>23615.936544028977</v>
      </c>
      <c r="R35" s="268">
        <f t="shared" si="2"/>
        <v>159.82224320561122</v>
      </c>
      <c r="S35" s="268">
        <f t="shared" si="7"/>
        <v>1046.6353150719192</v>
      </c>
      <c r="T35" s="268">
        <f t="shared" si="11"/>
        <v>1206.4575582775303</v>
      </c>
    </row>
    <row r="36" spans="1:20">
      <c r="B36" s="361">
        <v>28</v>
      </c>
      <c r="C36" s="362">
        <f t="shared" si="3"/>
        <v>5566449.8046622993</v>
      </c>
      <c r="D36" s="362">
        <f t="shared" si="0"/>
        <v>29533.533173829543</v>
      </c>
      <c r="E36" s="362">
        <f t="shared" si="8"/>
        <v>263829.25277677429</v>
      </c>
      <c r="F36" s="362">
        <f t="shared" si="9"/>
        <v>293362.78595060384</v>
      </c>
      <c r="G36" s="267"/>
      <c r="H36" s="267"/>
      <c r="I36" s="274"/>
      <c r="J36" s="267">
        <v>28</v>
      </c>
      <c r="K36" s="268">
        <f t="shared" si="4"/>
        <v>1086813.7857863288</v>
      </c>
      <c r="L36" s="268">
        <f t="shared" si="1"/>
        <v>4267.8090520859105</v>
      </c>
      <c r="M36" s="268">
        <f t="shared" si="5"/>
        <v>52236.043231587311</v>
      </c>
      <c r="N36" s="268">
        <f t="shared" si="10"/>
        <v>56503.852283673223</v>
      </c>
      <c r="P36" s="267">
        <v>28</v>
      </c>
      <c r="Q36" s="268">
        <f t="shared" si="6"/>
        <v>22562.518659611545</v>
      </c>
      <c r="R36" s="268">
        <f t="shared" si="2"/>
        <v>153.03967386009998</v>
      </c>
      <c r="S36" s="268">
        <f t="shared" si="7"/>
        <v>1053.4178844174303</v>
      </c>
      <c r="T36" s="268">
        <f t="shared" si="11"/>
        <v>1206.4575582775303</v>
      </c>
    </row>
    <row r="37" spans="1:20">
      <c r="B37" s="361">
        <v>29</v>
      </c>
      <c r="C37" s="362">
        <f t="shared" si="3"/>
        <v>5301284.1132841567</v>
      </c>
      <c r="D37" s="362">
        <f t="shared" si="0"/>
        <v>28197.094572461454</v>
      </c>
      <c r="E37" s="362">
        <f t="shared" si="8"/>
        <v>265165.69137814239</v>
      </c>
      <c r="F37" s="362">
        <f t="shared" si="9"/>
        <v>293362.78595060384</v>
      </c>
      <c r="G37" s="267"/>
      <c r="H37" s="267"/>
      <c r="I37" s="274"/>
      <c r="J37" s="267">
        <v>29</v>
      </c>
      <c r="K37" s="268">
        <f t="shared" si="4"/>
        <v>1034382.0237613494</v>
      </c>
      <c r="L37" s="268">
        <f t="shared" si="1"/>
        <v>4072.0902586937614</v>
      </c>
      <c r="M37" s="268">
        <f t="shared" si="5"/>
        <v>52431.762024979464</v>
      </c>
      <c r="N37" s="268">
        <f t="shared" si="10"/>
        <v>56503.852283673223</v>
      </c>
      <c r="P37" s="267">
        <v>29</v>
      </c>
      <c r="Q37" s="268">
        <f t="shared" si="6"/>
        <v>21502.274252385287</v>
      </c>
      <c r="R37" s="268">
        <f t="shared" si="2"/>
        <v>146.21315105127232</v>
      </c>
      <c r="S37" s="268">
        <f t="shared" si="7"/>
        <v>1060.2444072262581</v>
      </c>
      <c r="T37" s="268">
        <f t="shared" si="11"/>
        <v>1206.4575582775303</v>
      </c>
    </row>
    <row r="38" spans="1:20">
      <c r="B38" s="361">
        <v>30</v>
      </c>
      <c r="C38" s="362">
        <f t="shared" si="3"/>
        <v>5034775.2135165483</v>
      </c>
      <c r="D38" s="362">
        <f t="shared" si="0"/>
        <v>26853.886182995844</v>
      </c>
      <c r="E38" s="362">
        <f t="shared" si="8"/>
        <v>266508.89976760797</v>
      </c>
      <c r="F38" s="362">
        <f t="shared" si="9"/>
        <v>293362.78595060384</v>
      </c>
      <c r="G38" s="267"/>
      <c r="H38" s="267"/>
      <c r="I38" s="274"/>
      <c r="J38" s="267">
        <v>30</v>
      </c>
      <c r="K38" s="268">
        <f t="shared" si="4"/>
        <v>981753.80962085538</v>
      </c>
      <c r="L38" s="268">
        <f t="shared" si="1"/>
        <v>3875.638143179242</v>
      </c>
      <c r="M38" s="268">
        <f t="shared" si="5"/>
        <v>52628.214140493983</v>
      </c>
      <c r="N38" s="268">
        <f t="shared" si="10"/>
        <v>56503.852283673223</v>
      </c>
      <c r="P38" s="267">
        <v>30</v>
      </c>
      <c r="Q38" s="268">
        <f t="shared" si="6"/>
        <v>20435.159084052801</v>
      </c>
      <c r="R38" s="268">
        <f t="shared" si="2"/>
        <v>139.3423899450427</v>
      </c>
      <c r="S38" s="268">
        <f t="shared" si="7"/>
        <v>1067.1151683324877</v>
      </c>
      <c r="T38" s="268">
        <f t="shared" si="11"/>
        <v>1206.4575582775303</v>
      </c>
    </row>
    <row r="39" spans="1:20">
      <c r="B39" s="361">
        <v>31</v>
      </c>
      <c r="C39" s="362">
        <f t="shared" si="3"/>
        <v>4766916.3012787197</v>
      </c>
      <c r="D39" s="362">
        <f t="shared" si="0"/>
        <v>25503.873712775461</v>
      </c>
      <c r="E39" s="362">
        <f t="shared" si="8"/>
        <v>267858.91223782836</v>
      </c>
      <c r="F39" s="362">
        <f t="shared" si="9"/>
        <v>293362.78595060384</v>
      </c>
      <c r="G39" s="267"/>
      <c r="H39" s="267"/>
      <c r="I39" s="274"/>
      <c r="J39" s="267">
        <v>31</v>
      </c>
      <c r="K39" s="268">
        <f t="shared" si="4"/>
        <v>928928.40729510214</v>
      </c>
      <c r="L39" s="268">
        <f t="shared" si="1"/>
        <v>3678.4499579199796</v>
      </c>
      <c r="M39" s="268">
        <f t="shared" si="5"/>
        <v>52825.402325753246</v>
      </c>
      <c r="N39" s="268">
        <f t="shared" si="10"/>
        <v>56503.852283673223</v>
      </c>
      <c r="P39" s="267">
        <v>31</v>
      </c>
      <c r="Q39" s="268">
        <f t="shared" si="6"/>
        <v>19361.128629636769</v>
      </c>
      <c r="R39" s="268">
        <f t="shared" si="2"/>
        <v>132.42710386149921</v>
      </c>
      <c r="S39" s="268">
        <f t="shared" si="7"/>
        <v>1074.030454416031</v>
      </c>
      <c r="T39" s="268">
        <f t="shared" si="11"/>
        <v>1206.4575582775303</v>
      </c>
    </row>
    <row r="40" spans="1:20">
      <c r="B40" s="361">
        <v>32</v>
      </c>
      <c r="C40" s="362">
        <f t="shared" si="3"/>
        <v>4497700.5380235482</v>
      </c>
      <c r="D40" s="362">
        <f t="shared" si="0"/>
        <v>24147.022695432119</v>
      </c>
      <c r="E40" s="362">
        <f t="shared" si="8"/>
        <v>269215.76325517171</v>
      </c>
      <c r="F40" s="362">
        <f t="shared" si="9"/>
        <v>293362.78595060384</v>
      </c>
      <c r="G40" s="267"/>
      <c r="H40" s="267"/>
      <c r="I40" s="274"/>
      <c r="J40" s="267">
        <v>32</v>
      </c>
      <c r="K40" s="268">
        <f t="shared" si="4"/>
        <v>875905.0779564277</v>
      </c>
      <c r="L40" s="268">
        <f t="shared" si="1"/>
        <v>3480.5229449987705</v>
      </c>
      <c r="M40" s="268">
        <f t="shared" si="5"/>
        <v>53023.329338674455</v>
      </c>
      <c r="N40" s="268">
        <f t="shared" si="10"/>
        <v>56503.852283673223</v>
      </c>
      <c r="P40" s="267">
        <v>32</v>
      </c>
      <c r="Q40" s="268">
        <f t="shared" si="6"/>
        <v>18280.138075622181</v>
      </c>
      <c r="R40" s="268">
        <f t="shared" si="2"/>
        <v>125.46700426294218</v>
      </c>
      <c r="S40" s="268">
        <f t="shared" si="7"/>
        <v>1080.990554014588</v>
      </c>
      <c r="T40" s="268">
        <f t="shared" si="11"/>
        <v>1206.4575582775303</v>
      </c>
    </row>
    <row r="41" spans="1:20">
      <c r="B41" s="361">
        <v>33</v>
      </c>
      <c r="C41" s="362">
        <f t="shared" si="3"/>
        <v>4227121.0505629508</v>
      </c>
      <c r="D41" s="362">
        <f t="shared" si="0"/>
        <v>22783.298490006717</v>
      </c>
      <c r="E41" s="362">
        <f t="shared" si="8"/>
        <v>270579.48746059713</v>
      </c>
      <c r="F41" s="362">
        <f t="shared" si="9"/>
        <v>293362.78595060384</v>
      </c>
      <c r="G41" s="267"/>
      <c r="H41" s="267"/>
      <c r="I41" s="274"/>
      <c r="J41" s="267">
        <v>33</v>
      </c>
      <c r="K41" s="268">
        <f t="shared" si="4"/>
        <v>822683.08000891947</v>
      </c>
      <c r="L41" s="268">
        <f t="shared" si="1"/>
        <v>3281.8543361650059</v>
      </c>
      <c r="M41" s="268">
        <f t="shared" si="5"/>
        <v>53221.997947508215</v>
      </c>
      <c r="N41" s="268">
        <f t="shared" si="10"/>
        <v>56503.852283673223</v>
      </c>
      <c r="P41" s="267">
        <v>33</v>
      </c>
      <c r="Q41" s="268">
        <f t="shared" si="6"/>
        <v>17192.142318086495</v>
      </c>
      <c r="R41" s="268">
        <f t="shared" si="2"/>
        <v>118.46180074184491</v>
      </c>
      <c r="S41" s="268">
        <f t="shared" si="7"/>
        <v>1087.9957575356855</v>
      </c>
      <c r="T41" s="268">
        <f t="shared" si="11"/>
        <v>1206.4575582775303</v>
      </c>
    </row>
    <row r="42" spans="1:20">
      <c r="B42" s="361">
        <v>34</v>
      </c>
      <c r="C42" s="362">
        <f t="shared" si="3"/>
        <v>3955170.9308924116</v>
      </c>
      <c r="D42" s="362">
        <f t="shared" si="0"/>
        <v>21412.666280064877</v>
      </c>
      <c r="E42" s="362">
        <f t="shared" si="8"/>
        <v>271950.11967053893</v>
      </c>
      <c r="F42" s="362">
        <f t="shared" si="9"/>
        <v>293362.78595060384</v>
      </c>
      <c r="G42" s="267"/>
      <c r="H42" s="267"/>
      <c r="I42" s="274"/>
      <c r="J42" s="267">
        <v>34</v>
      </c>
      <c r="K42" s="268">
        <f t="shared" si="4"/>
        <v>769261.66907804215</v>
      </c>
      <c r="L42" s="268">
        <f t="shared" si="1"/>
        <v>3082.4413527959518</v>
      </c>
      <c r="M42" s="268">
        <f t="shared" si="5"/>
        <v>53421.410930877268</v>
      </c>
      <c r="N42" s="268">
        <f t="shared" si="10"/>
        <v>56503.852283673223</v>
      </c>
      <c r="P42" s="267">
        <v>34</v>
      </c>
      <c r="Q42" s="268">
        <f t="shared" si="6"/>
        <v>16097.095960817702</v>
      </c>
      <c r="R42" s="268">
        <f t="shared" si="2"/>
        <v>111.41120100873658</v>
      </c>
      <c r="S42" s="268">
        <f t="shared" si="7"/>
        <v>1095.0463572687938</v>
      </c>
      <c r="T42" s="268">
        <f t="shared" si="11"/>
        <v>1206.4575582775303</v>
      </c>
    </row>
    <row r="43" spans="1:20">
      <c r="B43" s="361">
        <v>35</v>
      </c>
      <c r="C43" s="362">
        <f t="shared" si="3"/>
        <v>3681843.2360146157</v>
      </c>
      <c r="D43" s="362">
        <f t="shared" si="0"/>
        <v>20035.091072808049</v>
      </c>
      <c r="E43" s="362">
        <f t="shared" si="8"/>
        <v>273327.69487779576</v>
      </c>
      <c r="F43" s="362">
        <f t="shared" si="9"/>
        <v>293362.78595060384</v>
      </c>
      <c r="G43" s="267"/>
      <c r="H43" s="267"/>
      <c r="I43" s="274"/>
      <c r="J43" s="267">
        <v>35</v>
      </c>
      <c r="K43" s="268">
        <f t="shared" si="4"/>
        <v>715640.09800022678</v>
      </c>
      <c r="L43" s="268">
        <f t="shared" si="1"/>
        <v>2882.2812058578911</v>
      </c>
      <c r="M43" s="268">
        <f t="shared" si="5"/>
        <v>53621.57107781533</v>
      </c>
      <c r="N43" s="268">
        <f t="shared" si="10"/>
        <v>56503.852283673223</v>
      </c>
      <c r="P43" s="267">
        <v>35</v>
      </c>
      <c r="Q43" s="268">
        <f t="shared" si="6"/>
        <v>14994.953313420177</v>
      </c>
      <c r="R43" s="268">
        <f t="shared" si="2"/>
        <v>104.31491088000661</v>
      </c>
      <c r="S43" s="268">
        <f t="shared" si="7"/>
        <v>1102.1426473975237</v>
      </c>
      <c r="T43" s="268">
        <f t="shared" si="11"/>
        <v>1206.4575582775303</v>
      </c>
    </row>
    <row r="44" spans="1:20" ht="15.75">
      <c r="A44" s="277">
        <v>2018</v>
      </c>
      <c r="B44" s="361">
        <v>36</v>
      </c>
      <c r="C44" s="362">
        <f t="shared" si="3"/>
        <v>3407130.9877621923</v>
      </c>
      <c r="D44" s="362">
        <f t="shared" si="0"/>
        <v>18650.537698180131</v>
      </c>
      <c r="E44" s="362">
        <f t="shared" si="8"/>
        <v>274712.24825242371</v>
      </c>
      <c r="F44" s="362">
        <f t="shared" si="9"/>
        <v>293362.78595060384</v>
      </c>
      <c r="G44" s="269">
        <f>+SUM(D33:D44)+SUM(L33:L44)+SUM(R33:R44)</f>
        <v>360569.44384270883</v>
      </c>
      <c r="H44" s="269">
        <f>+SUM(E33:E44)+SUM(M33:M44)+SUM(S33:S44)</f>
        <v>3852307.705667946</v>
      </c>
      <c r="I44" s="193"/>
      <c r="J44" s="267">
        <v>36</v>
      </c>
      <c r="K44" s="268">
        <f t="shared" si="4"/>
        <v>661817.61681242066</v>
      </c>
      <c r="L44" s="268">
        <f t="shared" si="1"/>
        <v>2681.3710958671113</v>
      </c>
      <c r="M44" s="268">
        <f t="shared" si="5"/>
        <v>53822.481187806108</v>
      </c>
      <c r="N44" s="268">
        <f t="shared" si="10"/>
        <v>56503.852283673223</v>
      </c>
      <c r="P44" s="267">
        <v>36</v>
      </c>
      <c r="Q44" s="268">
        <f t="shared" si="6"/>
        <v>13885.668389408276</v>
      </c>
      <c r="R44" s="268">
        <f t="shared" si="2"/>
        <v>97.17263426562981</v>
      </c>
      <c r="S44" s="268">
        <f t="shared" si="7"/>
        <v>1109.2849240119006</v>
      </c>
      <c r="T44" s="268">
        <f t="shared" si="11"/>
        <v>1206.4575582775303</v>
      </c>
    </row>
    <row r="45" spans="1:20">
      <c r="B45" s="361">
        <v>37</v>
      </c>
      <c r="C45" s="362">
        <f t="shared" si="3"/>
        <v>3131027.1726195579</v>
      </c>
      <c r="D45" s="362">
        <f t="shared" si="0"/>
        <v>17258.97080796957</v>
      </c>
      <c r="E45" s="362">
        <f t="shared" si="8"/>
        <v>276103.81514263427</v>
      </c>
      <c r="F45" s="362">
        <f t="shared" si="9"/>
        <v>293362.78595060384</v>
      </c>
      <c r="G45" s="267"/>
      <c r="H45" s="267"/>
      <c r="I45" s="274"/>
      <c r="J45" s="267">
        <v>37</v>
      </c>
      <c r="K45" s="268">
        <f t="shared" si="4"/>
        <v>607793.47274159815</v>
      </c>
      <c r="L45" s="268">
        <f t="shared" si="1"/>
        <v>2479.7082128507532</v>
      </c>
      <c r="M45" s="268">
        <f t="shared" si="5"/>
        <v>54024.144070822469</v>
      </c>
      <c r="N45" s="268">
        <f t="shared" si="10"/>
        <v>56503.852283673223</v>
      </c>
      <c r="P45" s="267">
        <v>37</v>
      </c>
      <c r="Q45" s="268">
        <f t="shared" si="6"/>
        <v>12769.194904287559</v>
      </c>
      <c r="R45" s="268">
        <f t="shared" si="2"/>
        <v>89.984073156812386</v>
      </c>
      <c r="S45" s="268">
        <f t="shared" si="7"/>
        <v>1116.4734851207179</v>
      </c>
      <c r="T45" s="268">
        <f t="shared" si="11"/>
        <v>1206.4575582775303</v>
      </c>
    </row>
    <row r="46" spans="1:20">
      <c r="B46" s="361">
        <v>38</v>
      </c>
      <c r="C46" s="362">
        <f t="shared" si="3"/>
        <v>2853524.7415438611</v>
      </c>
      <c r="D46" s="362">
        <f t="shared" si="0"/>
        <v>15860.354874906901</v>
      </c>
      <c r="E46" s="362">
        <f t="shared" si="8"/>
        <v>277502.43107569695</v>
      </c>
      <c r="F46" s="362">
        <f t="shared" si="9"/>
        <v>293362.78595060384</v>
      </c>
      <c r="G46" s="267"/>
      <c r="H46" s="267"/>
      <c r="I46" s="274"/>
      <c r="J46" s="267">
        <v>38</v>
      </c>
      <c r="K46" s="268">
        <f t="shared" si="4"/>
        <v>553566.91019423248</v>
      </c>
      <c r="L46" s="268">
        <f t="shared" si="1"/>
        <v>2277.289736307509</v>
      </c>
      <c r="M46" s="268">
        <f t="shared" si="5"/>
        <v>54226.562547365713</v>
      </c>
      <c r="N46" s="268">
        <f t="shared" si="10"/>
        <v>56503.852283673223</v>
      </c>
      <c r="P46" s="267">
        <v>38</v>
      </c>
      <c r="Q46" s="268">
        <f t="shared" si="6"/>
        <v>11645.486273623586</v>
      </c>
      <c r="R46" s="268">
        <f t="shared" si="2"/>
        <v>82.748927613557399</v>
      </c>
      <c r="S46" s="268">
        <f t="shared" si="7"/>
        <v>1123.7086306639728</v>
      </c>
      <c r="T46" s="268">
        <f t="shared" si="11"/>
        <v>1206.4575582775303</v>
      </c>
    </row>
    <row r="47" spans="1:20">
      <c r="B47" s="361">
        <v>39</v>
      </c>
      <c r="C47" s="362">
        <f t="shared" si="3"/>
        <v>2574616.6097850148</v>
      </c>
      <c r="D47" s="362">
        <f t="shared" si="0"/>
        <v>14454.654191757725</v>
      </c>
      <c r="E47" s="362">
        <f t="shared" si="8"/>
        <v>278908.13175884611</v>
      </c>
      <c r="F47" s="362">
        <f t="shared" si="9"/>
        <v>293362.78595060384</v>
      </c>
      <c r="G47" s="267"/>
      <c r="H47" s="267"/>
      <c r="I47" s="274"/>
      <c r="J47" s="267">
        <v>39</v>
      </c>
      <c r="K47" s="268">
        <f t="shared" si="4"/>
        <v>499137.17074572743</v>
      </c>
      <c r="L47" s="268">
        <f t="shared" si="1"/>
        <v>2074.1128351681737</v>
      </c>
      <c r="M47" s="268">
        <f t="shared" si="5"/>
        <v>54429.739448505046</v>
      </c>
      <c r="N47" s="268">
        <f t="shared" si="10"/>
        <v>56503.852283673223</v>
      </c>
      <c r="P47" s="267">
        <v>39</v>
      </c>
      <c r="Q47" s="268">
        <f t="shared" si="6"/>
        <v>10514.495611098206</v>
      </c>
      <c r="R47" s="268">
        <f t="shared" si="2"/>
        <v>75.466895752150009</v>
      </c>
      <c r="S47" s="268">
        <f t="shared" si="7"/>
        <v>1130.9906625253802</v>
      </c>
      <c r="T47" s="268">
        <f t="shared" si="11"/>
        <v>1206.4575582775303</v>
      </c>
    </row>
    <row r="48" spans="1:20">
      <c r="B48" s="361">
        <v>40</v>
      </c>
      <c r="C48" s="362">
        <f t="shared" si="3"/>
        <v>2294295.6567048221</v>
      </c>
      <c r="D48" s="362">
        <f t="shared" si="0"/>
        <v>13041.832870411086</v>
      </c>
      <c r="E48" s="362">
        <f t="shared" si="8"/>
        <v>280320.95308019273</v>
      </c>
      <c r="F48" s="362">
        <f t="shared" si="9"/>
        <v>293362.78595060384</v>
      </c>
      <c r="G48" s="267"/>
      <c r="H48" s="267"/>
      <c r="I48" s="274"/>
      <c r="J48" s="267">
        <v>40</v>
      </c>
      <c r="K48" s="268">
        <f t="shared" si="4"/>
        <v>444503.49312981026</v>
      </c>
      <c r="L48" s="268">
        <f t="shared" si="1"/>
        <v>1870.1746677560491</v>
      </c>
      <c r="M48" s="268">
        <f t="shared" si="5"/>
        <v>54633.677615917171</v>
      </c>
      <c r="N48" s="268">
        <f t="shared" si="10"/>
        <v>56503.852283673223</v>
      </c>
      <c r="P48" s="267">
        <v>40</v>
      </c>
      <c r="Q48" s="268">
        <f t="shared" si="6"/>
        <v>9376.175726553236</v>
      </c>
      <c r="R48" s="268">
        <f t="shared" si="2"/>
        <v>68.137673732561481</v>
      </c>
      <c r="S48" s="268">
        <f t="shared" si="7"/>
        <v>1138.3198845449688</v>
      </c>
      <c r="T48" s="268">
        <f t="shared" si="11"/>
        <v>1206.4575582775303</v>
      </c>
    </row>
    <row r="49" spans="1:20">
      <c r="B49" s="361">
        <v>41</v>
      </c>
      <c r="C49" s="362">
        <f t="shared" si="3"/>
        <v>2012554.7255951816</v>
      </c>
      <c r="D49" s="362">
        <f t="shared" si="0"/>
        <v>11621.85484096324</v>
      </c>
      <c r="E49" s="362">
        <f t="shared" si="8"/>
        <v>281740.93110964057</v>
      </c>
      <c r="F49" s="362">
        <f t="shared" si="9"/>
        <v>293362.78595060384</v>
      </c>
      <c r="G49" s="267"/>
      <c r="H49" s="267"/>
      <c r="I49" s="274"/>
      <c r="J49" s="267">
        <v>41</v>
      </c>
      <c r="K49" s="268">
        <f t="shared" si="4"/>
        <v>389665.11322788423</v>
      </c>
      <c r="L49" s="268">
        <f t="shared" si="1"/>
        <v>1665.4723817472013</v>
      </c>
      <c r="M49" s="268">
        <f t="shared" si="5"/>
        <v>54838.379901926019</v>
      </c>
      <c r="N49" s="268">
        <f t="shared" si="10"/>
        <v>56503.852283673223</v>
      </c>
      <c r="P49" s="267">
        <v>41</v>
      </c>
      <c r="Q49" s="268">
        <f t="shared" si="6"/>
        <v>8230.4791240214763</v>
      </c>
      <c r="R49" s="268">
        <f t="shared" si="2"/>
        <v>60.760955745771525</v>
      </c>
      <c r="S49" s="268">
        <f t="shared" si="7"/>
        <v>1145.6966025317588</v>
      </c>
      <c r="T49" s="268">
        <f t="shared" si="11"/>
        <v>1206.4575582775303</v>
      </c>
    </row>
    <row r="50" spans="1:20">
      <c r="B50" s="361">
        <v>42</v>
      </c>
      <c r="C50" s="362">
        <f t="shared" si="3"/>
        <v>1729386.6234953746</v>
      </c>
      <c r="D50" s="362">
        <f t="shared" si="0"/>
        <v>10194.683850796764</v>
      </c>
      <c r="E50" s="362">
        <f t="shared" si="8"/>
        <v>283168.10209980706</v>
      </c>
      <c r="F50" s="362">
        <f t="shared" si="9"/>
        <v>293362.78595060384</v>
      </c>
      <c r="G50" s="267"/>
      <c r="H50" s="267"/>
      <c r="I50" s="274"/>
      <c r="J50" s="267">
        <v>42</v>
      </c>
      <c r="K50" s="268">
        <f t="shared" si="4"/>
        <v>334621.26405834156</v>
      </c>
      <c r="L50" s="268">
        <f t="shared" si="1"/>
        <v>1460.0031141305651</v>
      </c>
      <c r="M50" s="268">
        <f t="shared" si="5"/>
        <v>55043.849169542656</v>
      </c>
      <c r="N50" s="268">
        <f t="shared" si="10"/>
        <v>56503.852283673223</v>
      </c>
      <c r="P50" s="267">
        <v>42</v>
      </c>
      <c r="Q50" s="268">
        <f t="shared" si="6"/>
        <v>7077.3579997449542</v>
      </c>
      <c r="R50" s="268">
        <f t="shared" si="2"/>
        <v>53.336434001008577</v>
      </c>
      <c r="S50" s="268">
        <f t="shared" si="7"/>
        <v>1153.1211242765216</v>
      </c>
      <c r="T50" s="268">
        <f t="shared" si="11"/>
        <v>1206.4575582775303</v>
      </c>
    </row>
    <row r="51" spans="1:20">
      <c r="B51" s="361">
        <v>43</v>
      </c>
      <c r="C51" s="362">
        <f t="shared" si="3"/>
        <v>1444784.1210084257</v>
      </c>
      <c r="D51" s="362">
        <f t="shared" si="0"/>
        <v>8760.2834636550215</v>
      </c>
      <c r="E51" s="362">
        <f t="shared" si="8"/>
        <v>284602.5024869488</v>
      </c>
      <c r="F51" s="362">
        <f t="shared" si="9"/>
        <v>293362.78595060384</v>
      </c>
      <c r="G51" s="267"/>
      <c r="H51" s="267"/>
      <c r="I51" s="274"/>
      <c r="J51" s="267">
        <v>43</v>
      </c>
      <c r="K51" s="268">
        <f t="shared" si="4"/>
        <v>279371.17576583626</v>
      </c>
      <c r="L51" s="268">
        <f t="shared" si="1"/>
        <v>1253.7639911679025</v>
      </c>
      <c r="M51" s="268">
        <f t="shared" si="5"/>
        <v>55250.088292505323</v>
      </c>
      <c r="N51" s="268">
        <f t="shared" si="10"/>
        <v>56503.852283673223</v>
      </c>
      <c r="P51" s="267">
        <v>43</v>
      </c>
      <c r="Q51" s="268">
        <f t="shared" si="6"/>
        <v>5916.7642401803314</v>
      </c>
      <c r="R51" s="268">
        <f t="shared" si="2"/>
        <v>45.863798712907332</v>
      </c>
      <c r="S51" s="268">
        <f t="shared" si="7"/>
        <v>1160.593759564623</v>
      </c>
      <c r="T51" s="268">
        <f t="shared" si="11"/>
        <v>1206.4575582775303</v>
      </c>
    </row>
    <row r="52" spans="1:20">
      <c r="B52" s="361">
        <v>44</v>
      </c>
      <c r="C52" s="362">
        <f t="shared" si="3"/>
        <v>1158739.9521165339</v>
      </c>
      <c r="D52" s="362">
        <f t="shared" si="0"/>
        <v>7318.6170587119259</v>
      </c>
      <c r="E52" s="362">
        <f t="shared" si="8"/>
        <v>286044.1688918919</v>
      </c>
      <c r="F52" s="362">
        <f t="shared" si="9"/>
        <v>293362.78595060384</v>
      </c>
      <c r="G52" s="267"/>
      <c r="H52" s="267"/>
      <c r="I52" s="274"/>
      <c r="J52" s="267">
        <v>44</v>
      </c>
      <c r="K52" s="268">
        <f t="shared" si="4"/>
        <v>223914.07561051665</v>
      </c>
      <c r="L52" s="268">
        <f t="shared" si="1"/>
        <v>1046.7521283536105</v>
      </c>
      <c r="M52" s="268">
        <f t="shared" si="5"/>
        <v>55457.100155319611</v>
      </c>
      <c r="N52" s="268">
        <f t="shared" si="10"/>
        <v>56503.852283673223</v>
      </c>
      <c r="P52" s="267">
        <v>44</v>
      </c>
      <c r="Q52" s="268">
        <f t="shared" si="6"/>
        <v>4748.6494199913841</v>
      </c>
      <c r="R52" s="268">
        <f t="shared" si="2"/>
        <v>38.342738088583047</v>
      </c>
      <c r="S52" s="268">
        <f t="shared" si="7"/>
        <v>1168.1148201889473</v>
      </c>
      <c r="T52" s="268">
        <f t="shared" si="11"/>
        <v>1206.4575582775303</v>
      </c>
    </row>
    <row r="53" spans="1:20">
      <c r="B53" s="361">
        <v>45</v>
      </c>
      <c r="C53" s="362">
        <f t="shared" si="3"/>
        <v>871246.81399556703</v>
      </c>
      <c r="D53" s="362">
        <f t="shared" si="0"/>
        <v>5869.6478296369987</v>
      </c>
      <c r="E53" s="362">
        <f t="shared" si="8"/>
        <v>287493.13812096685</v>
      </c>
      <c r="F53" s="362">
        <f t="shared" si="9"/>
        <v>293362.78595060384</v>
      </c>
      <c r="G53" s="267"/>
      <c r="H53" s="267"/>
      <c r="I53" s="274"/>
      <c r="J53" s="267">
        <v>45</v>
      </c>
      <c r="K53" s="268">
        <f t="shared" si="4"/>
        <v>168249.1879572178</v>
      </c>
      <c r="L53" s="268">
        <f t="shared" si="1"/>
        <v>838.96463037437559</v>
      </c>
      <c r="M53" s="268">
        <f t="shared" si="5"/>
        <v>55664.887653298851</v>
      </c>
      <c r="N53" s="268">
        <f t="shared" si="10"/>
        <v>56503.852283673223</v>
      </c>
      <c r="P53" s="267">
        <v>45</v>
      </c>
      <c r="Q53" s="268">
        <f t="shared" si="6"/>
        <v>3572.964800028476</v>
      </c>
      <c r="R53" s="268">
        <f t="shared" si="2"/>
        <v>30.772938314622134</v>
      </c>
      <c r="S53" s="268">
        <f t="shared" si="7"/>
        <v>1175.6846199629083</v>
      </c>
      <c r="T53" s="268">
        <f t="shared" si="11"/>
        <v>1206.4575582775303</v>
      </c>
    </row>
    <row r="54" spans="1:20">
      <c r="B54" s="361">
        <v>46</v>
      </c>
      <c r="C54" s="362">
        <f t="shared" si="3"/>
        <v>582297.3668286188</v>
      </c>
      <c r="D54" s="362">
        <f t="shared" si="0"/>
        <v>4413.3387836556849</v>
      </c>
      <c r="E54" s="362">
        <f t="shared" si="8"/>
        <v>288949.44716694817</v>
      </c>
      <c r="F54" s="362">
        <f t="shared" si="9"/>
        <v>293362.78595060384</v>
      </c>
      <c r="G54" s="267"/>
      <c r="H54" s="267"/>
      <c r="I54" s="274"/>
      <c r="J54" s="267">
        <v>46</v>
      </c>
      <c r="K54" s="268">
        <f t="shared" si="4"/>
        <v>112375.73426461326</v>
      </c>
      <c r="L54" s="268">
        <f t="shared" si="1"/>
        <v>630.39859106868221</v>
      </c>
      <c r="M54" s="268">
        <f t="shared" si="5"/>
        <v>55873.45369260454</v>
      </c>
      <c r="N54" s="268">
        <f t="shared" si="10"/>
        <v>56503.852283673223</v>
      </c>
      <c r="P54" s="267">
        <v>46</v>
      </c>
      <c r="Q54" s="268">
        <f t="shared" si="6"/>
        <v>2389.6613252949342</v>
      </c>
      <c r="R54" s="268">
        <f t="shared" si="2"/>
        <v>23.154083543988389</v>
      </c>
      <c r="S54" s="268">
        <f t="shared" si="7"/>
        <v>1183.3034747335419</v>
      </c>
      <c r="T54" s="268">
        <f t="shared" si="11"/>
        <v>1206.4575582775303</v>
      </c>
    </row>
    <row r="55" spans="1:20">
      <c r="B55" s="361">
        <v>47</v>
      </c>
      <c r="C55" s="362">
        <f t="shared" si="3"/>
        <v>291884.23361861991</v>
      </c>
      <c r="D55" s="362">
        <f t="shared" si="0"/>
        <v>2949.6527406049149</v>
      </c>
      <c r="E55" s="362">
        <f t="shared" si="8"/>
        <v>290413.13320999889</v>
      </c>
      <c r="F55" s="362">
        <f t="shared" si="9"/>
        <v>293362.78595060384</v>
      </c>
      <c r="G55" s="267"/>
      <c r="H55" s="267"/>
      <c r="I55" s="274"/>
      <c r="J55" s="267">
        <v>47</v>
      </c>
      <c r="K55" s="268">
        <f t="shared" si="4"/>
        <v>56292.933074326203</v>
      </c>
      <c r="L55" s="268">
        <f t="shared" si="1"/>
        <v>421.05109338616438</v>
      </c>
      <c r="M55" s="268">
        <f t="shared" si="5"/>
        <v>56082.801190287057</v>
      </c>
      <c r="N55" s="268">
        <f t="shared" si="10"/>
        <v>56503.852283673223</v>
      </c>
      <c r="P55" s="267">
        <v>47</v>
      </c>
      <c r="Q55" s="268">
        <f t="shared" si="6"/>
        <v>1198.6896229002482</v>
      </c>
      <c r="R55" s="268">
        <f t="shared" si="2"/>
        <v>15.485855882844392</v>
      </c>
      <c r="S55" s="268">
        <f t="shared" si="7"/>
        <v>1190.971702394686</v>
      </c>
      <c r="T55" s="268">
        <f t="shared" si="11"/>
        <v>1206.4575582775303</v>
      </c>
    </row>
    <row r="56" spans="1:20" ht="15.75">
      <c r="A56" s="277">
        <v>2019</v>
      </c>
      <c r="B56" s="361">
        <v>48</v>
      </c>
      <c r="C56" s="362">
        <f t="shared" si="3"/>
        <v>0</v>
      </c>
      <c r="D56" s="362">
        <f t="shared" si="0"/>
        <v>1478.5523319838805</v>
      </c>
      <c r="E56" s="362">
        <f t="shared" si="8"/>
        <v>291884.23361861997</v>
      </c>
      <c r="F56" s="362">
        <f t="shared" si="9"/>
        <v>293362.78595060384</v>
      </c>
      <c r="G56" s="269">
        <f>+SUM(D45:D56)+SUM(L45:L56)+SUM(R45:R56)</f>
        <v>130042.8765466336</v>
      </c>
      <c r="H56" s="269">
        <f>+SUM(E45:E56)+SUM(M45:M56)+SUM(S45:S56)</f>
        <v>4082834.2729640212</v>
      </c>
      <c r="I56" s="193"/>
      <c r="J56" s="267">
        <v>48</v>
      </c>
      <c r="K56" s="268">
        <f t="shared" si="4"/>
        <v>-2.1100277081131935E-10</v>
      </c>
      <c r="L56" s="268">
        <f t="shared" si="1"/>
        <v>210.91920934680797</v>
      </c>
      <c r="M56" s="268">
        <f t="shared" si="5"/>
        <v>56292.933074326414</v>
      </c>
      <c r="N56" s="268">
        <f t="shared" si="10"/>
        <v>56503.852283673223</v>
      </c>
      <c r="P56" s="267">
        <v>48</v>
      </c>
      <c r="Q56" s="268">
        <f t="shared" si="6"/>
        <v>5.4569682106375694E-12</v>
      </c>
      <c r="R56" s="268">
        <f t="shared" si="2"/>
        <v>7.767935377287535</v>
      </c>
      <c r="S56" s="268">
        <f t="shared" si="7"/>
        <v>1198.6896229002427</v>
      </c>
      <c r="T56" s="268">
        <f t="shared" si="11"/>
        <v>1206.4575582775303</v>
      </c>
    </row>
    <row r="57" spans="1:20" ht="15.75">
      <c r="C57" s="46"/>
      <c r="D57" s="46"/>
      <c r="E57" s="46"/>
      <c r="F57" s="46"/>
      <c r="G57" s="133">
        <f>SUM(G9:G56)</f>
        <v>1851508.5980426194</v>
      </c>
      <c r="H57" s="133">
        <f>SUM(H9:H56)</f>
        <v>14999999.999999998</v>
      </c>
      <c r="I57" s="275"/>
      <c r="L57" s="46"/>
      <c r="R57" s="46"/>
    </row>
    <row r="58" spans="1:20">
      <c r="I58" s="271"/>
      <c r="R58" s="46"/>
    </row>
  </sheetData>
  <mergeCells count="1">
    <mergeCell ref="B1:C1"/>
  </mergeCells>
  <phoneticPr fontId="67" type="noConversion"/>
  <pageMargins left="0.7" right="0.7" top="0.75" bottom="0.75" header="0.3" footer="0.3"/>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8"/>
  <sheetViews>
    <sheetView showGridLines="0" zoomScale="70" zoomScaleNormal="70" zoomScalePageLayoutView="70" workbookViewId="0"/>
  </sheetViews>
  <sheetFormatPr baseColWidth="10" defaultColWidth="10.6640625" defaultRowHeight="15"/>
  <cols>
    <col min="1" max="1" width="8.109375" style="54" customWidth="1"/>
    <col min="2" max="2" width="8.5546875" style="54" customWidth="1"/>
    <col min="3" max="3" width="11.88671875" style="54" customWidth="1"/>
    <col min="4" max="4" width="11.88671875" style="54" bestFit="1" customWidth="1"/>
    <col min="5" max="5" width="13.33203125" style="54" customWidth="1"/>
    <col min="6" max="7" width="11.88671875" style="54" bestFit="1" customWidth="1"/>
    <col min="8" max="8" width="11.6640625" style="54" customWidth="1"/>
    <col min="9" max="9" width="3" style="54" customWidth="1"/>
    <col min="10" max="10" width="7.6640625" style="54" customWidth="1"/>
    <col min="11" max="11" width="19" style="54" bestFit="1" customWidth="1"/>
    <col min="12" max="13" width="10.6640625" style="54"/>
    <col min="14" max="14" width="11.6640625" style="54" bestFit="1" customWidth="1"/>
    <col min="15" max="15" width="2.6640625" style="54" customWidth="1"/>
    <col min="16" max="16" width="10.6640625" style="54"/>
    <col min="17" max="17" width="12" style="54" customWidth="1"/>
    <col min="18" max="18" width="11.6640625" style="54" customWidth="1"/>
    <col min="19" max="16384" width="10.6640625" style="54"/>
  </cols>
  <sheetData>
    <row r="1" spans="1:20" ht="15.75">
      <c r="A1" s="378" t="s">
        <v>1014</v>
      </c>
      <c r="B1" s="681">
        <f>+C9+K9+Q9</f>
        <v>52139865</v>
      </c>
      <c r="C1" s="681"/>
    </row>
    <row r="2" spans="1:20">
      <c r="A2" s="357"/>
      <c r="B2" s="357"/>
      <c r="C2" s="264"/>
      <c r="K2" s="264"/>
      <c r="Q2" s="264"/>
    </row>
    <row r="3" spans="1:20" ht="15.75">
      <c r="A3" s="357"/>
      <c r="B3" s="369" t="s">
        <v>1021</v>
      </c>
      <c r="C3" s="370"/>
      <c r="D3" s="370"/>
      <c r="E3" s="369" t="s">
        <v>965</v>
      </c>
      <c r="F3" s="370"/>
      <c r="G3" s="370"/>
      <c r="J3" s="369" t="s">
        <v>309</v>
      </c>
      <c r="K3" s="370"/>
      <c r="L3" s="370"/>
      <c r="M3" s="370"/>
      <c r="N3" s="370"/>
      <c r="P3" s="369" t="s">
        <v>1020</v>
      </c>
      <c r="Q3" s="370"/>
      <c r="R3" s="369"/>
      <c r="S3" s="369" t="s">
        <v>953</v>
      </c>
      <c r="T3" s="369"/>
    </row>
    <row r="4" spans="1:20">
      <c r="B4" s="371">
        <f>+[2]Proy.WACC!E20</f>
        <v>6.2508990681833465E-2</v>
      </c>
      <c r="C4" s="372" t="s">
        <v>966</v>
      </c>
      <c r="J4" s="373">
        <f>+[2]Proy.WACC!E21</f>
        <v>4.5900000000000003E-2</v>
      </c>
      <c r="K4" s="372" t="s">
        <v>966</v>
      </c>
      <c r="P4" s="371">
        <f>+[2]Proy.WACC!E23</f>
        <v>8.0596695179987021E-2</v>
      </c>
      <c r="Q4" s="372" t="s">
        <v>966</v>
      </c>
    </row>
    <row r="5" spans="1:20">
      <c r="B5" s="371">
        <f>+(1+B4)^(0.0833333333333333)-1</f>
        <v>5.0655436700146605E-3</v>
      </c>
      <c r="C5" s="267" t="s">
        <v>1019</v>
      </c>
      <c r="D5" s="34"/>
      <c r="J5" s="371">
        <f>+(1+J4)^(0.0833333333333333)-1</f>
        <v>3.7468150587982585E-3</v>
      </c>
      <c r="K5" s="374" t="s">
        <v>1019</v>
      </c>
      <c r="M5" s="34"/>
      <c r="N5" s="368"/>
      <c r="P5" s="375">
        <f>+(1+P4)^(0.0833333333333333)-1</f>
        <v>6.4803559060542248E-3</v>
      </c>
      <c r="Q5" s="267" t="s">
        <v>1019</v>
      </c>
      <c r="S5" s="39"/>
    </row>
    <row r="6" spans="1:20">
      <c r="F6" s="34"/>
      <c r="I6" s="271"/>
      <c r="T6" s="34"/>
    </row>
    <row r="7" spans="1:20">
      <c r="C7" s="377">
        <f>+C9/$B$1</f>
        <v>0.83148805621188315</v>
      </c>
      <c r="G7" s="265"/>
      <c r="H7" s="265"/>
      <c r="I7" s="272"/>
      <c r="K7" s="377">
        <f>+K9/$B$1</f>
        <v>0.16520315117808609</v>
      </c>
      <c r="Q7" s="376">
        <f>+Q9/$B$1</f>
        <v>3.3087926100307317E-3</v>
      </c>
    </row>
    <row r="8" spans="1:20" s="266" customFormat="1" ht="30.75" customHeight="1">
      <c r="B8" s="270" t="s">
        <v>973</v>
      </c>
      <c r="C8" s="270" t="s">
        <v>967</v>
      </c>
      <c r="D8" s="270" t="s">
        <v>968</v>
      </c>
      <c r="E8" s="270" t="s">
        <v>969</v>
      </c>
      <c r="F8" s="270" t="s">
        <v>970</v>
      </c>
      <c r="G8" s="270" t="s">
        <v>971</v>
      </c>
      <c r="H8" s="270" t="s">
        <v>972</v>
      </c>
      <c r="I8" s="273"/>
      <c r="J8" s="270" t="s">
        <v>973</v>
      </c>
      <c r="K8" s="270" t="s">
        <v>967</v>
      </c>
      <c r="L8" s="270" t="s">
        <v>968</v>
      </c>
      <c r="M8" s="270" t="s">
        <v>969</v>
      </c>
      <c r="N8" s="270" t="s">
        <v>970</v>
      </c>
      <c r="P8" s="270" t="s">
        <v>973</v>
      </c>
      <c r="Q8" s="270" t="s">
        <v>967</v>
      </c>
      <c r="R8" s="270" t="s">
        <v>968</v>
      </c>
      <c r="S8" s="270" t="s">
        <v>969</v>
      </c>
      <c r="T8" s="270" t="s">
        <v>970</v>
      </c>
    </row>
    <row r="9" spans="1:20">
      <c r="B9" s="267">
        <v>0</v>
      </c>
      <c r="C9" s="268">
        <f>+'Conversión tasas'!F24</f>
        <v>43353675</v>
      </c>
      <c r="D9" s="268"/>
      <c r="E9" s="268"/>
      <c r="F9" s="268"/>
      <c r="G9" s="267"/>
      <c r="H9" s="267"/>
      <c r="I9" s="274"/>
      <c r="J9" s="267">
        <v>0</v>
      </c>
      <c r="K9" s="268">
        <f>+'Conversión tasas'!F25</f>
        <v>8613670</v>
      </c>
      <c r="L9" s="268"/>
      <c r="M9" s="268"/>
      <c r="N9" s="268"/>
      <c r="P9" s="267">
        <v>0</v>
      </c>
      <c r="Q9" s="268">
        <f>+'Conversión tasas'!F27</f>
        <v>172520</v>
      </c>
      <c r="R9" s="268"/>
      <c r="S9" s="268"/>
      <c r="T9" s="268"/>
    </row>
    <row r="10" spans="1:20">
      <c r="B10" s="267">
        <v>1</v>
      </c>
      <c r="C10" s="268">
        <f>+C9-E10</f>
        <v>42553558.5302689</v>
      </c>
      <c r="D10" s="268">
        <f t="shared" ref="D10:D57" si="0">+C9*$B$5</f>
        <v>219609.93396812284</v>
      </c>
      <c r="E10" s="268">
        <f>+F10-D10</f>
        <v>800116.46973110258</v>
      </c>
      <c r="F10" s="268">
        <f>+PMT(B5,B57,-C9)</f>
        <v>1019726.4036992254</v>
      </c>
      <c r="G10" s="267"/>
      <c r="H10" s="267"/>
      <c r="I10" s="274"/>
      <c r="J10" s="267">
        <v>1</v>
      </c>
      <c r="K10" s="268">
        <f>+K9-M10</f>
        <v>8449536.9464641418</v>
      </c>
      <c r="L10" s="268">
        <f t="shared" ref="L10:L57" si="1">+K9*$J$5</f>
        <v>32273.828467518797</v>
      </c>
      <c r="M10" s="268">
        <f>+N10-L10</f>
        <v>164133.05353585878</v>
      </c>
      <c r="N10" s="268">
        <f>+PMT(J5,J57,-K9)</f>
        <v>196406.88200337757</v>
      </c>
      <c r="P10" s="267">
        <v>1</v>
      </c>
      <c r="Q10" s="268">
        <f>+Q9-S10</f>
        <v>169444.35538645781</v>
      </c>
      <c r="R10" s="268">
        <f t="shared" ref="R10:R57" si="2">+Q9*$P$5</f>
        <v>1117.9910009124749</v>
      </c>
      <c r="S10" s="268">
        <f>+T10-R10</f>
        <v>3075.6446135421957</v>
      </c>
      <c r="T10" s="268">
        <f>+PMT(P5,P57,-Q9)</f>
        <v>4193.6356144546708</v>
      </c>
    </row>
    <row r="11" spans="1:20">
      <c r="B11" s="267">
        <v>2</v>
      </c>
      <c r="C11" s="268">
        <f t="shared" ref="C11:C57" si="3">+C10-E11</f>
        <v>41749389.035619274</v>
      </c>
      <c r="D11" s="268">
        <f t="shared" si="0"/>
        <v>215556.90904960199</v>
      </c>
      <c r="E11" s="268">
        <f>+F11-D11</f>
        <v>804169.4946496234</v>
      </c>
      <c r="F11" s="268">
        <f>+F10</f>
        <v>1019726.4036992254</v>
      </c>
      <c r="G11" s="267"/>
      <c r="H11" s="267"/>
      <c r="I11" s="274"/>
      <c r="J11" s="267">
        <v>2</v>
      </c>
      <c r="K11" s="268">
        <f t="shared" ref="K11:K57" si="4">+K10-M11</f>
        <v>8284788.9167316481</v>
      </c>
      <c r="L11" s="268">
        <f t="shared" si="1"/>
        <v>31658.852270884101</v>
      </c>
      <c r="M11" s="268">
        <f t="shared" ref="M11:M57" si="5">+N11-L11</f>
        <v>164748.02973249348</v>
      </c>
      <c r="N11" s="268">
        <f>+N10</f>
        <v>196406.88200337757</v>
      </c>
      <c r="P11" s="267">
        <v>2</v>
      </c>
      <c r="Q11" s="268">
        <f t="shared" ref="Q11:Q57" si="6">+Q10-S11</f>
        <v>166348.77950117932</v>
      </c>
      <c r="R11" s="268">
        <f t="shared" si="2"/>
        <v>1098.0597291761828</v>
      </c>
      <c r="S11" s="268">
        <f t="shared" ref="S11:S57" si="7">+T11-R11</f>
        <v>3095.5758852784879</v>
      </c>
      <c r="T11" s="268">
        <f>+T10</f>
        <v>4193.6356144546708</v>
      </c>
    </row>
    <row r="12" spans="1:20">
      <c r="B12" s="267">
        <v>3</v>
      </c>
      <c r="C12" s="268">
        <f t="shared" si="3"/>
        <v>40941145.985276408</v>
      </c>
      <c r="D12" s="268">
        <f t="shared" si="0"/>
        <v>211483.35335636069</v>
      </c>
      <c r="E12" s="268">
        <f t="shared" ref="E12:E57" si="8">+F12-D12</f>
        <v>808243.05034286471</v>
      </c>
      <c r="F12" s="268">
        <f t="shared" ref="F12:F57" si="9">+F11</f>
        <v>1019726.4036992254</v>
      </c>
      <c r="G12" s="267"/>
      <c r="H12" s="267"/>
      <c r="I12" s="274"/>
      <c r="J12" s="267">
        <v>3</v>
      </c>
      <c r="K12" s="268">
        <f t="shared" si="4"/>
        <v>8119423.6066004457</v>
      </c>
      <c r="L12" s="268">
        <f t="shared" si="1"/>
        <v>31041.571872175049</v>
      </c>
      <c r="M12" s="268">
        <f t="shared" si="5"/>
        <v>165365.31013120251</v>
      </c>
      <c r="N12" s="268">
        <f t="shared" ref="N12:N57" si="10">+N11</f>
        <v>196406.88200337757</v>
      </c>
      <c r="P12" s="267">
        <v>3</v>
      </c>
      <c r="Q12" s="268">
        <f t="shared" si="6"/>
        <v>163233.14318243004</v>
      </c>
      <c r="R12" s="268">
        <f t="shared" si="2"/>
        <v>1077.9992957053794</v>
      </c>
      <c r="S12" s="268">
        <f t="shared" si="7"/>
        <v>3115.6363187492916</v>
      </c>
      <c r="T12" s="268">
        <f t="shared" ref="T12:T57" si="11">+T11</f>
        <v>4193.6356144546708</v>
      </c>
    </row>
    <row r="13" spans="1:20">
      <c r="B13" s="267">
        <v>4</v>
      </c>
      <c r="C13" s="268">
        <f t="shared" si="3"/>
        <v>40128808.744466044</v>
      </c>
      <c r="D13" s="268">
        <f t="shared" si="0"/>
        <v>207389.16288886304</v>
      </c>
      <c r="E13" s="268">
        <f t="shared" si="8"/>
        <v>812337.24081036239</v>
      </c>
      <c r="F13" s="268">
        <f t="shared" si="9"/>
        <v>1019726.4036992254</v>
      </c>
      <c r="G13" s="267"/>
      <c r="H13" s="267"/>
      <c r="I13" s="274"/>
      <c r="J13" s="267">
        <v>4</v>
      </c>
      <c r="K13" s="268">
        <f t="shared" si="4"/>
        <v>7953438.7032350404</v>
      </c>
      <c r="L13" s="268">
        <f t="shared" si="1"/>
        <v>30421.978637972617</v>
      </c>
      <c r="M13" s="268">
        <f t="shared" si="5"/>
        <v>165984.90336540496</v>
      </c>
      <c r="N13" s="268">
        <f t="shared" si="10"/>
        <v>196406.88200337757</v>
      </c>
      <c r="P13" s="267">
        <v>4</v>
      </c>
      <c r="Q13" s="268">
        <f t="shared" si="6"/>
        <v>160097.31643146143</v>
      </c>
      <c r="R13" s="268">
        <f t="shared" si="2"/>
        <v>1057.8088634860553</v>
      </c>
      <c r="S13" s="268">
        <f t="shared" si="7"/>
        <v>3135.8267509686157</v>
      </c>
      <c r="T13" s="268">
        <f t="shared" si="11"/>
        <v>4193.6356144546708</v>
      </c>
    </row>
    <row r="14" spans="1:20">
      <c r="B14" s="267">
        <v>5</v>
      </c>
      <c r="C14" s="268">
        <f t="shared" si="3"/>
        <v>39312356.573887579</v>
      </c>
      <c r="D14" s="268">
        <f t="shared" si="0"/>
        <v>203274.23312075893</v>
      </c>
      <c r="E14" s="268">
        <f t="shared" si="8"/>
        <v>816452.1705784665</v>
      </c>
      <c r="F14" s="268">
        <f t="shared" si="9"/>
        <v>1019726.4036992254</v>
      </c>
      <c r="G14" s="267"/>
      <c r="H14" s="267"/>
      <c r="I14" s="274"/>
      <c r="J14" s="267">
        <v>5</v>
      </c>
      <c r="K14" s="268">
        <f t="shared" si="4"/>
        <v>7786831.8851341726</v>
      </c>
      <c r="L14" s="268">
        <f t="shared" si="1"/>
        <v>29800.063902509944</v>
      </c>
      <c r="M14" s="268">
        <f t="shared" si="5"/>
        <v>166606.81810086762</v>
      </c>
      <c r="N14" s="268">
        <f t="shared" si="10"/>
        <v>196406.88200337757</v>
      </c>
      <c r="P14" s="267">
        <v>5</v>
      </c>
      <c r="Q14" s="268">
        <f t="shared" si="6"/>
        <v>156941.16840708681</v>
      </c>
      <c r="R14" s="268">
        <f t="shared" si="2"/>
        <v>1037.4875900800532</v>
      </c>
      <c r="S14" s="268">
        <f t="shared" si="7"/>
        <v>3156.1480243746173</v>
      </c>
      <c r="T14" s="268">
        <f t="shared" si="11"/>
        <v>4193.6356144546708</v>
      </c>
    </row>
    <row r="15" spans="1:20">
      <c r="B15" s="267">
        <v>6</v>
      </c>
      <c r="C15" s="268">
        <f t="shared" si="3"/>
        <v>38491768.629184566</v>
      </c>
      <c r="D15" s="268">
        <f t="shared" si="0"/>
        <v>199138.45899621546</v>
      </c>
      <c r="E15" s="268">
        <f t="shared" si="8"/>
        <v>820587.94470300991</v>
      </c>
      <c r="F15" s="268">
        <f t="shared" si="9"/>
        <v>1019726.4036992254</v>
      </c>
      <c r="G15" s="267"/>
      <c r="H15" s="267"/>
      <c r="I15" s="274"/>
      <c r="J15" s="267">
        <v>6</v>
      </c>
      <c r="K15" s="268">
        <f t="shared" si="4"/>
        <v>7619600.8220983464</v>
      </c>
      <c r="L15" s="268">
        <f t="shared" si="1"/>
        <v>29175.818967551149</v>
      </c>
      <c r="M15" s="268">
        <f t="shared" si="5"/>
        <v>167231.06303582643</v>
      </c>
      <c r="N15" s="268">
        <f t="shared" si="10"/>
        <v>196406.88200337757</v>
      </c>
      <c r="P15" s="267">
        <v>6</v>
      </c>
      <c r="Q15" s="268">
        <f t="shared" si="6"/>
        <v>153764.56742022204</v>
      </c>
      <c r="R15" s="268">
        <f t="shared" si="2"/>
        <v>1017.0346275899157</v>
      </c>
      <c r="S15" s="268">
        <f t="shared" si="7"/>
        <v>3176.6009868647552</v>
      </c>
      <c r="T15" s="268">
        <f t="shared" si="11"/>
        <v>4193.6356144546708</v>
      </c>
    </row>
    <row r="16" spans="1:20">
      <c r="B16" s="267">
        <v>7</v>
      </c>
      <c r="C16" s="268">
        <f t="shared" si="3"/>
        <v>37667023.960412577</v>
      </c>
      <c r="D16" s="268">
        <f t="shared" si="0"/>
        <v>194981.73492723476</v>
      </c>
      <c r="E16" s="268">
        <f t="shared" si="8"/>
        <v>824744.66877199057</v>
      </c>
      <c r="F16" s="268">
        <f t="shared" si="9"/>
        <v>1019726.4036992254</v>
      </c>
      <c r="G16" s="267"/>
      <c r="H16" s="267"/>
      <c r="I16" s="274"/>
      <c r="J16" s="267">
        <v>7</v>
      </c>
      <c r="K16" s="268">
        <f t="shared" si="4"/>
        <v>7451743.1751972381</v>
      </c>
      <c r="L16" s="268">
        <f t="shared" si="1"/>
        <v>28549.235102269675</v>
      </c>
      <c r="M16" s="268">
        <f t="shared" si="5"/>
        <v>167857.64690110789</v>
      </c>
      <c r="N16" s="268">
        <f t="shared" si="10"/>
        <v>196406.88200337757</v>
      </c>
      <c r="P16" s="267">
        <v>7</v>
      </c>
      <c r="Q16" s="268">
        <f t="shared" si="6"/>
        <v>150567.38092839089</v>
      </c>
      <c r="R16" s="268">
        <f t="shared" si="2"/>
        <v>996.44912262350897</v>
      </c>
      <c r="S16" s="268">
        <f t="shared" si="7"/>
        <v>3197.1864918311617</v>
      </c>
      <c r="T16" s="268">
        <f t="shared" si="11"/>
        <v>4193.6356144546708</v>
      </c>
    </row>
    <row r="17" spans="1:20">
      <c r="B17" s="267">
        <v>8</v>
      </c>
      <c r="C17" s="268">
        <f t="shared" si="3"/>
        <v>36838101.511504307</v>
      </c>
      <c r="D17" s="268">
        <f t="shared" si="0"/>
        <v>190803.95479095847</v>
      </c>
      <c r="E17" s="268">
        <f t="shared" si="8"/>
        <v>828922.44890826696</v>
      </c>
      <c r="F17" s="268">
        <f t="shared" si="9"/>
        <v>1019726.4036992254</v>
      </c>
      <c r="G17" s="267"/>
      <c r="H17" s="267"/>
      <c r="I17" s="274"/>
      <c r="J17" s="267">
        <v>8</v>
      </c>
      <c r="K17" s="268">
        <f t="shared" si="4"/>
        <v>7283256.5967369871</v>
      </c>
      <c r="L17" s="268">
        <f t="shared" si="1"/>
        <v>27920.30354312616</v>
      </c>
      <c r="M17" s="268">
        <f t="shared" si="5"/>
        <v>168486.57846025142</v>
      </c>
      <c r="N17" s="268">
        <f t="shared" si="10"/>
        <v>196406.88200337757</v>
      </c>
      <c r="P17" s="267">
        <v>8</v>
      </c>
      <c r="Q17" s="268">
        <f t="shared" si="6"/>
        <v>147349.47553019464</v>
      </c>
      <c r="R17" s="268">
        <f t="shared" si="2"/>
        <v>975.7302162584142</v>
      </c>
      <c r="S17" s="268">
        <f t="shared" si="7"/>
        <v>3217.9053981962566</v>
      </c>
      <c r="T17" s="268">
        <f t="shared" si="11"/>
        <v>4193.6356144546708</v>
      </c>
    </row>
    <row r="18" spans="1:20">
      <c r="B18" s="267">
        <v>9</v>
      </c>
      <c r="C18" s="268">
        <f t="shared" si="3"/>
        <v>36004980.119732037</v>
      </c>
      <c r="D18" s="268">
        <f t="shared" si="0"/>
        <v>186605.01192695813</v>
      </c>
      <c r="E18" s="268">
        <f t="shared" si="8"/>
        <v>833121.39177226729</v>
      </c>
      <c r="F18" s="268">
        <f t="shared" si="9"/>
        <v>1019726.4036992254</v>
      </c>
      <c r="G18" s="267"/>
      <c r="H18" s="267"/>
      <c r="I18" s="274"/>
      <c r="J18" s="267">
        <v>9</v>
      </c>
      <c r="K18" s="268">
        <f t="shared" si="4"/>
        <v>7114138.7302273558</v>
      </c>
      <c r="L18" s="268">
        <f t="shared" si="1"/>
        <v>27289.015493745897</v>
      </c>
      <c r="M18" s="268">
        <f t="shared" si="5"/>
        <v>169117.86650963168</v>
      </c>
      <c r="N18" s="268">
        <f t="shared" si="10"/>
        <v>196406.88200337757</v>
      </c>
      <c r="P18" s="267">
        <v>9</v>
      </c>
      <c r="Q18" s="268">
        <f t="shared" si="6"/>
        <v>144110.71695974606</v>
      </c>
      <c r="R18" s="268">
        <f t="shared" si="2"/>
        <v>954.87704400608936</v>
      </c>
      <c r="S18" s="268">
        <f t="shared" si="7"/>
        <v>3238.7585704485814</v>
      </c>
      <c r="T18" s="268">
        <f t="shared" si="11"/>
        <v>4193.6356144546708</v>
      </c>
    </row>
    <row r="19" spans="1:20">
      <c r="B19" s="267">
        <v>10</v>
      </c>
      <c r="C19" s="268">
        <f t="shared" si="3"/>
        <v>35167638.515167326</v>
      </c>
      <c r="D19" s="268">
        <f t="shared" si="0"/>
        <v>182384.79913451232</v>
      </c>
      <c r="E19" s="268">
        <f t="shared" si="8"/>
        <v>837341.60456471308</v>
      </c>
      <c r="F19" s="268">
        <f t="shared" si="9"/>
        <v>1019726.4036992254</v>
      </c>
      <c r="G19" s="267"/>
      <c r="H19" s="267"/>
      <c r="I19" s="274"/>
      <c r="J19" s="267">
        <v>10</v>
      </c>
      <c r="K19" s="268">
        <f t="shared" si="4"/>
        <v>6944387.2103487737</v>
      </c>
      <c r="L19" s="268">
        <f t="shared" si="1"/>
        <v>26655.362124795778</v>
      </c>
      <c r="M19" s="268">
        <f t="shared" si="5"/>
        <v>169751.51987858181</v>
      </c>
      <c r="N19" s="268">
        <f t="shared" si="10"/>
        <v>196406.88200337757</v>
      </c>
      <c r="P19" s="267">
        <v>10</v>
      </c>
      <c r="Q19" s="268">
        <f t="shared" si="6"/>
        <v>140850.97008106718</v>
      </c>
      <c r="R19" s="268">
        <f t="shared" si="2"/>
        <v>933.88873577579909</v>
      </c>
      <c r="S19" s="268">
        <f t="shared" si="7"/>
        <v>3259.7468786788718</v>
      </c>
      <c r="T19" s="268">
        <f t="shared" si="11"/>
        <v>4193.6356144546708</v>
      </c>
    </row>
    <row r="20" spans="1:20">
      <c r="B20" s="267">
        <v>11</v>
      </c>
      <c r="C20" s="268">
        <f t="shared" si="3"/>
        <v>34326055.32013797</v>
      </c>
      <c r="D20" s="268">
        <f t="shared" si="0"/>
        <v>178143.20866986964</v>
      </c>
      <c r="E20" s="268">
        <f t="shared" si="8"/>
        <v>841583.19502935582</v>
      </c>
      <c r="F20" s="268">
        <f t="shared" si="9"/>
        <v>1019726.4036992254</v>
      </c>
      <c r="G20" s="267"/>
      <c r="H20" s="267"/>
      <c r="I20" s="274"/>
      <c r="J20" s="267">
        <v>11</v>
      </c>
      <c r="K20" s="268">
        <f t="shared" si="4"/>
        <v>6773999.6629192568</v>
      </c>
      <c r="L20" s="268">
        <f t="shared" si="1"/>
        <v>26019.334573860815</v>
      </c>
      <c r="M20" s="268">
        <f t="shared" si="5"/>
        <v>170387.54742951677</v>
      </c>
      <c r="N20" s="268">
        <f t="shared" si="10"/>
        <v>196406.88200337757</v>
      </c>
      <c r="P20" s="267">
        <v>11</v>
      </c>
      <c r="Q20" s="268">
        <f t="shared" si="6"/>
        <v>137570.09888245081</v>
      </c>
      <c r="R20" s="268">
        <f t="shared" si="2"/>
        <v>912.76441583831058</v>
      </c>
      <c r="S20" s="268">
        <f t="shared" si="7"/>
        <v>3280.8711986163603</v>
      </c>
      <c r="T20" s="268">
        <f t="shared" si="11"/>
        <v>4193.6356144546708</v>
      </c>
    </row>
    <row r="21" spans="1:20" ht="15.75">
      <c r="A21" s="277">
        <v>2014</v>
      </c>
      <c r="B21" s="267">
        <v>12</v>
      </c>
      <c r="C21" s="268">
        <f t="shared" si="3"/>
        <v>33480209.048682243</v>
      </c>
      <c r="D21" s="268">
        <f t="shared" si="0"/>
        <v>173880.13224349797</v>
      </c>
      <c r="E21" s="268">
        <f t="shared" si="8"/>
        <v>845846.2714557274</v>
      </c>
      <c r="F21" s="268">
        <f t="shared" si="9"/>
        <v>1019726.4036992254</v>
      </c>
      <c r="G21" s="269">
        <f>+SUM(D10:D21)+SUM(L10:L21)+SUM(R10:R21)</f>
        <v>2721508.7758189254</v>
      </c>
      <c r="H21" s="269">
        <f>+SUM(E10:E21)+SUM(M10:M21)+SUM(S10:S21)</f>
        <v>11922414.279985767</v>
      </c>
      <c r="I21" s="193"/>
      <c r="J21" s="267">
        <v>12</v>
      </c>
      <c r="K21" s="268">
        <f t="shared" si="4"/>
        <v>6602973.7048611995</v>
      </c>
      <c r="L21" s="268">
        <f t="shared" si="1"/>
        <v>25380.923945320199</v>
      </c>
      <c r="M21" s="268">
        <f t="shared" si="5"/>
        <v>171025.95805805738</v>
      </c>
      <c r="N21" s="268">
        <f t="shared" si="10"/>
        <v>196406.88200337757</v>
      </c>
      <c r="P21" s="267">
        <v>12</v>
      </c>
      <c r="Q21" s="268">
        <f t="shared" si="6"/>
        <v>134267.9664707855</v>
      </c>
      <c r="R21" s="268">
        <f t="shared" si="2"/>
        <v>891.50320278935385</v>
      </c>
      <c r="S21" s="268">
        <f t="shared" si="7"/>
        <v>3302.1324116653168</v>
      </c>
      <c r="T21" s="268">
        <f t="shared" si="11"/>
        <v>4193.6356144546708</v>
      </c>
    </row>
    <row r="22" spans="1:20">
      <c r="B22" s="267">
        <v>13</v>
      </c>
      <c r="C22" s="268">
        <f t="shared" si="3"/>
        <v>32630078.106000338</v>
      </c>
      <c r="D22" s="268">
        <f t="shared" si="0"/>
        <v>169595.4610173199</v>
      </c>
      <c r="E22" s="268">
        <f t="shared" si="8"/>
        <v>850130.94268190546</v>
      </c>
      <c r="F22" s="268">
        <f t="shared" si="9"/>
        <v>1019726.4036992254</v>
      </c>
      <c r="G22" s="267"/>
      <c r="H22" s="267"/>
      <c r="I22" s="274"/>
      <c r="J22" s="267">
        <v>13</v>
      </c>
      <c r="K22" s="268">
        <f t="shared" si="4"/>
        <v>6431306.9441680452</v>
      </c>
      <c r="L22" s="268">
        <f t="shared" si="1"/>
        <v>24740.121310222868</v>
      </c>
      <c r="M22" s="268">
        <f t="shared" si="5"/>
        <v>171666.76069315471</v>
      </c>
      <c r="N22" s="268">
        <f t="shared" si="10"/>
        <v>196406.88200337757</v>
      </c>
      <c r="P22" s="267">
        <v>13</v>
      </c>
      <c r="Q22" s="268">
        <f t="shared" si="6"/>
        <v>130944.43506584367</v>
      </c>
      <c r="R22" s="268">
        <f t="shared" si="2"/>
        <v>870.10420951284539</v>
      </c>
      <c r="S22" s="268">
        <f t="shared" si="7"/>
        <v>3323.5314049418253</v>
      </c>
      <c r="T22" s="268">
        <f t="shared" si="11"/>
        <v>4193.6356144546708</v>
      </c>
    </row>
    <row r="23" spans="1:20">
      <c r="B23" s="267">
        <v>14</v>
      </c>
      <c r="C23" s="268">
        <f t="shared" si="3"/>
        <v>31775640.787903048</v>
      </c>
      <c r="D23" s="268">
        <f t="shared" si="0"/>
        <v>165289.08560193397</v>
      </c>
      <c r="E23" s="268">
        <f t="shared" si="8"/>
        <v>854437.3180972914</v>
      </c>
      <c r="F23" s="268">
        <f t="shared" si="9"/>
        <v>1019726.4036992254</v>
      </c>
      <c r="G23" s="267"/>
      <c r="H23" s="267"/>
      <c r="I23" s="274"/>
      <c r="J23" s="267">
        <v>14</v>
      </c>
      <c r="K23" s="268">
        <f t="shared" si="4"/>
        <v>6258996.9798708307</v>
      </c>
      <c r="L23" s="268">
        <f t="shared" si="1"/>
        <v>24096.917706162643</v>
      </c>
      <c r="M23" s="268">
        <f t="shared" si="5"/>
        <v>172309.96429721493</v>
      </c>
      <c r="N23" s="268">
        <f t="shared" si="10"/>
        <v>196406.88200337757</v>
      </c>
      <c r="P23" s="267">
        <v>14</v>
      </c>
      <c r="Q23" s="268">
        <f t="shared" si="6"/>
        <v>127599.36599453288</v>
      </c>
      <c r="R23" s="268">
        <f t="shared" si="2"/>
        <v>848.56654314387401</v>
      </c>
      <c r="S23" s="268">
        <f t="shared" si="7"/>
        <v>3345.069071310797</v>
      </c>
      <c r="T23" s="268">
        <f t="shared" si="11"/>
        <v>4193.6356144546708</v>
      </c>
    </row>
    <row r="24" spans="1:20">
      <c r="B24" s="267">
        <v>15</v>
      </c>
      <c r="C24" s="268">
        <f t="shared" si="3"/>
        <v>30916875.280257646</v>
      </c>
      <c r="D24" s="268">
        <f t="shared" si="0"/>
        <v>160960.89605382195</v>
      </c>
      <c r="E24" s="268">
        <f t="shared" si="8"/>
        <v>858765.5076454035</v>
      </c>
      <c r="F24" s="268">
        <f t="shared" si="9"/>
        <v>1019726.4036992254</v>
      </c>
      <c r="G24" s="267"/>
      <c r="H24" s="267"/>
      <c r="I24" s="274"/>
      <c r="J24" s="267">
        <v>15</v>
      </c>
      <c r="K24" s="268">
        <f t="shared" si="4"/>
        <v>6086041.4020046061</v>
      </c>
      <c r="L24" s="268">
        <f t="shared" si="1"/>
        <v>23451.304137152849</v>
      </c>
      <c r="M24" s="268">
        <f t="shared" si="5"/>
        <v>172955.57786622472</v>
      </c>
      <c r="N24" s="268">
        <f t="shared" si="10"/>
        <v>196406.88200337757</v>
      </c>
      <c r="P24" s="267">
        <v>15</v>
      </c>
      <c r="Q24" s="268">
        <f t="shared" si="6"/>
        <v>124232.61968510966</v>
      </c>
      <c r="R24" s="268">
        <f t="shared" si="2"/>
        <v>826.88930503144582</v>
      </c>
      <c r="S24" s="268">
        <f t="shared" si="7"/>
        <v>3366.7463094232248</v>
      </c>
      <c r="T24" s="268">
        <f t="shared" si="11"/>
        <v>4193.6356144546708</v>
      </c>
    </row>
    <row r="25" spans="1:20">
      <c r="B25" s="267">
        <v>16</v>
      </c>
      <c r="C25" s="268">
        <f t="shared" si="3"/>
        <v>30053759.658430964</v>
      </c>
      <c r="D25" s="268">
        <f t="shared" si="0"/>
        <v>156610.78187254185</v>
      </c>
      <c r="E25" s="268">
        <f t="shared" si="8"/>
        <v>863115.62182668352</v>
      </c>
      <c r="F25" s="268">
        <f t="shared" si="9"/>
        <v>1019726.4036992254</v>
      </c>
      <c r="G25" s="267"/>
      <c r="H25" s="267"/>
      <c r="I25" s="274"/>
      <c r="J25" s="267">
        <v>16</v>
      </c>
      <c r="K25" s="268">
        <f t="shared" si="4"/>
        <v>5912437.7915747287</v>
      </c>
      <c r="L25" s="268">
        <f t="shared" si="1"/>
        <v>22803.271573500522</v>
      </c>
      <c r="M25" s="268">
        <f t="shared" si="5"/>
        <v>173603.61042987704</v>
      </c>
      <c r="N25" s="268">
        <f t="shared" si="10"/>
        <v>196406.88200337757</v>
      </c>
      <c r="P25" s="267">
        <v>16</v>
      </c>
      <c r="Q25" s="268">
        <f t="shared" si="6"/>
        <v>120844.05566135597</v>
      </c>
      <c r="R25" s="268">
        <f t="shared" si="2"/>
        <v>805.07159070098874</v>
      </c>
      <c r="S25" s="268">
        <f t="shared" si="7"/>
        <v>3388.5640237536818</v>
      </c>
      <c r="T25" s="268">
        <f t="shared" si="11"/>
        <v>4193.6356144546708</v>
      </c>
    </row>
    <row r="26" spans="1:20">
      <c r="B26" s="267">
        <v>17</v>
      </c>
      <c r="C26" s="268">
        <f t="shared" si="3"/>
        <v>29186271.886729646</v>
      </c>
      <c r="D26" s="268">
        <f t="shared" si="0"/>
        <v>152238.63199790692</v>
      </c>
      <c r="E26" s="268">
        <f t="shared" si="8"/>
        <v>867487.77170131844</v>
      </c>
      <c r="F26" s="268">
        <f t="shared" si="9"/>
        <v>1019726.4036992254</v>
      </c>
      <c r="G26" s="267"/>
      <c r="H26" s="267"/>
      <c r="I26" s="274"/>
      <c r="J26" s="267">
        <v>17</v>
      </c>
      <c r="K26" s="268">
        <f t="shared" si="4"/>
        <v>5738183.7205230314</v>
      </c>
      <c r="L26" s="268">
        <f t="shared" si="1"/>
        <v>22152.810951680112</v>
      </c>
      <c r="M26" s="268">
        <f t="shared" si="5"/>
        <v>174254.07105169745</v>
      </c>
      <c r="N26" s="268">
        <f t="shared" si="10"/>
        <v>196406.88200337757</v>
      </c>
      <c r="P26" s="267">
        <v>17</v>
      </c>
      <c r="Q26" s="268">
        <f t="shared" si="6"/>
        <v>117433.53253671792</v>
      </c>
      <c r="R26" s="268">
        <f t="shared" si="2"/>
        <v>783.11248981661367</v>
      </c>
      <c r="S26" s="268">
        <f t="shared" si="7"/>
        <v>3410.5231246380572</v>
      </c>
      <c r="T26" s="268">
        <f t="shared" si="11"/>
        <v>4193.6356144546708</v>
      </c>
    </row>
    <row r="27" spans="1:20">
      <c r="B27" s="267">
        <v>18</v>
      </c>
      <c r="C27" s="268">
        <f t="shared" si="3"/>
        <v>28314389.81783757</v>
      </c>
      <c r="D27" s="268">
        <f t="shared" si="0"/>
        <v>147844.33480715021</v>
      </c>
      <c r="E27" s="268">
        <f t="shared" si="8"/>
        <v>871882.06889207521</v>
      </c>
      <c r="F27" s="268">
        <f t="shared" si="9"/>
        <v>1019726.4036992254</v>
      </c>
      <c r="G27" s="267"/>
      <c r="H27" s="267"/>
      <c r="I27" s="274"/>
      <c r="J27" s="267">
        <v>18</v>
      </c>
      <c r="K27" s="268">
        <f t="shared" si="4"/>
        <v>5563276.7516938606</v>
      </c>
      <c r="L27" s="268">
        <f t="shared" si="1"/>
        <v>21499.913174206711</v>
      </c>
      <c r="M27" s="268">
        <f t="shared" si="5"/>
        <v>174906.96882917086</v>
      </c>
      <c r="N27" s="268">
        <f t="shared" si="10"/>
        <v>196406.88200337757</v>
      </c>
      <c r="P27" s="267">
        <v>18</v>
      </c>
      <c r="Q27" s="268">
        <f t="shared" si="6"/>
        <v>114000.90800840638</v>
      </c>
      <c r="R27" s="268">
        <f t="shared" si="2"/>
        <v>761.01108614313091</v>
      </c>
      <c r="S27" s="268">
        <f t="shared" si="7"/>
        <v>3432.62452831154</v>
      </c>
      <c r="T27" s="268">
        <f t="shared" si="11"/>
        <v>4193.6356144546708</v>
      </c>
    </row>
    <row r="28" spans="1:20">
      <c r="B28" s="267">
        <v>19</v>
      </c>
      <c r="C28" s="268">
        <f t="shared" si="3"/>
        <v>27438091.192250419</v>
      </c>
      <c r="D28" s="268">
        <f t="shared" si="0"/>
        <v>143427.77811207465</v>
      </c>
      <c r="E28" s="268">
        <f t="shared" si="8"/>
        <v>876298.62558715069</v>
      </c>
      <c r="F28" s="268">
        <f t="shared" si="9"/>
        <v>1019726.4036992254</v>
      </c>
      <c r="G28" s="267"/>
      <c r="H28" s="267"/>
      <c r="I28" s="274"/>
      <c r="J28" s="267">
        <v>19</v>
      </c>
      <c r="K28" s="268">
        <f t="shared" si="4"/>
        <v>5387714.4387999922</v>
      </c>
      <c r="L28" s="268">
        <f t="shared" si="1"/>
        <v>20844.569109508819</v>
      </c>
      <c r="M28" s="268">
        <f t="shared" si="5"/>
        <v>175562.31289386874</v>
      </c>
      <c r="N28" s="268">
        <f t="shared" si="10"/>
        <v>196406.88200337757</v>
      </c>
      <c r="P28" s="267">
        <v>19</v>
      </c>
      <c r="Q28" s="268">
        <f t="shared" si="6"/>
        <v>110546.03885145953</v>
      </c>
      <c r="R28" s="268">
        <f t="shared" si="2"/>
        <v>738.76645750782063</v>
      </c>
      <c r="S28" s="268">
        <f t="shared" si="7"/>
        <v>3454.8691569468501</v>
      </c>
      <c r="T28" s="268">
        <f t="shared" si="11"/>
        <v>4193.6356144546708</v>
      </c>
    </row>
    <row r="29" spans="1:20">
      <c r="B29" s="267">
        <v>20</v>
      </c>
      <c r="C29" s="268">
        <f t="shared" si="3"/>
        <v>26557353.637707382</v>
      </c>
      <c r="D29" s="268">
        <f t="shared" si="0"/>
        <v>138988.84915618913</v>
      </c>
      <c r="E29" s="268">
        <f t="shared" si="8"/>
        <v>880737.55454303627</v>
      </c>
      <c r="F29" s="268">
        <f t="shared" si="9"/>
        <v>1019726.4036992254</v>
      </c>
      <c r="G29" s="267"/>
      <c r="H29" s="267"/>
      <c r="I29" s="274"/>
      <c r="J29" s="267">
        <v>20</v>
      </c>
      <c r="K29" s="268">
        <f t="shared" si="4"/>
        <v>5211494.3263884149</v>
      </c>
      <c r="L29" s="268">
        <f t="shared" si="1"/>
        <v>20186.769591800617</v>
      </c>
      <c r="M29" s="268">
        <f t="shared" si="5"/>
        <v>176220.11241157696</v>
      </c>
      <c r="N29" s="268">
        <f t="shared" si="10"/>
        <v>196406.88200337757</v>
      </c>
      <c r="P29" s="267">
        <v>20</v>
      </c>
      <c r="Q29" s="268">
        <f t="shared" si="6"/>
        <v>107068.78091276682</v>
      </c>
      <c r="R29" s="268">
        <f t="shared" si="2"/>
        <v>716.37767576195552</v>
      </c>
      <c r="S29" s="268">
        <f t="shared" si="7"/>
        <v>3477.2579386927155</v>
      </c>
      <c r="T29" s="268">
        <f t="shared" si="11"/>
        <v>4193.6356144546708</v>
      </c>
    </row>
    <row r="30" spans="1:20">
      <c r="B30" s="267">
        <v>21</v>
      </c>
      <c r="C30" s="268">
        <f t="shared" si="3"/>
        <v>25672154.668619987</v>
      </c>
      <c r="D30" s="268">
        <f t="shared" si="0"/>
        <v>134527.43461182946</v>
      </c>
      <c r="E30" s="268">
        <f t="shared" si="8"/>
        <v>885198.96908739593</v>
      </c>
      <c r="F30" s="268">
        <f t="shared" si="9"/>
        <v>1019726.4036992254</v>
      </c>
      <c r="G30" s="267"/>
      <c r="H30" s="267"/>
      <c r="I30" s="274"/>
      <c r="J30" s="267">
        <v>21</v>
      </c>
      <c r="K30" s="268">
        <f t="shared" si="4"/>
        <v>5034613.9498059908</v>
      </c>
      <c r="L30" s="268">
        <f t="shared" si="1"/>
        <v>19526.505420953799</v>
      </c>
      <c r="M30" s="268">
        <f t="shared" si="5"/>
        <v>176880.37658242378</v>
      </c>
      <c r="N30" s="268">
        <f t="shared" si="10"/>
        <v>196406.88200337757</v>
      </c>
      <c r="P30" s="267">
        <v>21</v>
      </c>
      <c r="Q30" s="268">
        <f t="shared" si="6"/>
        <v>103568.98910505422</v>
      </c>
      <c r="R30" s="268">
        <f t="shared" si="2"/>
        <v>693.84380674207432</v>
      </c>
      <c r="S30" s="268">
        <f t="shared" si="7"/>
        <v>3499.7918077125964</v>
      </c>
      <c r="T30" s="268">
        <f t="shared" si="11"/>
        <v>4193.6356144546708</v>
      </c>
    </row>
    <row r="31" spans="1:20">
      <c r="B31" s="267">
        <v>22</v>
      </c>
      <c r="C31" s="268">
        <f t="shared" si="3"/>
        <v>24782471.685498025</v>
      </c>
      <c r="D31" s="268">
        <f t="shared" si="0"/>
        <v>130043.42057726529</v>
      </c>
      <c r="E31" s="268">
        <f t="shared" si="8"/>
        <v>889682.98312196007</v>
      </c>
      <c r="F31" s="268">
        <f t="shared" si="9"/>
        <v>1019726.4036992254</v>
      </c>
      <c r="G31" s="267"/>
      <c r="H31" s="267"/>
      <c r="I31" s="274"/>
      <c r="J31" s="267">
        <v>22</v>
      </c>
      <c r="K31" s="268">
        <f t="shared" si="4"/>
        <v>4857070.8351649819</v>
      </c>
      <c r="L31" s="268">
        <f t="shared" si="1"/>
        <v>18863.767362368864</v>
      </c>
      <c r="M31" s="268">
        <f t="shared" si="5"/>
        <v>177543.11464100869</v>
      </c>
      <c r="N31" s="268">
        <f t="shared" si="10"/>
        <v>196406.88200337757</v>
      </c>
      <c r="P31" s="267">
        <v>22</v>
      </c>
      <c r="Q31" s="268">
        <f t="shared" si="6"/>
        <v>100046.51740083055</v>
      </c>
      <c r="R31" s="268">
        <f t="shared" si="2"/>
        <v>671.1639102310038</v>
      </c>
      <c r="S31" s="268">
        <f t="shared" si="7"/>
        <v>3522.4717042236671</v>
      </c>
      <c r="T31" s="268">
        <f t="shared" si="11"/>
        <v>4193.6356144546708</v>
      </c>
    </row>
    <row r="32" spans="1:20">
      <c r="B32" s="267">
        <v>23</v>
      </c>
      <c r="C32" s="268">
        <f t="shared" si="3"/>
        <v>23888281.974372592</v>
      </c>
      <c r="D32" s="268">
        <f t="shared" si="0"/>
        <v>125536.69257379208</v>
      </c>
      <c r="E32" s="268">
        <f t="shared" si="8"/>
        <v>894189.71112543333</v>
      </c>
      <c r="F32" s="268">
        <f t="shared" si="9"/>
        <v>1019726.4036992254</v>
      </c>
      <c r="G32" s="267"/>
      <c r="H32" s="267"/>
      <c r="I32" s="274"/>
      <c r="J32" s="267">
        <v>23</v>
      </c>
      <c r="K32" s="268">
        <f t="shared" si="4"/>
        <v>4678862.4993084501</v>
      </c>
      <c r="L32" s="268">
        <f t="shared" si="1"/>
        <v>18198.546146845987</v>
      </c>
      <c r="M32" s="268">
        <f t="shared" si="5"/>
        <v>178208.33585653157</v>
      </c>
      <c r="N32" s="268">
        <f t="shared" si="10"/>
        <v>196406.88200337757</v>
      </c>
      <c r="P32" s="267">
        <v>23</v>
      </c>
      <c r="Q32" s="268">
        <f t="shared" si="6"/>
        <v>96501.218826294498</v>
      </c>
      <c r="R32" s="268">
        <f t="shared" si="2"/>
        <v>648.33703991862899</v>
      </c>
      <c r="S32" s="268">
        <f t="shared" si="7"/>
        <v>3545.298574536042</v>
      </c>
      <c r="T32" s="268">
        <f t="shared" si="11"/>
        <v>4193.6356144546708</v>
      </c>
    </row>
    <row r="33" spans="1:20" ht="15.75">
      <c r="A33" s="277">
        <v>2015</v>
      </c>
      <c r="B33" s="267">
        <v>24</v>
      </c>
      <c r="C33" s="268">
        <f t="shared" si="3"/>
        <v>22989562.706216175</v>
      </c>
      <c r="D33" s="268">
        <f t="shared" si="0"/>
        <v>121007.13554280841</v>
      </c>
      <c r="E33" s="268">
        <f t="shared" si="8"/>
        <v>898719.26815641695</v>
      </c>
      <c r="F33" s="268">
        <f t="shared" si="9"/>
        <v>1019726.4036992254</v>
      </c>
      <c r="G33" s="269">
        <f>+SUM(D22:D33)+SUM(L22:L33)+SUM(R22:R33)</f>
        <v>2008954.4372373659</v>
      </c>
      <c r="H33" s="269">
        <f>+SUM(E22:E33)+SUM(M22:M33)+SUM(S22:S33)</f>
        <v>12634968.618567325</v>
      </c>
      <c r="I33" s="193"/>
      <c r="J33" s="267">
        <v>24</v>
      </c>
      <c r="K33" s="268">
        <f t="shared" si="4"/>
        <v>4499986.4497755282</v>
      </c>
      <c r="L33" s="268">
        <f t="shared" si="1"/>
        <v>17530.832470455356</v>
      </c>
      <c r="M33" s="268">
        <f t="shared" si="5"/>
        <v>178876.04953292222</v>
      </c>
      <c r="N33" s="268">
        <f t="shared" si="10"/>
        <v>196406.88200337757</v>
      </c>
      <c r="P33" s="267">
        <v>24</v>
      </c>
      <c r="Q33" s="268">
        <f t="shared" si="6"/>
        <v>92932.945455202236</v>
      </c>
      <c r="R33" s="268">
        <f t="shared" si="2"/>
        <v>625.36224336240866</v>
      </c>
      <c r="S33" s="268">
        <f t="shared" si="7"/>
        <v>3568.2733710922621</v>
      </c>
      <c r="T33" s="268">
        <f t="shared" si="11"/>
        <v>4193.6356144546708</v>
      </c>
    </row>
    <row r="34" spans="1:20">
      <c r="B34" s="267">
        <v>25</v>
      </c>
      <c r="C34" s="268">
        <f t="shared" si="3"/>
        <v>22086290.936359826</v>
      </c>
      <c r="D34" s="268">
        <f t="shared" si="0"/>
        <v>116454.63384287845</v>
      </c>
      <c r="E34" s="268">
        <f t="shared" si="8"/>
        <v>903271.769856347</v>
      </c>
      <c r="F34" s="268">
        <f t="shared" si="9"/>
        <v>1019726.4036992254</v>
      </c>
      <c r="G34" s="267"/>
      <c r="H34" s="267"/>
      <c r="I34" s="274"/>
      <c r="J34" s="267">
        <v>25</v>
      </c>
      <c r="K34" s="268">
        <f t="shared" si="4"/>
        <v>4320440.184766558</v>
      </c>
      <c r="L34" s="268">
        <f t="shared" si="1"/>
        <v>16860.616994407061</v>
      </c>
      <c r="M34" s="268">
        <f t="shared" si="5"/>
        <v>179546.26500897051</v>
      </c>
      <c r="N34" s="268">
        <f t="shared" si="10"/>
        <v>196406.88200337757</v>
      </c>
      <c r="P34" s="267">
        <v>25</v>
      </c>
      <c r="Q34" s="268">
        <f t="shared" si="6"/>
        <v>89341.548402695204</v>
      </c>
      <c r="R34" s="268">
        <f t="shared" si="2"/>
        <v>602.23856194763493</v>
      </c>
      <c r="S34" s="268">
        <f t="shared" si="7"/>
        <v>3591.3970525070358</v>
      </c>
      <c r="T34" s="268">
        <f t="shared" si="11"/>
        <v>4193.6356144546708</v>
      </c>
    </row>
    <row r="35" spans="1:20">
      <c r="B35" s="267">
        <v>26</v>
      </c>
      <c r="C35" s="268">
        <f t="shared" si="3"/>
        <v>21178443.60390738</v>
      </c>
      <c r="D35" s="268">
        <f t="shared" si="0"/>
        <v>111879.07124677968</v>
      </c>
      <c r="E35" s="268">
        <f t="shared" si="8"/>
        <v>907847.33245244576</v>
      </c>
      <c r="F35" s="268">
        <f t="shared" si="9"/>
        <v>1019726.4036992254</v>
      </c>
      <c r="G35" s="267"/>
      <c r="H35" s="267"/>
      <c r="I35" s="274"/>
      <c r="J35" s="267">
        <v>26</v>
      </c>
      <c r="K35" s="268">
        <f t="shared" si="4"/>
        <v>4140221.1931081009</v>
      </c>
      <c r="L35" s="268">
        <f t="shared" si="1"/>
        <v>16187.89034492047</v>
      </c>
      <c r="M35" s="268">
        <f t="shared" si="5"/>
        <v>180218.99165845709</v>
      </c>
      <c r="N35" s="268">
        <f t="shared" si="10"/>
        <v>196406.88200337757</v>
      </c>
      <c r="P35" s="267">
        <v>26</v>
      </c>
      <c r="Q35" s="268">
        <f t="shared" si="6"/>
        <v>85726.877819087968</v>
      </c>
      <c r="R35" s="268">
        <f t="shared" si="2"/>
        <v>578.96503084743529</v>
      </c>
      <c r="S35" s="268">
        <f t="shared" si="7"/>
        <v>3614.6705836072356</v>
      </c>
      <c r="T35" s="268">
        <f t="shared" si="11"/>
        <v>4193.6356144546708</v>
      </c>
    </row>
    <row r="36" spans="1:20">
      <c r="B36" s="267">
        <v>27</v>
      </c>
      <c r="C36" s="268">
        <f t="shared" si="3"/>
        <v>20265997.53114669</v>
      </c>
      <c r="D36" s="268">
        <f t="shared" si="0"/>
        <v>107280.33093853551</v>
      </c>
      <c r="E36" s="268">
        <f t="shared" si="8"/>
        <v>912446.07276068989</v>
      </c>
      <c r="F36" s="268">
        <f t="shared" si="9"/>
        <v>1019726.4036992254</v>
      </c>
      <c r="G36" s="267"/>
      <c r="H36" s="267"/>
      <c r="I36" s="274"/>
      <c r="J36" s="267">
        <v>27</v>
      </c>
      <c r="K36" s="268">
        <f t="shared" si="4"/>
        <v>3959326.9542178167</v>
      </c>
      <c r="L36" s="268">
        <f t="shared" si="1"/>
        <v>15512.643113093125</v>
      </c>
      <c r="M36" s="268">
        <f t="shared" si="5"/>
        <v>180894.23889028444</v>
      </c>
      <c r="N36" s="268">
        <f t="shared" si="10"/>
        <v>196406.88200337757</v>
      </c>
      <c r="P36" s="267">
        <v>27</v>
      </c>
      <c r="Q36" s="268">
        <f t="shared" si="6"/>
        <v>82088.782883615815</v>
      </c>
      <c r="R36" s="268">
        <f t="shared" si="2"/>
        <v>555.5406789825156</v>
      </c>
      <c r="S36" s="268">
        <f t="shared" si="7"/>
        <v>3638.0949354721552</v>
      </c>
      <c r="T36" s="268">
        <f t="shared" si="11"/>
        <v>4193.6356144546708</v>
      </c>
    </row>
    <row r="37" spans="1:20">
      <c r="B37" s="267">
        <v>28</v>
      </c>
      <c r="C37" s="268">
        <f t="shared" si="3"/>
        <v>19348929.422957897</v>
      </c>
      <c r="D37" s="268">
        <f t="shared" si="0"/>
        <v>102658.29551043286</v>
      </c>
      <c r="E37" s="268">
        <f t="shared" si="8"/>
        <v>917068.1081887926</v>
      </c>
      <c r="F37" s="268">
        <f t="shared" si="9"/>
        <v>1019726.4036992254</v>
      </c>
      <c r="G37" s="267"/>
      <c r="H37" s="267"/>
      <c r="I37" s="274"/>
      <c r="J37" s="267">
        <v>28</v>
      </c>
      <c r="K37" s="268">
        <f t="shared" si="4"/>
        <v>3777754.9380692085</v>
      </c>
      <c r="L37" s="268">
        <f t="shared" si="1"/>
        <v>14834.865854769159</v>
      </c>
      <c r="M37" s="268">
        <f t="shared" si="5"/>
        <v>181572.01614860841</v>
      </c>
      <c r="N37" s="268">
        <f t="shared" si="10"/>
        <v>196406.88200337757</v>
      </c>
      <c r="P37" s="267">
        <v>28</v>
      </c>
      <c r="Q37" s="268">
        <f t="shared" si="6"/>
        <v>78427.111798141792</v>
      </c>
      <c r="R37" s="268">
        <f t="shared" si="2"/>
        <v>531.96452898064274</v>
      </c>
      <c r="S37" s="268">
        <f t="shared" si="7"/>
        <v>3661.6710854740281</v>
      </c>
      <c r="T37" s="268">
        <f t="shared" si="11"/>
        <v>4193.6356144546708</v>
      </c>
    </row>
    <row r="38" spans="1:20">
      <c r="B38" s="267">
        <v>29</v>
      </c>
      <c r="C38" s="268">
        <f t="shared" si="3"/>
        <v>18427215.866218697</v>
      </c>
      <c r="D38" s="268">
        <f t="shared" si="0"/>
        <v>98012.846960024792</v>
      </c>
      <c r="E38" s="268">
        <f t="shared" si="8"/>
        <v>921713.55673920061</v>
      </c>
      <c r="F38" s="268">
        <f t="shared" si="9"/>
        <v>1019726.4036992254</v>
      </c>
      <c r="G38" s="267"/>
      <c r="H38" s="267"/>
      <c r="I38" s="274"/>
      <c r="J38" s="267">
        <v>29</v>
      </c>
      <c r="K38" s="268">
        <f t="shared" si="4"/>
        <v>3595502.6051562382</v>
      </c>
      <c r="L38" s="268">
        <f t="shared" si="1"/>
        <v>14154.549090407192</v>
      </c>
      <c r="M38" s="268">
        <f t="shared" si="5"/>
        <v>182252.33291297039</v>
      </c>
      <c r="N38" s="268">
        <f t="shared" si="10"/>
        <v>196406.88200337757</v>
      </c>
      <c r="P38" s="267">
        <v>29</v>
      </c>
      <c r="Q38" s="268">
        <f t="shared" si="6"/>
        <v>74741.711780822981</v>
      </c>
      <c r="R38" s="268">
        <f t="shared" si="2"/>
        <v>508.23559713586315</v>
      </c>
      <c r="S38" s="268">
        <f t="shared" si="7"/>
        <v>3685.4000173188078</v>
      </c>
      <c r="T38" s="268">
        <f t="shared" si="11"/>
        <v>4193.6356144546708</v>
      </c>
    </row>
    <row r="39" spans="1:20">
      <c r="B39" s="267">
        <v>30</v>
      </c>
      <c r="C39" s="268">
        <f t="shared" si="3"/>
        <v>17500833.32920659</v>
      </c>
      <c r="D39" s="268">
        <f t="shared" si="0"/>
        <v>93343.866687117843</v>
      </c>
      <c r="E39" s="268">
        <f t="shared" si="8"/>
        <v>926382.53701210755</v>
      </c>
      <c r="F39" s="268">
        <f t="shared" si="9"/>
        <v>1019726.4036992254</v>
      </c>
      <c r="G39" s="267"/>
      <c r="H39" s="267"/>
      <c r="I39" s="274"/>
      <c r="J39" s="267">
        <v>30</v>
      </c>
      <c r="K39" s="268">
        <f t="shared" si="4"/>
        <v>3412567.4064578083</v>
      </c>
      <c r="L39" s="268">
        <f t="shared" si="1"/>
        <v>13471.683304947763</v>
      </c>
      <c r="M39" s="268">
        <f t="shared" si="5"/>
        <v>182935.1986984298</v>
      </c>
      <c r="N39" s="268">
        <f t="shared" si="10"/>
        <v>196406.88200337757</v>
      </c>
      <c r="P39" s="267">
        <v>30</v>
      </c>
      <c r="Q39" s="268">
        <f t="shared" si="6"/>
        <v>71032.429059735776</v>
      </c>
      <c r="R39" s="268">
        <f t="shared" si="2"/>
        <v>484.35289336745882</v>
      </c>
      <c r="S39" s="268">
        <f t="shared" si="7"/>
        <v>3709.2827210872119</v>
      </c>
      <c r="T39" s="268">
        <f t="shared" si="11"/>
        <v>4193.6356144546708</v>
      </c>
    </row>
    <row r="40" spans="1:20">
      <c r="B40" s="267">
        <v>31</v>
      </c>
      <c r="C40" s="268">
        <f t="shared" si="3"/>
        <v>16569758.160998108</v>
      </c>
      <c r="D40" s="268">
        <f t="shared" si="0"/>
        <v>88651.235490744031</v>
      </c>
      <c r="E40" s="268">
        <f t="shared" si="8"/>
        <v>931075.16820848139</v>
      </c>
      <c r="F40" s="268">
        <f t="shared" si="9"/>
        <v>1019726.4036992254</v>
      </c>
      <c r="G40" s="267"/>
      <c r="H40" s="267"/>
      <c r="I40" s="274"/>
      <c r="J40" s="267">
        <v>31</v>
      </c>
      <c r="K40" s="268">
        <f t="shared" si="4"/>
        <v>3228946.7834021109</v>
      </c>
      <c r="L40" s="268">
        <f t="shared" si="1"/>
        <v>12786.258947680233</v>
      </c>
      <c r="M40" s="268">
        <f t="shared" si="5"/>
        <v>183620.62305569733</v>
      </c>
      <c r="N40" s="268">
        <f t="shared" si="10"/>
        <v>196406.88200337757</v>
      </c>
      <c r="P40" s="267">
        <v>31</v>
      </c>
      <c r="Q40" s="268">
        <f t="shared" si="6"/>
        <v>67299.108866459748</v>
      </c>
      <c r="R40" s="268">
        <f t="shared" si="2"/>
        <v>460.31542117863648</v>
      </c>
      <c r="S40" s="268">
        <f t="shared" si="7"/>
        <v>3733.3201932760344</v>
      </c>
      <c r="T40" s="268">
        <f t="shared" si="11"/>
        <v>4193.6356144546708</v>
      </c>
    </row>
    <row r="41" spans="1:20">
      <c r="B41" s="267">
        <v>32</v>
      </c>
      <c r="C41" s="268">
        <f t="shared" si="3"/>
        <v>15633966.590865001</v>
      </c>
      <c r="D41" s="268">
        <f t="shared" si="0"/>
        <v>83934.833566117726</v>
      </c>
      <c r="E41" s="268">
        <f t="shared" si="8"/>
        <v>935791.57013310771</v>
      </c>
      <c r="F41" s="268">
        <f t="shared" si="9"/>
        <v>1019726.4036992254</v>
      </c>
      <c r="G41" s="267"/>
      <c r="H41" s="267"/>
      <c r="I41" s="274"/>
      <c r="J41" s="267">
        <v>32</v>
      </c>
      <c r="K41" s="268">
        <f t="shared" si="4"/>
        <v>3044638.1678308425</v>
      </c>
      <c r="L41" s="268">
        <f t="shared" si="1"/>
        <v>12098.266432109227</v>
      </c>
      <c r="M41" s="268">
        <f t="shared" si="5"/>
        <v>184308.61557126834</v>
      </c>
      <c r="N41" s="268">
        <f t="shared" si="10"/>
        <v>196406.88200337757</v>
      </c>
      <c r="P41" s="267">
        <v>32</v>
      </c>
      <c r="Q41" s="268">
        <f t="shared" si="6"/>
        <v>63541.595429620029</v>
      </c>
      <c r="R41" s="268">
        <f t="shared" si="2"/>
        <v>436.12217761494867</v>
      </c>
      <c r="S41" s="268">
        <f t="shared" si="7"/>
        <v>3757.5134368397221</v>
      </c>
      <c r="T41" s="268">
        <f t="shared" si="11"/>
        <v>4193.6356144546708</v>
      </c>
    </row>
    <row r="42" spans="1:20">
      <c r="B42" s="267">
        <v>33</v>
      </c>
      <c r="C42" s="268">
        <f t="shared" si="3"/>
        <v>14693434.727667352</v>
      </c>
      <c r="D42" s="268">
        <f t="shared" si="0"/>
        <v>79194.540501576892</v>
      </c>
      <c r="E42" s="268">
        <f t="shared" si="8"/>
        <v>940531.86319764855</v>
      </c>
      <c r="F42" s="268">
        <f t="shared" si="9"/>
        <v>1019726.4036992254</v>
      </c>
      <c r="G42" s="267"/>
      <c r="H42" s="267"/>
      <c r="I42" s="274"/>
      <c r="J42" s="267">
        <v>33</v>
      </c>
      <c r="K42" s="268">
        <f t="shared" si="4"/>
        <v>2859638.9819632857</v>
      </c>
      <c r="L42" s="268">
        <f t="shared" si="1"/>
        <v>11407.696135820541</v>
      </c>
      <c r="M42" s="268">
        <f t="shared" si="5"/>
        <v>184999.18586755704</v>
      </c>
      <c r="N42" s="268">
        <f t="shared" si="10"/>
        <v>196406.88200337757</v>
      </c>
      <c r="P42" s="267">
        <v>33</v>
      </c>
      <c r="Q42" s="268">
        <f t="shared" si="6"/>
        <v>59759.731968387801</v>
      </c>
      <c r="R42" s="268">
        <f t="shared" si="2"/>
        <v>411.77215322244632</v>
      </c>
      <c r="S42" s="268">
        <f t="shared" si="7"/>
        <v>3781.8634612322244</v>
      </c>
      <c r="T42" s="268">
        <f t="shared" si="11"/>
        <v>4193.6356144546708</v>
      </c>
    </row>
    <row r="43" spans="1:20">
      <c r="B43" s="267">
        <v>34</v>
      </c>
      <c r="C43" s="268">
        <f t="shared" si="3"/>
        <v>13748138.559243636</v>
      </c>
      <c r="D43" s="268">
        <f t="shared" si="0"/>
        <v>74430.235275508938</v>
      </c>
      <c r="E43" s="268">
        <f t="shared" si="8"/>
        <v>945296.16842371644</v>
      </c>
      <c r="F43" s="268">
        <f t="shared" si="9"/>
        <v>1019726.4036992254</v>
      </c>
      <c r="G43" s="267"/>
      <c r="H43" s="267"/>
      <c r="I43" s="274"/>
      <c r="J43" s="267">
        <v>34</v>
      </c>
      <c r="K43" s="268">
        <f t="shared" si="4"/>
        <v>2673946.6383602545</v>
      </c>
      <c r="L43" s="268">
        <f t="shared" si="1"/>
        <v>10714.538400346561</v>
      </c>
      <c r="M43" s="268">
        <f t="shared" si="5"/>
        <v>185692.34360303101</v>
      </c>
      <c r="N43" s="268">
        <f t="shared" si="10"/>
        <v>196406.88200337757</v>
      </c>
      <c r="P43" s="267">
        <v>34</v>
      </c>
      <c r="Q43" s="268">
        <f t="shared" si="6"/>
        <v>55953.360685938693</v>
      </c>
      <c r="R43" s="268">
        <f t="shared" si="2"/>
        <v>387.26433200555937</v>
      </c>
      <c r="S43" s="268">
        <f t="shared" si="7"/>
        <v>3806.3712824491113</v>
      </c>
      <c r="T43" s="268">
        <f t="shared" si="11"/>
        <v>4193.6356144546708</v>
      </c>
    </row>
    <row r="44" spans="1:20">
      <c r="B44" s="267">
        <v>35</v>
      </c>
      <c r="C44" s="268">
        <f t="shared" si="3"/>
        <v>12798053.951797672</v>
      </c>
      <c r="D44" s="268">
        <f t="shared" si="0"/>
        <v>69641.796253261084</v>
      </c>
      <c r="E44" s="268">
        <f t="shared" si="8"/>
        <v>950084.60744596436</v>
      </c>
      <c r="F44" s="268">
        <f t="shared" si="9"/>
        <v>1019726.4036992254</v>
      </c>
      <c r="G44" s="267"/>
      <c r="H44" s="267"/>
      <c r="I44" s="274"/>
      <c r="J44" s="267">
        <v>35</v>
      </c>
      <c r="K44" s="268">
        <f t="shared" si="4"/>
        <v>2487558.5398879079</v>
      </c>
      <c r="L44" s="268">
        <f t="shared" si="1"/>
        <v>10018.783531031182</v>
      </c>
      <c r="M44" s="268">
        <f t="shared" si="5"/>
        <v>186388.09847234638</v>
      </c>
      <c r="N44" s="268">
        <f t="shared" si="10"/>
        <v>196406.88200337757</v>
      </c>
      <c r="P44" s="267">
        <v>35</v>
      </c>
      <c r="Q44" s="268">
        <f t="shared" si="6"/>
        <v>52122.322762868731</v>
      </c>
      <c r="R44" s="268">
        <f t="shared" si="2"/>
        <v>362.59769138470506</v>
      </c>
      <c r="S44" s="268">
        <f t="shared" si="7"/>
        <v>3831.0379230699655</v>
      </c>
      <c r="T44" s="268">
        <f t="shared" si="11"/>
        <v>4193.6356144546708</v>
      </c>
    </row>
    <row r="45" spans="1:20" ht="15.75">
      <c r="A45" s="277">
        <v>2016</v>
      </c>
      <c r="B45" s="267">
        <v>36</v>
      </c>
      <c r="C45" s="268">
        <f t="shared" si="3"/>
        <v>11843156.649282482</v>
      </c>
      <c r="D45" s="268">
        <f t="shared" si="0"/>
        <v>64829.101184034807</v>
      </c>
      <c r="E45" s="268">
        <f t="shared" si="8"/>
        <v>954897.30251519056</v>
      </c>
      <c r="F45" s="268">
        <f t="shared" si="9"/>
        <v>1019726.4036992254</v>
      </c>
      <c r="G45" s="269">
        <f>+SUM(D34:D45)+SUM(L34:L45)+SUM(R34:R45)</f>
        <v>1253336.1416722608</v>
      </c>
      <c r="H45" s="269">
        <f>+SUM(E34:E45)+SUM(M34:M45)+SUM(S34:S45)</f>
        <v>13390586.914132431</v>
      </c>
      <c r="I45" s="193"/>
      <c r="J45" s="267">
        <v>36</v>
      </c>
      <c r="K45" s="268">
        <f t="shared" si="4"/>
        <v>2300472.0796814244</v>
      </c>
      <c r="L45" s="268">
        <f t="shared" si="1"/>
        <v>9320.4217968942212</v>
      </c>
      <c r="M45" s="268">
        <f t="shared" si="5"/>
        <v>187086.46020648335</v>
      </c>
      <c r="N45" s="268">
        <f t="shared" si="10"/>
        <v>196406.88200337757</v>
      </c>
      <c r="P45" s="267">
        <v>36</v>
      </c>
      <c r="Q45" s="268">
        <f t="shared" si="6"/>
        <v>48266.458350567678</v>
      </c>
      <c r="R45" s="268">
        <f t="shared" si="2"/>
        <v>337.77120215362095</v>
      </c>
      <c r="S45" s="268">
        <f t="shared" si="7"/>
        <v>3855.8644123010499</v>
      </c>
      <c r="T45" s="268">
        <f t="shared" si="11"/>
        <v>4193.6356144546708</v>
      </c>
    </row>
    <row r="46" spans="1:20">
      <c r="B46" s="267">
        <v>37</v>
      </c>
      <c r="C46" s="268">
        <f t="shared" si="3"/>
        <v>10883422.272781022</v>
      </c>
      <c r="D46" s="268">
        <f t="shared" si="0"/>
        <v>59992.02719776491</v>
      </c>
      <c r="E46" s="268">
        <f t="shared" si="8"/>
        <v>959734.37650146044</v>
      </c>
      <c r="F46" s="268">
        <f t="shared" si="9"/>
        <v>1019726.4036992254</v>
      </c>
      <c r="G46" s="267"/>
      <c r="H46" s="267"/>
      <c r="I46" s="274"/>
      <c r="J46" s="267">
        <v>37</v>
      </c>
      <c r="K46" s="268">
        <f t="shared" si="4"/>
        <v>2112684.6411085422</v>
      </c>
      <c r="L46" s="268">
        <f t="shared" si="1"/>
        <v>8619.4434304953083</v>
      </c>
      <c r="M46" s="268">
        <f t="shared" si="5"/>
        <v>187787.43857288227</v>
      </c>
      <c r="N46" s="268">
        <f t="shared" si="10"/>
        <v>196406.88200337757</v>
      </c>
      <c r="P46" s="267">
        <v>37</v>
      </c>
      <c r="Q46" s="268">
        <f t="shared" si="6"/>
        <v>44385.606564549431</v>
      </c>
      <c r="R46" s="268">
        <f t="shared" si="2"/>
        <v>312.78382843642152</v>
      </c>
      <c r="S46" s="268">
        <f t="shared" si="7"/>
        <v>3880.8517860182492</v>
      </c>
      <c r="T46" s="268">
        <f t="shared" si="11"/>
        <v>4193.6356144546708</v>
      </c>
    </row>
    <row r="47" spans="1:20">
      <c r="B47" s="267">
        <v>38</v>
      </c>
      <c r="C47" s="268">
        <f t="shared" si="3"/>
        <v>9918826.3198837787</v>
      </c>
      <c r="D47" s="268">
        <f t="shared" si="0"/>
        <v>55130.450801982479</v>
      </c>
      <c r="E47" s="268">
        <f t="shared" si="8"/>
        <v>964595.95289724297</v>
      </c>
      <c r="F47" s="268">
        <f t="shared" si="9"/>
        <v>1019726.4036992254</v>
      </c>
      <c r="G47" s="267"/>
      <c r="H47" s="267"/>
      <c r="I47" s="274"/>
      <c r="J47" s="267">
        <v>38</v>
      </c>
      <c r="K47" s="268">
        <f t="shared" si="4"/>
        <v>1924193.5977329619</v>
      </c>
      <c r="L47" s="268">
        <f t="shared" si="1"/>
        <v>7915.8386277972804</v>
      </c>
      <c r="M47" s="268">
        <f t="shared" si="5"/>
        <v>188491.04337558028</v>
      </c>
      <c r="N47" s="268">
        <f t="shared" si="10"/>
        <v>196406.88200337757</v>
      </c>
      <c r="P47" s="267">
        <v>38</v>
      </c>
      <c r="Q47" s="268">
        <f t="shared" si="6"/>
        <v>40479.60547773914</v>
      </c>
      <c r="R47" s="268">
        <f t="shared" si="2"/>
        <v>287.6345276443771</v>
      </c>
      <c r="S47" s="268">
        <f t="shared" si="7"/>
        <v>3906.0010868102936</v>
      </c>
      <c r="T47" s="268">
        <f t="shared" si="11"/>
        <v>4193.6356144546708</v>
      </c>
    </row>
    <row r="48" spans="1:20">
      <c r="B48" s="267">
        <v>39</v>
      </c>
      <c r="C48" s="268">
        <f t="shared" si="3"/>
        <v>8949344.1640632153</v>
      </c>
      <c r="D48" s="268">
        <f t="shared" si="0"/>
        <v>50244.247878662085</v>
      </c>
      <c r="E48" s="268">
        <f t="shared" si="8"/>
        <v>969482.15582056332</v>
      </c>
      <c r="F48" s="268">
        <f t="shared" si="9"/>
        <v>1019726.4036992254</v>
      </c>
      <c r="G48" s="267"/>
      <c r="H48" s="267"/>
      <c r="I48" s="274"/>
      <c r="J48" s="267">
        <v>39</v>
      </c>
      <c r="K48" s="268">
        <f t="shared" si="4"/>
        <v>1734996.3132776134</v>
      </c>
      <c r="L48" s="268">
        <f t="shared" si="1"/>
        <v>7209.5975480290599</v>
      </c>
      <c r="M48" s="268">
        <f t="shared" si="5"/>
        <v>189197.2844553485</v>
      </c>
      <c r="N48" s="268">
        <f t="shared" si="10"/>
        <v>196406.88200337757</v>
      </c>
      <c r="P48" s="267">
        <v>39</v>
      </c>
      <c r="Q48" s="268">
        <f t="shared" si="6"/>
        <v>36548.292113716881</v>
      </c>
      <c r="R48" s="268">
        <f t="shared" si="2"/>
        <v>262.32225043241181</v>
      </c>
      <c r="S48" s="268">
        <f t="shared" si="7"/>
        <v>3931.3133640222591</v>
      </c>
      <c r="T48" s="268">
        <f t="shared" si="11"/>
        <v>4193.6356144546708</v>
      </c>
    </row>
    <row r="49" spans="1:20">
      <c r="B49" s="267">
        <v>40</v>
      </c>
      <c r="C49" s="268">
        <f t="shared" si="3"/>
        <v>7974951.054045043</v>
      </c>
      <c r="D49" s="268">
        <f t="shared" si="0"/>
        <v>45333.293681053066</v>
      </c>
      <c r="E49" s="268">
        <f t="shared" si="8"/>
        <v>974393.1100181723</v>
      </c>
      <c r="F49" s="268">
        <f t="shared" si="9"/>
        <v>1019726.4036992254</v>
      </c>
      <c r="G49" s="267"/>
      <c r="H49" s="267"/>
      <c r="I49" s="274"/>
      <c r="J49" s="267">
        <v>40</v>
      </c>
      <c r="K49" s="268">
        <f t="shared" si="4"/>
        <v>1545090.1415877838</v>
      </c>
      <c r="L49" s="268">
        <f t="shared" si="1"/>
        <v>6500.7103135480229</v>
      </c>
      <c r="M49" s="268">
        <f t="shared" si="5"/>
        <v>189906.17168982956</v>
      </c>
      <c r="N49" s="268">
        <f t="shared" si="10"/>
        <v>196406.88200337757</v>
      </c>
      <c r="P49" s="267">
        <v>40</v>
      </c>
      <c r="Q49" s="268">
        <f t="shared" si="6"/>
        <v>32591.502439917531</v>
      </c>
      <c r="R49" s="268">
        <f t="shared" si="2"/>
        <v>236.84594065532025</v>
      </c>
      <c r="S49" s="268">
        <f t="shared" si="7"/>
        <v>3956.7896737993506</v>
      </c>
      <c r="T49" s="268">
        <f t="shared" si="11"/>
        <v>4193.6356144546708</v>
      </c>
    </row>
    <row r="50" spans="1:20">
      <c r="B50" s="267">
        <v>41</v>
      </c>
      <c r="C50" s="268">
        <f t="shared" si="3"/>
        <v>6995622.1131763123</v>
      </c>
      <c r="D50" s="268">
        <f t="shared" si="0"/>
        <v>40397.462830494609</v>
      </c>
      <c r="E50" s="268">
        <f t="shared" si="8"/>
        <v>979328.94086873077</v>
      </c>
      <c r="F50" s="268">
        <f t="shared" si="9"/>
        <v>1019726.4036992254</v>
      </c>
      <c r="G50" s="267"/>
      <c r="H50" s="267"/>
      <c r="I50" s="274"/>
      <c r="J50" s="267">
        <v>41</v>
      </c>
      <c r="K50" s="268">
        <f t="shared" si="4"/>
        <v>1354472.4265941081</v>
      </c>
      <c r="L50" s="268">
        <f t="shared" si="1"/>
        <v>5789.1670097018414</v>
      </c>
      <c r="M50" s="268">
        <f t="shared" si="5"/>
        <v>190617.71499367573</v>
      </c>
      <c r="N50" s="268">
        <f t="shared" si="10"/>
        <v>196406.88200337757</v>
      </c>
      <c r="P50" s="267">
        <v>41</v>
      </c>
      <c r="Q50" s="268">
        <f t="shared" si="6"/>
        <v>28609.071360786562</v>
      </c>
      <c r="R50" s="268">
        <f t="shared" si="2"/>
        <v>211.20453532370024</v>
      </c>
      <c r="S50" s="268">
        <f t="shared" si="7"/>
        <v>3982.4310791309704</v>
      </c>
      <c r="T50" s="268">
        <f t="shared" si="11"/>
        <v>4193.6356144546708</v>
      </c>
    </row>
    <row r="51" spans="1:20">
      <c r="B51" s="267">
        <v>42</v>
      </c>
      <c r="C51" s="268">
        <f t="shared" si="3"/>
        <v>6011332.3387903012</v>
      </c>
      <c r="D51" s="268">
        <f t="shared" si="0"/>
        <v>35436.629313214849</v>
      </c>
      <c r="E51" s="268">
        <f t="shared" si="8"/>
        <v>984289.7743860106</v>
      </c>
      <c r="F51" s="268">
        <f t="shared" si="9"/>
        <v>1019726.4036992254</v>
      </c>
      <c r="G51" s="267"/>
      <c r="H51" s="267"/>
      <c r="I51" s="274"/>
      <c r="J51" s="267">
        <v>42</v>
      </c>
      <c r="K51" s="268">
        <f t="shared" si="4"/>
        <v>1163140.5022754204</v>
      </c>
      <c r="L51" s="268">
        <f t="shared" si="1"/>
        <v>5074.9576846898226</v>
      </c>
      <c r="M51" s="268">
        <f t="shared" si="5"/>
        <v>191331.92431868776</v>
      </c>
      <c r="N51" s="268">
        <f t="shared" si="10"/>
        <v>196406.88200337757</v>
      </c>
      <c r="P51" s="267">
        <v>42</v>
      </c>
      <c r="Q51" s="268">
        <f t="shared" si="6"/>
        <v>24600.832710891489</v>
      </c>
      <c r="R51" s="268">
        <f t="shared" si="2"/>
        <v>185.39696455959998</v>
      </c>
      <c r="S51" s="268">
        <f t="shared" si="7"/>
        <v>4008.2386498950709</v>
      </c>
      <c r="T51" s="268">
        <f t="shared" si="11"/>
        <v>4193.6356144546708</v>
      </c>
    </row>
    <row r="52" spans="1:20">
      <c r="B52" s="267">
        <v>43</v>
      </c>
      <c r="C52" s="268">
        <f t="shared" si="3"/>
        <v>5022056.6015681894</v>
      </c>
      <c r="D52" s="268">
        <f t="shared" si="0"/>
        <v>30450.666477113635</v>
      </c>
      <c r="E52" s="268">
        <f t="shared" si="8"/>
        <v>989275.73722211178</v>
      </c>
      <c r="F52" s="268">
        <f t="shared" si="9"/>
        <v>1019726.4036992254</v>
      </c>
      <c r="G52" s="267"/>
      <c r="H52" s="267"/>
      <c r="I52" s="274"/>
      <c r="J52" s="267">
        <v>43</v>
      </c>
      <c r="K52" s="268">
        <f t="shared" si="4"/>
        <v>971091.69262146647</v>
      </c>
      <c r="L52" s="268">
        <f t="shared" si="1"/>
        <v>4358.0723494237154</v>
      </c>
      <c r="M52" s="268">
        <f t="shared" si="5"/>
        <v>192048.80965395385</v>
      </c>
      <c r="N52" s="268">
        <f t="shared" si="10"/>
        <v>196406.88200337757</v>
      </c>
      <c r="P52" s="267">
        <v>43</v>
      </c>
      <c r="Q52" s="268">
        <f t="shared" si="6"/>
        <v>20566.619247988696</v>
      </c>
      <c r="R52" s="268">
        <f t="shared" si="2"/>
        <v>159.42215155187762</v>
      </c>
      <c r="S52" s="268">
        <f t="shared" si="7"/>
        <v>4034.2134629027933</v>
      </c>
      <c r="T52" s="268">
        <f t="shared" si="11"/>
        <v>4193.6356144546708</v>
      </c>
    </row>
    <row r="53" spans="1:20">
      <c r="B53" s="267">
        <v>44</v>
      </c>
      <c r="C53" s="268">
        <f t="shared" si="3"/>
        <v>4027769.6448974931</v>
      </c>
      <c r="D53" s="268">
        <f t="shared" si="0"/>
        <v>25439.447028529081</v>
      </c>
      <c r="E53" s="268">
        <f t="shared" si="8"/>
        <v>994286.95667069627</v>
      </c>
      <c r="F53" s="268">
        <f t="shared" si="9"/>
        <v>1019726.4036992254</v>
      </c>
      <c r="G53" s="267"/>
      <c r="H53" s="267"/>
      <c r="I53" s="274"/>
      <c r="J53" s="267">
        <v>44</v>
      </c>
      <c r="K53" s="268">
        <f t="shared" si="4"/>
        <v>778323.31159547693</v>
      </c>
      <c r="L53" s="268">
        <f t="shared" si="1"/>
        <v>3638.5009773880001</v>
      </c>
      <c r="M53" s="268">
        <f t="shared" si="5"/>
        <v>192768.38102598957</v>
      </c>
      <c r="N53" s="268">
        <f t="shared" si="10"/>
        <v>196406.88200337757</v>
      </c>
      <c r="P53" s="267">
        <v>44</v>
      </c>
      <c r="Q53" s="268">
        <f t="shared" si="6"/>
        <v>16506.262646045296</v>
      </c>
      <c r="R53" s="268">
        <f t="shared" si="2"/>
        <v>133.27901251127204</v>
      </c>
      <c r="S53" s="268">
        <f t="shared" si="7"/>
        <v>4060.3566019433988</v>
      </c>
      <c r="T53" s="268">
        <f t="shared" si="11"/>
        <v>4193.6356144546708</v>
      </c>
    </row>
    <row r="54" spans="1:20">
      <c r="B54" s="267">
        <v>45</v>
      </c>
      <c r="C54" s="268">
        <f t="shared" si="3"/>
        <v>3028446.0842272555</v>
      </c>
      <c r="D54" s="268">
        <f t="shared" si="0"/>
        <v>20402.843028987692</v>
      </c>
      <c r="E54" s="268">
        <f t="shared" si="8"/>
        <v>999323.56067023776</v>
      </c>
      <c r="F54" s="268">
        <f t="shared" si="9"/>
        <v>1019726.4036992254</v>
      </c>
      <c r="G54" s="267"/>
      <c r="H54" s="267"/>
      <c r="I54" s="274"/>
      <c r="J54" s="267">
        <v>45</v>
      </c>
      <c r="K54" s="268">
        <f t="shared" si="4"/>
        <v>584832.66309659905</v>
      </c>
      <c r="L54" s="268">
        <f t="shared" si="1"/>
        <v>2916.2335044996621</v>
      </c>
      <c r="M54" s="268">
        <f t="shared" si="5"/>
        <v>193490.64849887791</v>
      </c>
      <c r="N54" s="268">
        <f t="shared" si="10"/>
        <v>196406.88200337757</v>
      </c>
      <c r="P54" s="267">
        <v>45</v>
      </c>
      <c r="Q54" s="268">
        <f t="shared" si="6"/>
        <v>12419.593488215807</v>
      </c>
      <c r="R54" s="268">
        <f t="shared" si="2"/>
        <v>106.96645662518186</v>
      </c>
      <c r="S54" s="268">
        <f t="shared" si="7"/>
        <v>4086.669157829489</v>
      </c>
      <c r="T54" s="268">
        <f t="shared" si="11"/>
        <v>4193.6356144546708</v>
      </c>
    </row>
    <row r="55" spans="1:20">
      <c r="B55" s="267">
        <v>46</v>
      </c>
      <c r="C55" s="268">
        <f t="shared" si="3"/>
        <v>2024060.4064199682</v>
      </c>
      <c r="D55" s="268">
        <f t="shared" si="0"/>
        <v>15340.72589193806</v>
      </c>
      <c r="E55" s="268">
        <f t="shared" si="8"/>
        <v>1004385.6778072873</v>
      </c>
      <c r="F55" s="268">
        <f t="shared" si="9"/>
        <v>1019726.4036992254</v>
      </c>
      <c r="G55" s="267"/>
      <c r="H55" s="267"/>
      <c r="I55" s="274"/>
      <c r="J55" s="267">
        <v>46</v>
      </c>
      <c r="K55" s="268">
        <f t="shared" si="4"/>
        <v>390617.0409221889</v>
      </c>
      <c r="L55" s="268">
        <f t="shared" si="1"/>
        <v>2191.2598289674261</v>
      </c>
      <c r="M55" s="268">
        <f t="shared" si="5"/>
        <v>194215.62217441015</v>
      </c>
      <c r="N55" s="268">
        <f t="shared" si="10"/>
        <v>196406.88200337757</v>
      </c>
      <c r="P55" s="267">
        <v>46</v>
      </c>
      <c r="Q55" s="268">
        <f t="shared" si="6"/>
        <v>8306.441259773288</v>
      </c>
      <c r="R55" s="268">
        <f t="shared" si="2"/>
        <v>80.483386012151897</v>
      </c>
      <c r="S55" s="268">
        <f t="shared" si="7"/>
        <v>4113.1522284425191</v>
      </c>
      <c r="T55" s="268">
        <f t="shared" si="11"/>
        <v>4193.6356144546708</v>
      </c>
    </row>
    <row r="56" spans="1:20">
      <c r="B56" s="267">
        <v>47</v>
      </c>
      <c r="C56" s="268">
        <f t="shared" si="3"/>
        <v>1014586.9691002108</v>
      </c>
      <c r="D56" s="268">
        <f t="shared" si="0"/>
        <v>10252.966379467971</v>
      </c>
      <c r="E56" s="268">
        <f t="shared" si="8"/>
        <v>1009473.4373197574</v>
      </c>
      <c r="F56" s="268">
        <f t="shared" si="9"/>
        <v>1019726.4036992254</v>
      </c>
      <c r="G56" s="267"/>
      <c r="H56" s="267"/>
      <c r="I56" s="274"/>
      <c r="J56" s="267">
        <v>47</v>
      </c>
      <c r="K56" s="268">
        <f t="shared" si="4"/>
        <v>195673.72872996179</v>
      </c>
      <c r="L56" s="268">
        <f t="shared" si="1"/>
        <v>1463.569811150473</v>
      </c>
      <c r="M56" s="268">
        <f t="shared" si="5"/>
        <v>194943.31219222711</v>
      </c>
      <c r="N56" s="268">
        <f t="shared" si="10"/>
        <v>196406.88200337757</v>
      </c>
      <c r="P56" s="267">
        <v>47</v>
      </c>
      <c r="Q56" s="268">
        <f t="shared" si="6"/>
        <v>4166.6343409946812</v>
      </c>
      <c r="R56" s="268">
        <f t="shared" si="2"/>
        <v>53.828695676064321</v>
      </c>
      <c r="S56" s="268">
        <f t="shared" si="7"/>
        <v>4139.8069187786068</v>
      </c>
      <c r="T56" s="268">
        <f t="shared" si="11"/>
        <v>4193.6356144546708</v>
      </c>
    </row>
    <row r="57" spans="1:20" ht="15.75">
      <c r="A57" s="277">
        <v>2017</v>
      </c>
      <c r="B57" s="267">
        <v>48</v>
      </c>
      <c r="C57" s="268">
        <f t="shared" si="3"/>
        <v>-9.6624717116355896E-9</v>
      </c>
      <c r="D57" s="268">
        <f t="shared" si="0"/>
        <v>5139.4345990049333</v>
      </c>
      <c r="E57" s="268">
        <f t="shared" si="8"/>
        <v>1014586.9691002205</v>
      </c>
      <c r="F57" s="268">
        <f t="shared" si="9"/>
        <v>1019726.4036992254</v>
      </c>
      <c r="G57" s="269">
        <f>+SUM(D46:D57)+SUM(L46:L57)+SUM(R46:R57)</f>
        <v>452027.86849020899</v>
      </c>
      <c r="H57" s="269">
        <f>+SUM(E46:E57)+SUM(M46:M57)+SUM(S46:S57)</f>
        <v>14191895.187314479</v>
      </c>
      <c r="I57" s="193"/>
      <c r="J57" s="267">
        <v>48</v>
      </c>
      <c r="K57" s="268">
        <f t="shared" si="4"/>
        <v>8.440110832452774E-10</v>
      </c>
      <c r="L57" s="268">
        <f t="shared" si="1"/>
        <v>733.15327341662623</v>
      </c>
      <c r="M57" s="268">
        <f t="shared" si="5"/>
        <v>195673.72872996095</v>
      </c>
      <c r="N57" s="268">
        <f t="shared" si="10"/>
        <v>196406.88200337757</v>
      </c>
      <c r="P57" s="267">
        <v>48</v>
      </c>
      <c r="Q57" s="268">
        <f t="shared" si="6"/>
        <v>4.3655745685100555E-11</v>
      </c>
      <c r="R57" s="268">
        <f t="shared" si="2"/>
        <v>27.001273460033236</v>
      </c>
      <c r="S57" s="268">
        <f t="shared" si="7"/>
        <v>4166.6343409946376</v>
      </c>
      <c r="T57" s="268">
        <f t="shared" si="11"/>
        <v>4193.6356144546708</v>
      </c>
    </row>
    <row r="58" spans="1:20">
      <c r="C58" s="46"/>
      <c r="D58" s="46"/>
      <c r="E58" s="46"/>
      <c r="F58" s="46"/>
      <c r="H58" s="46">
        <f>SUM(H10:H57)</f>
        <v>52139865</v>
      </c>
      <c r="I58" s="275"/>
      <c r="L58" s="46"/>
      <c r="R58" s="46"/>
    </row>
    <row r="59" spans="1:20">
      <c r="I59" s="271"/>
      <c r="R59" s="46"/>
    </row>
    <row r="60" spans="1:20" ht="15.75">
      <c r="B60" s="277" t="s">
        <v>975</v>
      </c>
      <c r="C60" s="277"/>
      <c r="D60" s="277"/>
      <c r="E60" s="277"/>
      <c r="F60" s="133"/>
      <c r="G60" s="277"/>
      <c r="I60" s="271"/>
    </row>
    <row r="61" spans="1:20" ht="15.75">
      <c r="B61" s="682" t="s">
        <v>974</v>
      </c>
      <c r="C61" s="682"/>
      <c r="D61" s="682"/>
      <c r="E61" s="682"/>
      <c r="F61" s="682"/>
      <c r="G61" s="682"/>
      <c r="H61" s="279">
        <v>2013</v>
      </c>
    </row>
    <row r="62" spans="1:20">
      <c r="B62" s="682"/>
      <c r="C62" s="682"/>
      <c r="D62" s="682"/>
      <c r="E62" s="682"/>
      <c r="F62" s="682"/>
      <c r="G62" s="682"/>
      <c r="H62" s="268">
        <f>1100000+400000+150000</f>
        <v>1650000</v>
      </c>
    </row>
    <row r="63" spans="1:20">
      <c r="F63" s="46"/>
    </row>
    <row r="64" spans="1:20" ht="15.75">
      <c r="C64" s="279">
        <v>2014</v>
      </c>
      <c r="D64" s="279">
        <v>2015</v>
      </c>
      <c r="E64" s="279">
        <v>2016</v>
      </c>
      <c r="F64" s="279">
        <v>2017</v>
      </c>
      <c r="G64" s="279">
        <v>2018</v>
      </c>
      <c r="H64" s="279">
        <v>2019</v>
      </c>
    </row>
    <row r="65" spans="2:8">
      <c r="C65" s="278">
        <f>+H62*(1+Supuestos!F28)</f>
        <v>1694714.9999999998</v>
      </c>
      <c r="D65" s="278">
        <f>+C65*(1+Supuestos!G28)</f>
        <v>1754199.4964999997</v>
      </c>
      <c r="E65" s="278">
        <f>+D65*(1+Supuestos!H28)</f>
        <v>1819455.7177697995</v>
      </c>
      <c r="F65" s="278">
        <f>+E65*(1+Supuestos!I28)</f>
        <v>1888595.0350450519</v>
      </c>
      <c r="G65" s="278">
        <f>+F65*(1+Supuestos!J28)</f>
        <v>1960361.6463767639</v>
      </c>
      <c r="H65" s="278">
        <f>+G65*(1+Supuestos!K28)</f>
        <v>2034855.388939081</v>
      </c>
    </row>
    <row r="67" spans="2:8" ht="15.75">
      <c r="B67" s="277" t="s">
        <v>976</v>
      </c>
    </row>
    <row r="68" spans="2:8">
      <c r="B68" s="54" t="s">
        <v>977</v>
      </c>
      <c r="D68" s="276">
        <f>+AVERAGE(Resultados!C19:F19)</f>
        <v>2473531.25</v>
      </c>
    </row>
  </sheetData>
  <mergeCells count="2">
    <mergeCell ref="B61:G62"/>
    <mergeCell ref="B1:C1"/>
  </mergeCells>
  <phoneticPr fontId="67" type="noConversion"/>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8"/>
  <sheetViews>
    <sheetView zoomScale="90" zoomScaleNormal="90" workbookViewId="0">
      <selection activeCell="D12" sqref="D12"/>
    </sheetView>
  </sheetViews>
  <sheetFormatPr baseColWidth="10" defaultColWidth="8.33203125" defaultRowHeight="15.75"/>
  <cols>
    <col min="1" max="1" width="12.109375" style="617" bestFit="1" customWidth="1"/>
    <col min="2" max="2" width="8" style="617" bestFit="1" customWidth="1"/>
    <col min="3" max="3" width="8.5546875" style="617" bestFit="1" customWidth="1"/>
    <col min="4" max="4" width="9.44140625" style="617" bestFit="1" customWidth="1"/>
    <col min="5" max="5" width="10.77734375" style="617" bestFit="1" customWidth="1"/>
    <col min="6" max="6" width="9.44140625" style="617" bestFit="1" customWidth="1"/>
    <col min="7" max="7" width="10" style="617" bestFit="1" customWidth="1"/>
    <col min="8" max="8" width="8.33203125" style="617"/>
    <col min="9" max="9" width="8.88671875" style="617" customWidth="1"/>
    <col min="10" max="10" width="8.77734375" style="617" bestFit="1" customWidth="1"/>
    <col min="11" max="256" width="8.33203125" style="617"/>
    <col min="257" max="257" width="12.109375" style="617" bestFit="1" customWidth="1"/>
    <col min="258" max="258" width="8" style="617" bestFit="1" customWidth="1"/>
    <col min="259" max="259" width="8.5546875" style="617" bestFit="1" customWidth="1"/>
    <col min="260" max="260" width="9.44140625" style="617" bestFit="1" customWidth="1"/>
    <col min="261" max="261" width="8.33203125" style="617"/>
    <col min="262" max="262" width="9.44140625" style="617" bestFit="1" customWidth="1"/>
    <col min="263" max="263" width="10" style="617" bestFit="1" customWidth="1"/>
    <col min="264" max="264" width="8.33203125" style="617"/>
    <col min="265" max="265" width="8.88671875" style="617" customWidth="1"/>
    <col min="266" max="266" width="8.77734375" style="617" bestFit="1" customWidth="1"/>
    <col min="267" max="512" width="8.33203125" style="617"/>
    <col min="513" max="513" width="12.109375" style="617" bestFit="1" customWidth="1"/>
    <col min="514" max="514" width="8" style="617" bestFit="1" customWidth="1"/>
    <col min="515" max="515" width="8.5546875" style="617" bestFit="1" customWidth="1"/>
    <col min="516" max="516" width="9.44140625" style="617" bestFit="1" customWidth="1"/>
    <col min="517" max="517" width="8.33203125" style="617"/>
    <col min="518" max="518" width="9.44140625" style="617" bestFit="1" customWidth="1"/>
    <col min="519" max="519" width="10" style="617" bestFit="1" customWidth="1"/>
    <col min="520" max="520" width="8.33203125" style="617"/>
    <col min="521" max="521" width="8.88671875" style="617" customWidth="1"/>
    <col min="522" max="522" width="8.77734375" style="617" bestFit="1" customWidth="1"/>
    <col min="523" max="768" width="8.33203125" style="617"/>
    <col min="769" max="769" width="12.109375" style="617" bestFit="1" customWidth="1"/>
    <col min="770" max="770" width="8" style="617" bestFit="1" customWidth="1"/>
    <col min="771" max="771" width="8.5546875" style="617" bestFit="1" customWidth="1"/>
    <col min="772" max="772" width="9.44140625" style="617" bestFit="1" customWidth="1"/>
    <col min="773" max="773" width="8.33203125" style="617"/>
    <col min="774" max="774" width="9.44140625" style="617" bestFit="1" customWidth="1"/>
    <col min="775" max="775" width="10" style="617" bestFit="1" customWidth="1"/>
    <col min="776" max="776" width="8.33203125" style="617"/>
    <col min="777" max="777" width="8.88671875" style="617" customWidth="1"/>
    <col min="778" max="778" width="8.77734375" style="617" bestFit="1" customWidth="1"/>
    <col min="779" max="1024" width="8.33203125" style="617"/>
    <col min="1025" max="1025" width="12.109375" style="617" bestFit="1" customWidth="1"/>
    <col min="1026" max="1026" width="8" style="617" bestFit="1" customWidth="1"/>
    <col min="1027" max="1027" width="8.5546875" style="617" bestFit="1" customWidth="1"/>
    <col min="1028" max="1028" width="9.44140625" style="617" bestFit="1" customWidth="1"/>
    <col min="1029" max="1029" width="8.33203125" style="617"/>
    <col min="1030" max="1030" width="9.44140625" style="617" bestFit="1" customWidth="1"/>
    <col min="1031" max="1031" width="10" style="617" bestFit="1" customWidth="1"/>
    <col min="1032" max="1032" width="8.33203125" style="617"/>
    <col min="1033" max="1033" width="8.88671875" style="617" customWidth="1"/>
    <col min="1034" max="1034" width="8.77734375" style="617" bestFit="1" customWidth="1"/>
    <col min="1035" max="1280" width="8.33203125" style="617"/>
    <col min="1281" max="1281" width="12.109375" style="617" bestFit="1" customWidth="1"/>
    <col min="1282" max="1282" width="8" style="617" bestFit="1" customWidth="1"/>
    <col min="1283" max="1283" width="8.5546875" style="617" bestFit="1" customWidth="1"/>
    <col min="1284" max="1284" width="9.44140625" style="617" bestFit="1" customWidth="1"/>
    <col min="1285" max="1285" width="8.33203125" style="617"/>
    <col min="1286" max="1286" width="9.44140625" style="617" bestFit="1" customWidth="1"/>
    <col min="1287" max="1287" width="10" style="617" bestFit="1" customWidth="1"/>
    <col min="1288" max="1288" width="8.33203125" style="617"/>
    <col min="1289" max="1289" width="8.88671875" style="617" customWidth="1"/>
    <col min="1290" max="1290" width="8.77734375" style="617" bestFit="1" customWidth="1"/>
    <col min="1291" max="1536" width="8.33203125" style="617"/>
    <col min="1537" max="1537" width="12.109375" style="617" bestFit="1" customWidth="1"/>
    <col min="1538" max="1538" width="8" style="617" bestFit="1" customWidth="1"/>
    <col min="1539" max="1539" width="8.5546875" style="617" bestFit="1" customWidth="1"/>
    <col min="1540" max="1540" width="9.44140625" style="617" bestFit="1" customWidth="1"/>
    <col min="1541" max="1541" width="8.33203125" style="617"/>
    <col min="1542" max="1542" width="9.44140625" style="617" bestFit="1" customWidth="1"/>
    <col min="1543" max="1543" width="10" style="617" bestFit="1" customWidth="1"/>
    <col min="1544" max="1544" width="8.33203125" style="617"/>
    <col min="1545" max="1545" width="8.88671875" style="617" customWidth="1"/>
    <col min="1546" max="1546" width="8.77734375" style="617" bestFit="1" customWidth="1"/>
    <col min="1547" max="1792" width="8.33203125" style="617"/>
    <col min="1793" max="1793" width="12.109375" style="617" bestFit="1" customWidth="1"/>
    <col min="1794" max="1794" width="8" style="617" bestFit="1" customWidth="1"/>
    <col min="1795" max="1795" width="8.5546875" style="617" bestFit="1" customWidth="1"/>
    <col min="1796" max="1796" width="9.44140625" style="617" bestFit="1" customWidth="1"/>
    <col min="1797" max="1797" width="8.33203125" style="617"/>
    <col min="1798" max="1798" width="9.44140625" style="617" bestFit="1" customWidth="1"/>
    <col min="1799" max="1799" width="10" style="617" bestFit="1" customWidth="1"/>
    <col min="1800" max="1800" width="8.33203125" style="617"/>
    <col min="1801" max="1801" width="8.88671875" style="617" customWidth="1"/>
    <col min="1802" max="1802" width="8.77734375" style="617" bestFit="1" customWidth="1"/>
    <col min="1803" max="2048" width="8.33203125" style="617"/>
    <col min="2049" max="2049" width="12.109375" style="617" bestFit="1" customWidth="1"/>
    <col min="2050" max="2050" width="8" style="617" bestFit="1" customWidth="1"/>
    <col min="2051" max="2051" width="8.5546875" style="617" bestFit="1" customWidth="1"/>
    <col min="2052" max="2052" width="9.44140625" style="617" bestFit="1" customWidth="1"/>
    <col min="2053" max="2053" width="8.33203125" style="617"/>
    <col min="2054" max="2054" width="9.44140625" style="617" bestFit="1" customWidth="1"/>
    <col min="2055" max="2055" width="10" style="617" bestFit="1" customWidth="1"/>
    <col min="2056" max="2056" width="8.33203125" style="617"/>
    <col min="2057" max="2057" width="8.88671875" style="617" customWidth="1"/>
    <col min="2058" max="2058" width="8.77734375" style="617" bestFit="1" customWidth="1"/>
    <col min="2059" max="2304" width="8.33203125" style="617"/>
    <col min="2305" max="2305" width="12.109375" style="617" bestFit="1" customWidth="1"/>
    <col min="2306" max="2306" width="8" style="617" bestFit="1" customWidth="1"/>
    <col min="2307" max="2307" width="8.5546875" style="617" bestFit="1" customWidth="1"/>
    <col min="2308" max="2308" width="9.44140625" style="617" bestFit="1" customWidth="1"/>
    <col min="2309" max="2309" width="8.33203125" style="617"/>
    <col min="2310" max="2310" width="9.44140625" style="617" bestFit="1" customWidth="1"/>
    <col min="2311" max="2311" width="10" style="617" bestFit="1" customWidth="1"/>
    <col min="2312" max="2312" width="8.33203125" style="617"/>
    <col min="2313" max="2313" width="8.88671875" style="617" customWidth="1"/>
    <col min="2314" max="2314" width="8.77734375" style="617" bestFit="1" customWidth="1"/>
    <col min="2315" max="2560" width="8.33203125" style="617"/>
    <col min="2561" max="2561" width="12.109375" style="617" bestFit="1" customWidth="1"/>
    <col min="2562" max="2562" width="8" style="617" bestFit="1" customWidth="1"/>
    <col min="2563" max="2563" width="8.5546875" style="617" bestFit="1" customWidth="1"/>
    <col min="2564" max="2564" width="9.44140625" style="617" bestFit="1" customWidth="1"/>
    <col min="2565" max="2565" width="8.33203125" style="617"/>
    <col min="2566" max="2566" width="9.44140625" style="617" bestFit="1" customWidth="1"/>
    <col min="2567" max="2567" width="10" style="617" bestFit="1" customWidth="1"/>
    <col min="2568" max="2568" width="8.33203125" style="617"/>
    <col min="2569" max="2569" width="8.88671875" style="617" customWidth="1"/>
    <col min="2570" max="2570" width="8.77734375" style="617" bestFit="1" customWidth="1"/>
    <col min="2571" max="2816" width="8.33203125" style="617"/>
    <col min="2817" max="2817" width="12.109375" style="617" bestFit="1" customWidth="1"/>
    <col min="2818" max="2818" width="8" style="617" bestFit="1" customWidth="1"/>
    <col min="2819" max="2819" width="8.5546875" style="617" bestFit="1" customWidth="1"/>
    <col min="2820" max="2820" width="9.44140625" style="617" bestFit="1" customWidth="1"/>
    <col min="2821" max="2821" width="8.33203125" style="617"/>
    <col min="2822" max="2822" width="9.44140625" style="617" bestFit="1" customWidth="1"/>
    <col min="2823" max="2823" width="10" style="617" bestFit="1" customWidth="1"/>
    <col min="2824" max="2824" width="8.33203125" style="617"/>
    <col min="2825" max="2825" width="8.88671875" style="617" customWidth="1"/>
    <col min="2826" max="2826" width="8.77734375" style="617" bestFit="1" customWidth="1"/>
    <col min="2827" max="3072" width="8.33203125" style="617"/>
    <col min="3073" max="3073" width="12.109375" style="617" bestFit="1" customWidth="1"/>
    <col min="3074" max="3074" width="8" style="617" bestFit="1" customWidth="1"/>
    <col min="3075" max="3075" width="8.5546875" style="617" bestFit="1" customWidth="1"/>
    <col min="3076" max="3076" width="9.44140625" style="617" bestFit="1" customWidth="1"/>
    <col min="3077" max="3077" width="8.33203125" style="617"/>
    <col min="3078" max="3078" width="9.44140625" style="617" bestFit="1" customWidth="1"/>
    <col min="3079" max="3079" width="10" style="617" bestFit="1" customWidth="1"/>
    <col min="3080" max="3080" width="8.33203125" style="617"/>
    <col min="3081" max="3081" width="8.88671875" style="617" customWidth="1"/>
    <col min="3082" max="3082" width="8.77734375" style="617" bestFit="1" customWidth="1"/>
    <col min="3083" max="3328" width="8.33203125" style="617"/>
    <col min="3329" max="3329" width="12.109375" style="617" bestFit="1" customWidth="1"/>
    <col min="3330" max="3330" width="8" style="617" bestFit="1" customWidth="1"/>
    <col min="3331" max="3331" width="8.5546875" style="617" bestFit="1" customWidth="1"/>
    <col min="3332" max="3332" width="9.44140625" style="617" bestFit="1" customWidth="1"/>
    <col min="3333" max="3333" width="8.33203125" style="617"/>
    <col min="3334" max="3334" width="9.44140625" style="617" bestFit="1" customWidth="1"/>
    <col min="3335" max="3335" width="10" style="617" bestFit="1" customWidth="1"/>
    <col min="3336" max="3336" width="8.33203125" style="617"/>
    <col min="3337" max="3337" width="8.88671875" style="617" customWidth="1"/>
    <col min="3338" max="3338" width="8.77734375" style="617" bestFit="1" customWidth="1"/>
    <col min="3339" max="3584" width="8.33203125" style="617"/>
    <col min="3585" max="3585" width="12.109375" style="617" bestFit="1" customWidth="1"/>
    <col min="3586" max="3586" width="8" style="617" bestFit="1" customWidth="1"/>
    <col min="3587" max="3587" width="8.5546875" style="617" bestFit="1" customWidth="1"/>
    <col min="3588" max="3588" width="9.44140625" style="617" bestFit="1" customWidth="1"/>
    <col min="3589" max="3589" width="8.33203125" style="617"/>
    <col min="3590" max="3590" width="9.44140625" style="617" bestFit="1" customWidth="1"/>
    <col min="3591" max="3591" width="10" style="617" bestFit="1" customWidth="1"/>
    <col min="3592" max="3592" width="8.33203125" style="617"/>
    <col min="3593" max="3593" width="8.88671875" style="617" customWidth="1"/>
    <col min="3594" max="3594" width="8.77734375" style="617" bestFit="1" customWidth="1"/>
    <col min="3595" max="3840" width="8.33203125" style="617"/>
    <col min="3841" max="3841" width="12.109375" style="617" bestFit="1" customWidth="1"/>
    <col min="3842" max="3842" width="8" style="617" bestFit="1" customWidth="1"/>
    <col min="3843" max="3843" width="8.5546875" style="617" bestFit="1" customWidth="1"/>
    <col min="3844" max="3844" width="9.44140625" style="617" bestFit="1" customWidth="1"/>
    <col min="3845" max="3845" width="8.33203125" style="617"/>
    <col min="3846" max="3846" width="9.44140625" style="617" bestFit="1" customWidth="1"/>
    <col min="3847" max="3847" width="10" style="617" bestFit="1" customWidth="1"/>
    <col min="3848" max="3848" width="8.33203125" style="617"/>
    <col min="3849" max="3849" width="8.88671875" style="617" customWidth="1"/>
    <col min="3850" max="3850" width="8.77734375" style="617" bestFit="1" customWidth="1"/>
    <col min="3851" max="4096" width="8.33203125" style="617"/>
    <col min="4097" max="4097" width="12.109375" style="617" bestFit="1" customWidth="1"/>
    <col min="4098" max="4098" width="8" style="617" bestFit="1" customWidth="1"/>
    <col min="4099" max="4099" width="8.5546875" style="617" bestFit="1" customWidth="1"/>
    <col min="4100" max="4100" width="9.44140625" style="617" bestFit="1" customWidth="1"/>
    <col min="4101" max="4101" width="8.33203125" style="617"/>
    <col min="4102" max="4102" width="9.44140625" style="617" bestFit="1" customWidth="1"/>
    <col min="4103" max="4103" width="10" style="617" bestFit="1" customWidth="1"/>
    <col min="4104" max="4104" width="8.33203125" style="617"/>
    <col min="4105" max="4105" width="8.88671875" style="617" customWidth="1"/>
    <col min="4106" max="4106" width="8.77734375" style="617" bestFit="1" customWidth="1"/>
    <col min="4107" max="4352" width="8.33203125" style="617"/>
    <col min="4353" max="4353" width="12.109375" style="617" bestFit="1" customWidth="1"/>
    <col min="4354" max="4354" width="8" style="617" bestFit="1" customWidth="1"/>
    <col min="4355" max="4355" width="8.5546875" style="617" bestFit="1" customWidth="1"/>
    <col min="4356" max="4356" width="9.44140625" style="617" bestFit="1" customWidth="1"/>
    <col min="4357" max="4357" width="8.33203125" style="617"/>
    <col min="4358" max="4358" width="9.44140625" style="617" bestFit="1" customWidth="1"/>
    <col min="4359" max="4359" width="10" style="617" bestFit="1" customWidth="1"/>
    <col min="4360" max="4360" width="8.33203125" style="617"/>
    <col min="4361" max="4361" width="8.88671875" style="617" customWidth="1"/>
    <col min="4362" max="4362" width="8.77734375" style="617" bestFit="1" customWidth="1"/>
    <col min="4363" max="4608" width="8.33203125" style="617"/>
    <col min="4609" max="4609" width="12.109375" style="617" bestFit="1" customWidth="1"/>
    <col min="4610" max="4610" width="8" style="617" bestFit="1" customWidth="1"/>
    <col min="4611" max="4611" width="8.5546875" style="617" bestFit="1" customWidth="1"/>
    <col min="4612" max="4612" width="9.44140625" style="617" bestFit="1" customWidth="1"/>
    <col min="4613" max="4613" width="8.33203125" style="617"/>
    <col min="4614" max="4614" width="9.44140625" style="617" bestFit="1" customWidth="1"/>
    <col min="4615" max="4615" width="10" style="617" bestFit="1" customWidth="1"/>
    <col min="4616" max="4616" width="8.33203125" style="617"/>
    <col min="4617" max="4617" width="8.88671875" style="617" customWidth="1"/>
    <col min="4618" max="4618" width="8.77734375" style="617" bestFit="1" customWidth="1"/>
    <col min="4619" max="4864" width="8.33203125" style="617"/>
    <col min="4865" max="4865" width="12.109375" style="617" bestFit="1" customWidth="1"/>
    <col min="4866" max="4866" width="8" style="617" bestFit="1" customWidth="1"/>
    <col min="4867" max="4867" width="8.5546875" style="617" bestFit="1" customWidth="1"/>
    <col min="4868" max="4868" width="9.44140625" style="617" bestFit="1" customWidth="1"/>
    <col min="4869" max="4869" width="8.33203125" style="617"/>
    <col min="4870" max="4870" width="9.44140625" style="617" bestFit="1" customWidth="1"/>
    <col min="4871" max="4871" width="10" style="617" bestFit="1" customWidth="1"/>
    <col min="4872" max="4872" width="8.33203125" style="617"/>
    <col min="4873" max="4873" width="8.88671875" style="617" customWidth="1"/>
    <col min="4874" max="4874" width="8.77734375" style="617" bestFit="1" customWidth="1"/>
    <col min="4875" max="5120" width="8.33203125" style="617"/>
    <col min="5121" max="5121" width="12.109375" style="617" bestFit="1" customWidth="1"/>
    <col min="5122" max="5122" width="8" style="617" bestFit="1" customWidth="1"/>
    <col min="5123" max="5123" width="8.5546875" style="617" bestFit="1" customWidth="1"/>
    <col min="5124" max="5124" width="9.44140625" style="617" bestFit="1" customWidth="1"/>
    <col min="5125" max="5125" width="8.33203125" style="617"/>
    <col min="5126" max="5126" width="9.44140625" style="617" bestFit="1" customWidth="1"/>
    <col min="5127" max="5127" width="10" style="617" bestFit="1" customWidth="1"/>
    <col min="5128" max="5128" width="8.33203125" style="617"/>
    <col min="5129" max="5129" width="8.88671875" style="617" customWidth="1"/>
    <col min="5130" max="5130" width="8.77734375" style="617" bestFit="1" customWidth="1"/>
    <col min="5131" max="5376" width="8.33203125" style="617"/>
    <col min="5377" max="5377" width="12.109375" style="617" bestFit="1" customWidth="1"/>
    <col min="5378" max="5378" width="8" style="617" bestFit="1" customWidth="1"/>
    <col min="5379" max="5379" width="8.5546875" style="617" bestFit="1" customWidth="1"/>
    <col min="5380" max="5380" width="9.44140625" style="617" bestFit="1" customWidth="1"/>
    <col min="5381" max="5381" width="8.33203125" style="617"/>
    <col min="5382" max="5382" width="9.44140625" style="617" bestFit="1" customWidth="1"/>
    <col min="5383" max="5383" width="10" style="617" bestFit="1" customWidth="1"/>
    <col min="5384" max="5384" width="8.33203125" style="617"/>
    <col min="5385" max="5385" width="8.88671875" style="617" customWidth="1"/>
    <col min="5386" max="5386" width="8.77734375" style="617" bestFit="1" customWidth="1"/>
    <col min="5387" max="5632" width="8.33203125" style="617"/>
    <col min="5633" max="5633" width="12.109375" style="617" bestFit="1" customWidth="1"/>
    <col min="5634" max="5634" width="8" style="617" bestFit="1" customWidth="1"/>
    <col min="5635" max="5635" width="8.5546875" style="617" bestFit="1" customWidth="1"/>
    <col min="5636" max="5636" width="9.44140625" style="617" bestFit="1" customWidth="1"/>
    <col min="5637" max="5637" width="8.33203125" style="617"/>
    <col min="5638" max="5638" width="9.44140625" style="617" bestFit="1" customWidth="1"/>
    <col min="5639" max="5639" width="10" style="617" bestFit="1" customWidth="1"/>
    <col min="5640" max="5640" width="8.33203125" style="617"/>
    <col min="5641" max="5641" width="8.88671875" style="617" customWidth="1"/>
    <col min="5642" max="5642" width="8.77734375" style="617" bestFit="1" customWidth="1"/>
    <col min="5643" max="5888" width="8.33203125" style="617"/>
    <col min="5889" max="5889" width="12.109375" style="617" bestFit="1" customWidth="1"/>
    <col min="5890" max="5890" width="8" style="617" bestFit="1" customWidth="1"/>
    <col min="5891" max="5891" width="8.5546875" style="617" bestFit="1" customWidth="1"/>
    <col min="5892" max="5892" width="9.44140625" style="617" bestFit="1" customWidth="1"/>
    <col min="5893" max="5893" width="8.33203125" style="617"/>
    <col min="5894" max="5894" width="9.44140625" style="617" bestFit="1" customWidth="1"/>
    <col min="5895" max="5895" width="10" style="617" bestFit="1" customWidth="1"/>
    <col min="5896" max="5896" width="8.33203125" style="617"/>
    <col min="5897" max="5897" width="8.88671875" style="617" customWidth="1"/>
    <col min="5898" max="5898" width="8.77734375" style="617" bestFit="1" customWidth="1"/>
    <col min="5899" max="6144" width="8.33203125" style="617"/>
    <col min="6145" max="6145" width="12.109375" style="617" bestFit="1" customWidth="1"/>
    <col min="6146" max="6146" width="8" style="617" bestFit="1" customWidth="1"/>
    <col min="6147" max="6147" width="8.5546875" style="617" bestFit="1" customWidth="1"/>
    <col min="6148" max="6148" width="9.44140625" style="617" bestFit="1" customWidth="1"/>
    <col min="6149" max="6149" width="8.33203125" style="617"/>
    <col min="6150" max="6150" width="9.44140625" style="617" bestFit="1" customWidth="1"/>
    <col min="6151" max="6151" width="10" style="617" bestFit="1" customWidth="1"/>
    <col min="6152" max="6152" width="8.33203125" style="617"/>
    <col min="6153" max="6153" width="8.88671875" style="617" customWidth="1"/>
    <col min="6154" max="6154" width="8.77734375" style="617" bestFit="1" customWidth="1"/>
    <col min="6155" max="6400" width="8.33203125" style="617"/>
    <col min="6401" max="6401" width="12.109375" style="617" bestFit="1" customWidth="1"/>
    <col min="6402" max="6402" width="8" style="617" bestFit="1" customWidth="1"/>
    <col min="6403" max="6403" width="8.5546875" style="617" bestFit="1" customWidth="1"/>
    <col min="6404" max="6404" width="9.44140625" style="617" bestFit="1" customWidth="1"/>
    <col min="6405" max="6405" width="8.33203125" style="617"/>
    <col min="6406" max="6406" width="9.44140625" style="617" bestFit="1" customWidth="1"/>
    <col min="6407" max="6407" width="10" style="617" bestFit="1" customWidth="1"/>
    <col min="6408" max="6408" width="8.33203125" style="617"/>
    <col min="6409" max="6409" width="8.88671875" style="617" customWidth="1"/>
    <col min="6410" max="6410" width="8.77734375" style="617" bestFit="1" customWidth="1"/>
    <col min="6411" max="6656" width="8.33203125" style="617"/>
    <col min="6657" max="6657" width="12.109375" style="617" bestFit="1" customWidth="1"/>
    <col min="6658" max="6658" width="8" style="617" bestFit="1" customWidth="1"/>
    <col min="6659" max="6659" width="8.5546875" style="617" bestFit="1" customWidth="1"/>
    <col min="6660" max="6660" width="9.44140625" style="617" bestFit="1" customWidth="1"/>
    <col min="6661" max="6661" width="8.33203125" style="617"/>
    <col min="6662" max="6662" width="9.44140625" style="617" bestFit="1" customWidth="1"/>
    <col min="6663" max="6663" width="10" style="617" bestFit="1" customWidth="1"/>
    <col min="6664" max="6664" width="8.33203125" style="617"/>
    <col min="6665" max="6665" width="8.88671875" style="617" customWidth="1"/>
    <col min="6666" max="6666" width="8.77734375" style="617" bestFit="1" customWidth="1"/>
    <col min="6667" max="6912" width="8.33203125" style="617"/>
    <col min="6913" max="6913" width="12.109375" style="617" bestFit="1" customWidth="1"/>
    <col min="6914" max="6914" width="8" style="617" bestFit="1" customWidth="1"/>
    <col min="6915" max="6915" width="8.5546875" style="617" bestFit="1" customWidth="1"/>
    <col min="6916" max="6916" width="9.44140625" style="617" bestFit="1" customWidth="1"/>
    <col min="6917" max="6917" width="8.33203125" style="617"/>
    <col min="6918" max="6918" width="9.44140625" style="617" bestFit="1" customWidth="1"/>
    <col min="6919" max="6919" width="10" style="617" bestFit="1" customWidth="1"/>
    <col min="6920" max="6920" width="8.33203125" style="617"/>
    <col min="6921" max="6921" width="8.88671875" style="617" customWidth="1"/>
    <col min="6922" max="6922" width="8.77734375" style="617" bestFit="1" customWidth="1"/>
    <col min="6923" max="7168" width="8.33203125" style="617"/>
    <col min="7169" max="7169" width="12.109375" style="617" bestFit="1" customWidth="1"/>
    <col min="7170" max="7170" width="8" style="617" bestFit="1" customWidth="1"/>
    <col min="7171" max="7171" width="8.5546875" style="617" bestFit="1" customWidth="1"/>
    <col min="7172" max="7172" width="9.44140625" style="617" bestFit="1" customWidth="1"/>
    <col min="7173" max="7173" width="8.33203125" style="617"/>
    <col min="7174" max="7174" width="9.44140625" style="617" bestFit="1" customWidth="1"/>
    <col min="7175" max="7175" width="10" style="617" bestFit="1" customWidth="1"/>
    <col min="7176" max="7176" width="8.33203125" style="617"/>
    <col min="7177" max="7177" width="8.88671875" style="617" customWidth="1"/>
    <col min="7178" max="7178" width="8.77734375" style="617" bestFit="1" customWidth="1"/>
    <col min="7179" max="7424" width="8.33203125" style="617"/>
    <col min="7425" max="7425" width="12.109375" style="617" bestFit="1" customWidth="1"/>
    <col min="7426" max="7426" width="8" style="617" bestFit="1" customWidth="1"/>
    <col min="7427" max="7427" width="8.5546875" style="617" bestFit="1" customWidth="1"/>
    <col min="7428" max="7428" width="9.44140625" style="617" bestFit="1" customWidth="1"/>
    <col min="7429" max="7429" width="8.33203125" style="617"/>
    <col min="7430" max="7430" width="9.44140625" style="617" bestFit="1" customWidth="1"/>
    <col min="7431" max="7431" width="10" style="617" bestFit="1" customWidth="1"/>
    <col min="7432" max="7432" width="8.33203125" style="617"/>
    <col min="7433" max="7433" width="8.88671875" style="617" customWidth="1"/>
    <col min="7434" max="7434" width="8.77734375" style="617" bestFit="1" customWidth="1"/>
    <col min="7435" max="7680" width="8.33203125" style="617"/>
    <col min="7681" max="7681" width="12.109375" style="617" bestFit="1" customWidth="1"/>
    <col min="7682" max="7682" width="8" style="617" bestFit="1" customWidth="1"/>
    <col min="7683" max="7683" width="8.5546875" style="617" bestFit="1" customWidth="1"/>
    <col min="7684" max="7684" width="9.44140625" style="617" bestFit="1" customWidth="1"/>
    <col min="7685" max="7685" width="8.33203125" style="617"/>
    <col min="7686" max="7686" width="9.44140625" style="617" bestFit="1" customWidth="1"/>
    <col min="7687" max="7687" width="10" style="617" bestFit="1" customWidth="1"/>
    <col min="7688" max="7688" width="8.33203125" style="617"/>
    <col min="7689" max="7689" width="8.88671875" style="617" customWidth="1"/>
    <col min="7690" max="7690" width="8.77734375" style="617" bestFit="1" customWidth="1"/>
    <col min="7691" max="7936" width="8.33203125" style="617"/>
    <col min="7937" max="7937" width="12.109375" style="617" bestFit="1" customWidth="1"/>
    <col min="7938" max="7938" width="8" style="617" bestFit="1" customWidth="1"/>
    <col min="7939" max="7939" width="8.5546875" style="617" bestFit="1" customWidth="1"/>
    <col min="7940" max="7940" width="9.44140625" style="617" bestFit="1" customWidth="1"/>
    <col min="7941" max="7941" width="8.33203125" style="617"/>
    <col min="7942" max="7942" width="9.44140625" style="617" bestFit="1" customWidth="1"/>
    <col min="7943" max="7943" width="10" style="617" bestFit="1" customWidth="1"/>
    <col min="7944" max="7944" width="8.33203125" style="617"/>
    <col min="7945" max="7945" width="8.88671875" style="617" customWidth="1"/>
    <col min="7946" max="7946" width="8.77734375" style="617" bestFit="1" customWidth="1"/>
    <col min="7947" max="8192" width="8.33203125" style="617"/>
    <col min="8193" max="8193" width="12.109375" style="617" bestFit="1" customWidth="1"/>
    <col min="8194" max="8194" width="8" style="617" bestFit="1" customWidth="1"/>
    <col min="8195" max="8195" width="8.5546875" style="617" bestFit="1" customWidth="1"/>
    <col min="8196" max="8196" width="9.44140625" style="617" bestFit="1" customWidth="1"/>
    <col min="8197" max="8197" width="8.33203125" style="617"/>
    <col min="8198" max="8198" width="9.44140625" style="617" bestFit="1" customWidth="1"/>
    <col min="8199" max="8199" width="10" style="617" bestFit="1" customWidth="1"/>
    <col min="8200" max="8200" width="8.33203125" style="617"/>
    <col min="8201" max="8201" width="8.88671875" style="617" customWidth="1"/>
    <col min="8202" max="8202" width="8.77734375" style="617" bestFit="1" customWidth="1"/>
    <col min="8203" max="8448" width="8.33203125" style="617"/>
    <col min="8449" max="8449" width="12.109375" style="617" bestFit="1" customWidth="1"/>
    <col min="8450" max="8450" width="8" style="617" bestFit="1" customWidth="1"/>
    <col min="8451" max="8451" width="8.5546875" style="617" bestFit="1" customWidth="1"/>
    <col min="8452" max="8452" width="9.44140625" style="617" bestFit="1" customWidth="1"/>
    <col min="8453" max="8453" width="8.33203125" style="617"/>
    <col min="8454" max="8454" width="9.44140625" style="617" bestFit="1" customWidth="1"/>
    <col min="8455" max="8455" width="10" style="617" bestFit="1" customWidth="1"/>
    <col min="8456" max="8456" width="8.33203125" style="617"/>
    <col min="8457" max="8457" width="8.88671875" style="617" customWidth="1"/>
    <col min="8458" max="8458" width="8.77734375" style="617" bestFit="1" customWidth="1"/>
    <col min="8459" max="8704" width="8.33203125" style="617"/>
    <col min="8705" max="8705" width="12.109375" style="617" bestFit="1" customWidth="1"/>
    <col min="8706" max="8706" width="8" style="617" bestFit="1" customWidth="1"/>
    <col min="8707" max="8707" width="8.5546875" style="617" bestFit="1" customWidth="1"/>
    <col min="8708" max="8708" width="9.44140625" style="617" bestFit="1" customWidth="1"/>
    <col min="8709" max="8709" width="8.33203125" style="617"/>
    <col min="8710" max="8710" width="9.44140625" style="617" bestFit="1" customWidth="1"/>
    <col min="8711" max="8711" width="10" style="617" bestFit="1" customWidth="1"/>
    <col min="8712" max="8712" width="8.33203125" style="617"/>
    <col min="8713" max="8713" width="8.88671875" style="617" customWidth="1"/>
    <col min="8714" max="8714" width="8.77734375" style="617" bestFit="1" customWidth="1"/>
    <col min="8715" max="8960" width="8.33203125" style="617"/>
    <col min="8961" max="8961" width="12.109375" style="617" bestFit="1" customWidth="1"/>
    <col min="8962" max="8962" width="8" style="617" bestFit="1" customWidth="1"/>
    <col min="8963" max="8963" width="8.5546875" style="617" bestFit="1" customWidth="1"/>
    <col min="8964" max="8964" width="9.44140625" style="617" bestFit="1" customWidth="1"/>
    <col min="8965" max="8965" width="8.33203125" style="617"/>
    <col min="8966" max="8966" width="9.44140625" style="617" bestFit="1" customWidth="1"/>
    <col min="8967" max="8967" width="10" style="617" bestFit="1" customWidth="1"/>
    <col min="8968" max="8968" width="8.33203125" style="617"/>
    <col min="8969" max="8969" width="8.88671875" style="617" customWidth="1"/>
    <col min="8970" max="8970" width="8.77734375" style="617" bestFit="1" customWidth="1"/>
    <col min="8971" max="9216" width="8.33203125" style="617"/>
    <col min="9217" max="9217" width="12.109375" style="617" bestFit="1" customWidth="1"/>
    <col min="9218" max="9218" width="8" style="617" bestFit="1" customWidth="1"/>
    <col min="9219" max="9219" width="8.5546875" style="617" bestFit="1" customWidth="1"/>
    <col min="9220" max="9220" width="9.44140625" style="617" bestFit="1" customWidth="1"/>
    <col min="9221" max="9221" width="8.33203125" style="617"/>
    <col min="9222" max="9222" width="9.44140625" style="617" bestFit="1" customWidth="1"/>
    <col min="9223" max="9223" width="10" style="617" bestFit="1" customWidth="1"/>
    <col min="9224" max="9224" width="8.33203125" style="617"/>
    <col min="9225" max="9225" width="8.88671875" style="617" customWidth="1"/>
    <col min="9226" max="9226" width="8.77734375" style="617" bestFit="1" customWidth="1"/>
    <col min="9227" max="9472" width="8.33203125" style="617"/>
    <col min="9473" max="9473" width="12.109375" style="617" bestFit="1" customWidth="1"/>
    <col min="9474" max="9474" width="8" style="617" bestFit="1" customWidth="1"/>
    <col min="9475" max="9475" width="8.5546875" style="617" bestFit="1" customWidth="1"/>
    <col min="9476" max="9476" width="9.44140625" style="617" bestFit="1" customWidth="1"/>
    <col min="9477" max="9477" width="8.33203125" style="617"/>
    <col min="9478" max="9478" width="9.44140625" style="617" bestFit="1" customWidth="1"/>
    <col min="9479" max="9479" width="10" style="617" bestFit="1" customWidth="1"/>
    <col min="9480" max="9480" width="8.33203125" style="617"/>
    <col min="9481" max="9481" width="8.88671875" style="617" customWidth="1"/>
    <col min="9482" max="9482" width="8.77734375" style="617" bestFit="1" customWidth="1"/>
    <col min="9483" max="9728" width="8.33203125" style="617"/>
    <col min="9729" max="9729" width="12.109375" style="617" bestFit="1" customWidth="1"/>
    <col min="9730" max="9730" width="8" style="617" bestFit="1" customWidth="1"/>
    <col min="9731" max="9731" width="8.5546875" style="617" bestFit="1" customWidth="1"/>
    <col min="9732" max="9732" width="9.44140625" style="617" bestFit="1" customWidth="1"/>
    <col min="9733" max="9733" width="8.33203125" style="617"/>
    <col min="9734" max="9734" width="9.44140625" style="617" bestFit="1" customWidth="1"/>
    <col min="9735" max="9735" width="10" style="617" bestFit="1" customWidth="1"/>
    <col min="9736" max="9736" width="8.33203125" style="617"/>
    <col min="9737" max="9737" width="8.88671875" style="617" customWidth="1"/>
    <col min="9738" max="9738" width="8.77734375" style="617" bestFit="1" customWidth="1"/>
    <col min="9739" max="9984" width="8.33203125" style="617"/>
    <col min="9985" max="9985" width="12.109375" style="617" bestFit="1" customWidth="1"/>
    <col min="9986" max="9986" width="8" style="617" bestFit="1" customWidth="1"/>
    <col min="9987" max="9987" width="8.5546875" style="617" bestFit="1" customWidth="1"/>
    <col min="9988" max="9988" width="9.44140625" style="617" bestFit="1" customWidth="1"/>
    <col min="9989" max="9989" width="8.33203125" style="617"/>
    <col min="9990" max="9990" width="9.44140625" style="617" bestFit="1" customWidth="1"/>
    <col min="9991" max="9991" width="10" style="617" bestFit="1" customWidth="1"/>
    <col min="9992" max="9992" width="8.33203125" style="617"/>
    <col min="9993" max="9993" width="8.88671875" style="617" customWidth="1"/>
    <col min="9994" max="9994" width="8.77734375" style="617" bestFit="1" customWidth="1"/>
    <col min="9995" max="10240" width="8.33203125" style="617"/>
    <col min="10241" max="10241" width="12.109375" style="617" bestFit="1" customWidth="1"/>
    <col min="10242" max="10242" width="8" style="617" bestFit="1" customWidth="1"/>
    <col min="10243" max="10243" width="8.5546875" style="617" bestFit="1" customWidth="1"/>
    <col min="10244" max="10244" width="9.44140625" style="617" bestFit="1" customWidth="1"/>
    <col min="10245" max="10245" width="8.33203125" style="617"/>
    <col min="10246" max="10246" width="9.44140625" style="617" bestFit="1" customWidth="1"/>
    <col min="10247" max="10247" width="10" style="617" bestFit="1" customWidth="1"/>
    <col min="10248" max="10248" width="8.33203125" style="617"/>
    <col min="10249" max="10249" width="8.88671875" style="617" customWidth="1"/>
    <col min="10250" max="10250" width="8.77734375" style="617" bestFit="1" customWidth="1"/>
    <col min="10251" max="10496" width="8.33203125" style="617"/>
    <col min="10497" max="10497" width="12.109375" style="617" bestFit="1" customWidth="1"/>
    <col min="10498" max="10498" width="8" style="617" bestFit="1" customWidth="1"/>
    <col min="10499" max="10499" width="8.5546875" style="617" bestFit="1" customWidth="1"/>
    <col min="10500" max="10500" width="9.44140625" style="617" bestFit="1" customWidth="1"/>
    <col min="10501" max="10501" width="8.33203125" style="617"/>
    <col min="10502" max="10502" width="9.44140625" style="617" bestFit="1" customWidth="1"/>
    <col min="10503" max="10503" width="10" style="617" bestFit="1" customWidth="1"/>
    <col min="10504" max="10504" width="8.33203125" style="617"/>
    <col min="10505" max="10505" width="8.88671875" style="617" customWidth="1"/>
    <col min="10506" max="10506" width="8.77734375" style="617" bestFit="1" customWidth="1"/>
    <col min="10507" max="10752" width="8.33203125" style="617"/>
    <col min="10753" max="10753" width="12.109375" style="617" bestFit="1" customWidth="1"/>
    <col min="10754" max="10754" width="8" style="617" bestFit="1" customWidth="1"/>
    <col min="10755" max="10755" width="8.5546875" style="617" bestFit="1" customWidth="1"/>
    <col min="10756" max="10756" width="9.44140625" style="617" bestFit="1" customWidth="1"/>
    <col min="10757" max="10757" width="8.33203125" style="617"/>
    <col min="10758" max="10758" width="9.44140625" style="617" bestFit="1" customWidth="1"/>
    <col min="10759" max="10759" width="10" style="617" bestFit="1" customWidth="1"/>
    <col min="10760" max="10760" width="8.33203125" style="617"/>
    <col min="10761" max="10761" width="8.88671875" style="617" customWidth="1"/>
    <col min="10762" max="10762" width="8.77734375" style="617" bestFit="1" customWidth="1"/>
    <col min="10763" max="11008" width="8.33203125" style="617"/>
    <col min="11009" max="11009" width="12.109375" style="617" bestFit="1" customWidth="1"/>
    <col min="11010" max="11010" width="8" style="617" bestFit="1" customWidth="1"/>
    <col min="11011" max="11011" width="8.5546875" style="617" bestFit="1" customWidth="1"/>
    <col min="11012" max="11012" width="9.44140625" style="617" bestFit="1" customWidth="1"/>
    <col min="11013" max="11013" width="8.33203125" style="617"/>
    <col min="11014" max="11014" width="9.44140625" style="617" bestFit="1" customWidth="1"/>
    <col min="11015" max="11015" width="10" style="617" bestFit="1" customWidth="1"/>
    <col min="11016" max="11016" width="8.33203125" style="617"/>
    <col min="11017" max="11017" width="8.88671875" style="617" customWidth="1"/>
    <col min="11018" max="11018" width="8.77734375" style="617" bestFit="1" customWidth="1"/>
    <col min="11019" max="11264" width="8.33203125" style="617"/>
    <col min="11265" max="11265" width="12.109375" style="617" bestFit="1" customWidth="1"/>
    <col min="11266" max="11266" width="8" style="617" bestFit="1" customWidth="1"/>
    <col min="11267" max="11267" width="8.5546875" style="617" bestFit="1" customWidth="1"/>
    <col min="11268" max="11268" width="9.44140625" style="617" bestFit="1" customWidth="1"/>
    <col min="11269" max="11269" width="8.33203125" style="617"/>
    <col min="11270" max="11270" width="9.44140625" style="617" bestFit="1" customWidth="1"/>
    <col min="11271" max="11271" width="10" style="617" bestFit="1" customWidth="1"/>
    <col min="11272" max="11272" width="8.33203125" style="617"/>
    <col min="11273" max="11273" width="8.88671875" style="617" customWidth="1"/>
    <col min="11274" max="11274" width="8.77734375" style="617" bestFit="1" customWidth="1"/>
    <col min="11275" max="11520" width="8.33203125" style="617"/>
    <col min="11521" max="11521" width="12.109375" style="617" bestFit="1" customWidth="1"/>
    <col min="11522" max="11522" width="8" style="617" bestFit="1" customWidth="1"/>
    <col min="11523" max="11523" width="8.5546875" style="617" bestFit="1" customWidth="1"/>
    <col min="11524" max="11524" width="9.44140625" style="617" bestFit="1" customWidth="1"/>
    <col min="11525" max="11525" width="8.33203125" style="617"/>
    <col min="11526" max="11526" width="9.44140625" style="617" bestFit="1" customWidth="1"/>
    <col min="11527" max="11527" width="10" style="617" bestFit="1" customWidth="1"/>
    <col min="11528" max="11528" width="8.33203125" style="617"/>
    <col min="11529" max="11529" width="8.88671875" style="617" customWidth="1"/>
    <col min="11530" max="11530" width="8.77734375" style="617" bestFit="1" customWidth="1"/>
    <col min="11531" max="11776" width="8.33203125" style="617"/>
    <col min="11777" max="11777" width="12.109375" style="617" bestFit="1" customWidth="1"/>
    <col min="11778" max="11778" width="8" style="617" bestFit="1" customWidth="1"/>
    <col min="11779" max="11779" width="8.5546875" style="617" bestFit="1" customWidth="1"/>
    <col min="11780" max="11780" width="9.44140625" style="617" bestFit="1" customWidth="1"/>
    <col min="11781" max="11781" width="8.33203125" style="617"/>
    <col min="11782" max="11782" width="9.44140625" style="617" bestFit="1" customWidth="1"/>
    <col min="11783" max="11783" width="10" style="617" bestFit="1" customWidth="1"/>
    <col min="11784" max="11784" width="8.33203125" style="617"/>
    <col min="11785" max="11785" width="8.88671875" style="617" customWidth="1"/>
    <col min="11786" max="11786" width="8.77734375" style="617" bestFit="1" customWidth="1"/>
    <col min="11787" max="12032" width="8.33203125" style="617"/>
    <col min="12033" max="12033" width="12.109375" style="617" bestFit="1" customWidth="1"/>
    <col min="12034" max="12034" width="8" style="617" bestFit="1" customWidth="1"/>
    <col min="12035" max="12035" width="8.5546875" style="617" bestFit="1" customWidth="1"/>
    <col min="12036" max="12036" width="9.44140625" style="617" bestFit="1" customWidth="1"/>
    <col min="12037" max="12037" width="8.33203125" style="617"/>
    <col min="12038" max="12038" width="9.44140625" style="617" bestFit="1" customWidth="1"/>
    <col min="12039" max="12039" width="10" style="617" bestFit="1" customWidth="1"/>
    <col min="12040" max="12040" width="8.33203125" style="617"/>
    <col min="12041" max="12041" width="8.88671875" style="617" customWidth="1"/>
    <col min="12042" max="12042" width="8.77734375" style="617" bestFit="1" customWidth="1"/>
    <col min="12043" max="12288" width="8.33203125" style="617"/>
    <col min="12289" max="12289" width="12.109375" style="617" bestFit="1" customWidth="1"/>
    <col min="12290" max="12290" width="8" style="617" bestFit="1" customWidth="1"/>
    <col min="12291" max="12291" width="8.5546875" style="617" bestFit="1" customWidth="1"/>
    <col min="12292" max="12292" width="9.44140625" style="617" bestFit="1" customWidth="1"/>
    <col min="12293" max="12293" width="8.33203125" style="617"/>
    <col min="12294" max="12294" width="9.44140625" style="617" bestFit="1" customWidth="1"/>
    <col min="12295" max="12295" width="10" style="617" bestFit="1" customWidth="1"/>
    <col min="12296" max="12296" width="8.33203125" style="617"/>
    <col min="12297" max="12297" width="8.88671875" style="617" customWidth="1"/>
    <col min="12298" max="12298" width="8.77734375" style="617" bestFit="1" customWidth="1"/>
    <col min="12299" max="12544" width="8.33203125" style="617"/>
    <col min="12545" max="12545" width="12.109375" style="617" bestFit="1" customWidth="1"/>
    <col min="12546" max="12546" width="8" style="617" bestFit="1" customWidth="1"/>
    <col min="12547" max="12547" width="8.5546875" style="617" bestFit="1" customWidth="1"/>
    <col min="12548" max="12548" width="9.44140625" style="617" bestFit="1" customWidth="1"/>
    <col min="12549" max="12549" width="8.33203125" style="617"/>
    <col min="12550" max="12550" width="9.44140625" style="617" bestFit="1" customWidth="1"/>
    <col min="12551" max="12551" width="10" style="617" bestFit="1" customWidth="1"/>
    <col min="12552" max="12552" width="8.33203125" style="617"/>
    <col min="12553" max="12553" width="8.88671875" style="617" customWidth="1"/>
    <col min="12554" max="12554" width="8.77734375" style="617" bestFit="1" customWidth="1"/>
    <col min="12555" max="12800" width="8.33203125" style="617"/>
    <col min="12801" max="12801" width="12.109375" style="617" bestFit="1" customWidth="1"/>
    <col min="12802" max="12802" width="8" style="617" bestFit="1" customWidth="1"/>
    <col min="12803" max="12803" width="8.5546875" style="617" bestFit="1" customWidth="1"/>
    <col min="12804" max="12804" width="9.44140625" style="617" bestFit="1" customWidth="1"/>
    <col min="12805" max="12805" width="8.33203125" style="617"/>
    <col min="12806" max="12806" width="9.44140625" style="617" bestFit="1" customWidth="1"/>
    <col min="12807" max="12807" width="10" style="617" bestFit="1" customWidth="1"/>
    <col min="12808" max="12808" width="8.33203125" style="617"/>
    <col min="12809" max="12809" width="8.88671875" style="617" customWidth="1"/>
    <col min="12810" max="12810" width="8.77734375" style="617" bestFit="1" customWidth="1"/>
    <col min="12811" max="13056" width="8.33203125" style="617"/>
    <col min="13057" max="13057" width="12.109375" style="617" bestFit="1" customWidth="1"/>
    <col min="13058" max="13058" width="8" style="617" bestFit="1" customWidth="1"/>
    <col min="13059" max="13059" width="8.5546875" style="617" bestFit="1" customWidth="1"/>
    <col min="13060" max="13060" width="9.44140625" style="617" bestFit="1" customWidth="1"/>
    <col min="13061" max="13061" width="8.33203125" style="617"/>
    <col min="13062" max="13062" width="9.44140625" style="617" bestFit="1" customWidth="1"/>
    <col min="13063" max="13063" width="10" style="617" bestFit="1" customWidth="1"/>
    <col min="13064" max="13064" width="8.33203125" style="617"/>
    <col min="13065" max="13065" width="8.88671875" style="617" customWidth="1"/>
    <col min="13066" max="13066" width="8.77734375" style="617" bestFit="1" customWidth="1"/>
    <col min="13067" max="13312" width="8.33203125" style="617"/>
    <col min="13313" max="13313" width="12.109375" style="617" bestFit="1" customWidth="1"/>
    <col min="13314" max="13314" width="8" style="617" bestFit="1" customWidth="1"/>
    <col min="13315" max="13315" width="8.5546875" style="617" bestFit="1" customWidth="1"/>
    <col min="13316" max="13316" width="9.44140625" style="617" bestFit="1" customWidth="1"/>
    <col min="13317" max="13317" width="8.33203125" style="617"/>
    <col min="13318" max="13318" width="9.44140625" style="617" bestFit="1" customWidth="1"/>
    <col min="13319" max="13319" width="10" style="617" bestFit="1" customWidth="1"/>
    <col min="13320" max="13320" width="8.33203125" style="617"/>
    <col min="13321" max="13321" width="8.88671875" style="617" customWidth="1"/>
    <col min="13322" max="13322" width="8.77734375" style="617" bestFit="1" customWidth="1"/>
    <col min="13323" max="13568" width="8.33203125" style="617"/>
    <col min="13569" max="13569" width="12.109375" style="617" bestFit="1" customWidth="1"/>
    <col min="13570" max="13570" width="8" style="617" bestFit="1" customWidth="1"/>
    <col min="13571" max="13571" width="8.5546875" style="617" bestFit="1" customWidth="1"/>
    <col min="13572" max="13572" width="9.44140625" style="617" bestFit="1" customWidth="1"/>
    <col min="13573" max="13573" width="8.33203125" style="617"/>
    <col min="13574" max="13574" width="9.44140625" style="617" bestFit="1" customWidth="1"/>
    <col min="13575" max="13575" width="10" style="617" bestFit="1" customWidth="1"/>
    <col min="13576" max="13576" width="8.33203125" style="617"/>
    <col min="13577" max="13577" width="8.88671875" style="617" customWidth="1"/>
    <col min="13578" max="13578" width="8.77734375" style="617" bestFit="1" customWidth="1"/>
    <col min="13579" max="13824" width="8.33203125" style="617"/>
    <col min="13825" max="13825" width="12.109375" style="617" bestFit="1" customWidth="1"/>
    <col min="13826" max="13826" width="8" style="617" bestFit="1" customWidth="1"/>
    <col min="13827" max="13827" width="8.5546875" style="617" bestFit="1" customWidth="1"/>
    <col min="13828" max="13828" width="9.44140625" style="617" bestFit="1" customWidth="1"/>
    <col min="13829" max="13829" width="8.33203125" style="617"/>
    <col min="13830" max="13830" width="9.44140625" style="617" bestFit="1" customWidth="1"/>
    <col min="13831" max="13831" width="10" style="617" bestFit="1" customWidth="1"/>
    <col min="13832" max="13832" width="8.33203125" style="617"/>
    <col min="13833" max="13833" width="8.88671875" style="617" customWidth="1"/>
    <col min="13834" max="13834" width="8.77734375" style="617" bestFit="1" customWidth="1"/>
    <col min="13835" max="14080" width="8.33203125" style="617"/>
    <col min="14081" max="14081" width="12.109375" style="617" bestFit="1" customWidth="1"/>
    <col min="14082" max="14082" width="8" style="617" bestFit="1" customWidth="1"/>
    <col min="14083" max="14083" width="8.5546875" style="617" bestFit="1" customWidth="1"/>
    <col min="14084" max="14084" width="9.44140625" style="617" bestFit="1" customWidth="1"/>
    <col min="14085" max="14085" width="8.33203125" style="617"/>
    <col min="14086" max="14086" width="9.44140625" style="617" bestFit="1" customWidth="1"/>
    <col min="14087" max="14087" width="10" style="617" bestFit="1" customWidth="1"/>
    <col min="14088" max="14088" width="8.33203125" style="617"/>
    <col min="14089" max="14089" width="8.88671875" style="617" customWidth="1"/>
    <col min="14090" max="14090" width="8.77734375" style="617" bestFit="1" customWidth="1"/>
    <col min="14091" max="14336" width="8.33203125" style="617"/>
    <col min="14337" max="14337" width="12.109375" style="617" bestFit="1" customWidth="1"/>
    <col min="14338" max="14338" width="8" style="617" bestFit="1" customWidth="1"/>
    <col min="14339" max="14339" width="8.5546875" style="617" bestFit="1" customWidth="1"/>
    <col min="14340" max="14340" width="9.44140625" style="617" bestFit="1" customWidth="1"/>
    <col min="14341" max="14341" width="8.33203125" style="617"/>
    <col min="14342" max="14342" width="9.44140625" style="617" bestFit="1" customWidth="1"/>
    <col min="14343" max="14343" width="10" style="617" bestFit="1" customWidth="1"/>
    <col min="14344" max="14344" width="8.33203125" style="617"/>
    <col min="14345" max="14345" width="8.88671875" style="617" customWidth="1"/>
    <col min="14346" max="14346" width="8.77734375" style="617" bestFit="1" customWidth="1"/>
    <col min="14347" max="14592" width="8.33203125" style="617"/>
    <col min="14593" max="14593" width="12.109375" style="617" bestFit="1" customWidth="1"/>
    <col min="14594" max="14594" width="8" style="617" bestFit="1" customWidth="1"/>
    <col min="14595" max="14595" width="8.5546875" style="617" bestFit="1" customWidth="1"/>
    <col min="14596" max="14596" width="9.44140625" style="617" bestFit="1" customWidth="1"/>
    <col min="14597" max="14597" width="8.33203125" style="617"/>
    <col min="14598" max="14598" width="9.44140625" style="617" bestFit="1" customWidth="1"/>
    <col min="14599" max="14599" width="10" style="617" bestFit="1" customWidth="1"/>
    <col min="14600" max="14600" width="8.33203125" style="617"/>
    <col min="14601" max="14601" width="8.88671875" style="617" customWidth="1"/>
    <col min="14602" max="14602" width="8.77734375" style="617" bestFit="1" customWidth="1"/>
    <col min="14603" max="14848" width="8.33203125" style="617"/>
    <col min="14849" max="14849" width="12.109375" style="617" bestFit="1" customWidth="1"/>
    <col min="14850" max="14850" width="8" style="617" bestFit="1" customWidth="1"/>
    <col min="14851" max="14851" width="8.5546875" style="617" bestFit="1" customWidth="1"/>
    <col min="14852" max="14852" width="9.44140625" style="617" bestFit="1" customWidth="1"/>
    <col min="14853" max="14853" width="8.33203125" style="617"/>
    <col min="14854" max="14854" width="9.44140625" style="617" bestFit="1" customWidth="1"/>
    <col min="14855" max="14855" width="10" style="617" bestFit="1" customWidth="1"/>
    <col min="14856" max="14856" width="8.33203125" style="617"/>
    <col min="14857" max="14857" width="8.88671875" style="617" customWidth="1"/>
    <col min="14858" max="14858" width="8.77734375" style="617" bestFit="1" customWidth="1"/>
    <col min="14859" max="15104" width="8.33203125" style="617"/>
    <col min="15105" max="15105" width="12.109375" style="617" bestFit="1" customWidth="1"/>
    <col min="15106" max="15106" width="8" style="617" bestFit="1" customWidth="1"/>
    <col min="15107" max="15107" width="8.5546875" style="617" bestFit="1" customWidth="1"/>
    <col min="15108" max="15108" width="9.44140625" style="617" bestFit="1" customWidth="1"/>
    <col min="15109" max="15109" width="8.33203125" style="617"/>
    <col min="15110" max="15110" width="9.44140625" style="617" bestFit="1" customWidth="1"/>
    <col min="15111" max="15111" width="10" style="617" bestFit="1" customWidth="1"/>
    <col min="15112" max="15112" width="8.33203125" style="617"/>
    <col min="15113" max="15113" width="8.88671875" style="617" customWidth="1"/>
    <col min="15114" max="15114" width="8.77734375" style="617" bestFit="1" customWidth="1"/>
    <col min="15115" max="15360" width="8.33203125" style="617"/>
    <col min="15361" max="15361" width="12.109375" style="617" bestFit="1" customWidth="1"/>
    <col min="15362" max="15362" width="8" style="617" bestFit="1" customWidth="1"/>
    <col min="15363" max="15363" width="8.5546875" style="617" bestFit="1" customWidth="1"/>
    <col min="15364" max="15364" width="9.44140625" style="617" bestFit="1" customWidth="1"/>
    <col min="15365" max="15365" width="8.33203125" style="617"/>
    <col min="15366" max="15366" width="9.44140625" style="617" bestFit="1" customWidth="1"/>
    <col min="15367" max="15367" width="10" style="617" bestFit="1" customWidth="1"/>
    <col min="15368" max="15368" width="8.33203125" style="617"/>
    <col min="15369" max="15369" width="8.88671875" style="617" customWidth="1"/>
    <col min="15370" max="15370" width="8.77734375" style="617" bestFit="1" customWidth="1"/>
    <col min="15371" max="15616" width="8.33203125" style="617"/>
    <col min="15617" max="15617" width="12.109375" style="617" bestFit="1" customWidth="1"/>
    <col min="15618" max="15618" width="8" style="617" bestFit="1" customWidth="1"/>
    <col min="15619" max="15619" width="8.5546875" style="617" bestFit="1" customWidth="1"/>
    <col min="15620" max="15620" width="9.44140625" style="617" bestFit="1" customWidth="1"/>
    <col min="15621" max="15621" width="8.33203125" style="617"/>
    <col min="15622" max="15622" width="9.44140625" style="617" bestFit="1" customWidth="1"/>
    <col min="15623" max="15623" width="10" style="617" bestFit="1" customWidth="1"/>
    <col min="15624" max="15624" width="8.33203125" style="617"/>
    <col min="15625" max="15625" width="8.88671875" style="617" customWidth="1"/>
    <col min="15626" max="15626" width="8.77734375" style="617" bestFit="1" customWidth="1"/>
    <col min="15627" max="15872" width="8.33203125" style="617"/>
    <col min="15873" max="15873" width="12.109375" style="617" bestFit="1" customWidth="1"/>
    <col min="15874" max="15874" width="8" style="617" bestFit="1" customWidth="1"/>
    <col min="15875" max="15875" width="8.5546875" style="617" bestFit="1" customWidth="1"/>
    <col min="15876" max="15876" width="9.44140625" style="617" bestFit="1" customWidth="1"/>
    <col min="15877" max="15877" width="8.33203125" style="617"/>
    <col min="15878" max="15878" width="9.44140625" style="617" bestFit="1" customWidth="1"/>
    <col min="15879" max="15879" width="10" style="617" bestFit="1" customWidth="1"/>
    <col min="15880" max="15880" width="8.33203125" style="617"/>
    <col min="15881" max="15881" width="8.88671875" style="617" customWidth="1"/>
    <col min="15882" max="15882" width="8.77734375" style="617" bestFit="1" customWidth="1"/>
    <col min="15883" max="16128" width="8.33203125" style="617"/>
    <col min="16129" max="16129" width="12.109375" style="617" bestFit="1" customWidth="1"/>
    <col min="16130" max="16130" width="8" style="617" bestFit="1" customWidth="1"/>
    <col min="16131" max="16131" width="8.5546875" style="617" bestFit="1" customWidth="1"/>
    <col min="16132" max="16132" width="9.44140625" style="617" bestFit="1" customWidth="1"/>
    <col min="16133" max="16133" width="8.33203125" style="617"/>
    <col min="16134" max="16134" width="9.44140625" style="617" bestFit="1" customWidth="1"/>
    <col min="16135" max="16135" width="10" style="617" bestFit="1" customWidth="1"/>
    <col min="16136" max="16136" width="8.33203125" style="617"/>
    <col min="16137" max="16137" width="8.88671875" style="617" customWidth="1"/>
    <col min="16138" max="16138" width="8.77734375" style="617" bestFit="1" customWidth="1"/>
    <col min="16139" max="16384" width="8.33203125" style="617"/>
  </cols>
  <sheetData>
    <row r="1" spans="1:10">
      <c r="A1" s="617" t="s">
        <v>1111</v>
      </c>
      <c r="B1" s="618">
        <v>41643</v>
      </c>
    </row>
    <row r="2" spans="1:10" s="620" customFormat="1" ht="18.75">
      <c r="A2" s="619" t="s">
        <v>1112</v>
      </c>
      <c r="B2" s="619"/>
      <c r="C2" s="619"/>
      <c r="D2" s="619"/>
      <c r="E2" s="619"/>
      <c r="F2" s="619"/>
      <c r="G2" s="619"/>
    </row>
    <row r="3" spans="1:10">
      <c r="A3" s="617" t="s">
        <v>1113</v>
      </c>
      <c r="C3" s="621" t="s">
        <v>1114</v>
      </c>
      <c r="F3" s="617" t="s">
        <v>1115</v>
      </c>
    </row>
    <row r="4" spans="1:10">
      <c r="A4" s="617" t="s">
        <v>1116</v>
      </c>
      <c r="C4" s="621">
        <v>1929</v>
      </c>
      <c r="F4" s="617" t="s">
        <v>1117</v>
      </c>
    </row>
    <row r="5" spans="1:10">
      <c r="E5" s="622"/>
    </row>
    <row r="6" spans="1:10">
      <c r="A6" s="617" t="s">
        <v>1118</v>
      </c>
      <c r="E6" s="623">
        <f>IF(C4=1928,100,VLOOKUP(C4-1,A13:G98,5))</f>
        <v>143.81115515288789</v>
      </c>
    </row>
    <row r="7" spans="1:10">
      <c r="A7" s="617" t="s">
        <v>1119</v>
      </c>
      <c r="E7" s="623">
        <f>IF(C4=1928,100,VLOOKUP(C4-1,A13:G98,6))</f>
        <v>103.08</v>
      </c>
    </row>
    <row r="8" spans="1:10">
      <c r="A8" s="617" t="s">
        <v>1120</v>
      </c>
      <c r="E8" s="623">
        <f>IF(C4=1928,100,VLOOKUP(C4-1,A12:G98,7))</f>
        <v>100.83547085897993</v>
      </c>
    </row>
    <row r="9" spans="1:10" ht="16.5" thickBot="1">
      <c r="A9" s="617" t="s">
        <v>1121</v>
      </c>
      <c r="E9" s="624">
        <f>IF(C3="ST",(E98/E6)^(1/(A98-C4+1))-(F98/E7)^(1/(A98-C4+1)),(E98/E6)^(1/(A98-C4+1))-(G98/E8)^(1/(A98-C4+1)))</f>
        <v>4.2183423972852907E-2</v>
      </c>
    </row>
    <row r="10" spans="1:10" ht="16.5" thickBot="1"/>
    <row r="11" spans="1:10">
      <c r="B11" s="625" t="s">
        <v>1122</v>
      </c>
      <c r="C11" s="626"/>
      <c r="D11" s="627"/>
      <c r="E11" s="625" t="s">
        <v>1123</v>
      </c>
      <c r="F11" s="626"/>
      <c r="G11" s="627"/>
    </row>
    <row r="12" spans="1:10">
      <c r="A12" s="628" t="s">
        <v>1124</v>
      </c>
      <c r="B12" s="628" t="s">
        <v>1125</v>
      </c>
      <c r="C12" s="628" t="s">
        <v>1126</v>
      </c>
      <c r="D12" s="628" t="s">
        <v>1127</v>
      </c>
      <c r="E12" s="629" t="s">
        <v>1128</v>
      </c>
      <c r="F12" s="629" t="s">
        <v>1129</v>
      </c>
      <c r="G12" s="629" t="s">
        <v>1130</v>
      </c>
      <c r="H12" s="629" t="s">
        <v>1131</v>
      </c>
      <c r="I12" s="629" t="s">
        <v>1132</v>
      </c>
      <c r="J12" s="629" t="s">
        <v>1133</v>
      </c>
    </row>
    <row r="13" spans="1:10">
      <c r="A13" s="630">
        <v>1928</v>
      </c>
      <c r="B13" s="631">
        <f>('[5]S&amp;P 500 &amp; Raw Data'!B4-'[5]S&amp;P 500 &amp; Raw Data'!B3+'[5]S&amp;P 500 &amp; Raw Data'!C4)/'[5]S&amp;P 500 &amp; Raw Data'!B3</f>
        <v>0.43811155152887893</v>
      </c>
      <c r="C13" s="631">
        <v>3.0800000000000001E-2</v>
      </c>
      <c r="D13" s="631">
        <f>'[5]S&amp;P 500 &amp; Raw Data'!F4</f>
        <v>8.354708589799302E-3</v>
      </c>
      <c r="E13" s="615">
        <f>100*(1+B13)</f>
        <v>143.81115515288789</v>
      </c>
      <c r="F13" s="615">
        <f>100*(1+C13)</f>
        <v>103.08</v>
      </c>
      <c r="G13" s="615">
        <f>100*(1+D13)</f>
        <v>100.83547085897993</v>
      </c>
      <c r="H13" s="632">
        <f>B13-C13</f>
        <v>0.40731155152887893</v>
      </c>
      <c r="I13" s="631">
        <f>B13-D13</f>
        <v>0.42975684293907962</v>
      </c>
      <c r="J13" s="629"/>
    </row>
    <row r="14" spans="1:10">
      <c r="A14" s="630">
        <v>1929</v>
      </c>
      <c r="B14" s="631">
        <f>('[5]S&amp;P 500 &amp; Raw Data'!B5-'[5]S&amp;P 500 &amp; Raw Data'!B4+'[5]S&amp;P 500 &amp; Raw Data'!C5)/'[5]S&amp;P 500 &amp; Raw Data'!B4</f>
        <v>-8.2979466119096595E-2</v>
      </c>
      <c r="C14" s="631">
        <v>3.1600000000000003E-2</v>
      </c>
      <c r="D14" s="631">
        <f>'[5]S&amp;P 500 &amp; Raw Data'!F5</f>
        <v>4.2038041563204259E-2</v>
      </c>
      <c r="E14" s="615">
        <f t="shared" ref="E14:G29" si="0">E13*(1+B14)</f>
        <v>131.87778227633069</v>
      </c>
      <c r="F14" s="615">
        <f t="shared" si="0"/>
        <v>106.337328</v>
      </c>
      <c r="G14" s="615">
        <f t="shared" si="0"/>
        <v>105.074396573995</v>
      </c>
      <c r="H14" s="632">
        <f t="shared" ref="H14:H77" si="1">B14-C14</f>
        <v>-0.1145794661190966</v>
      </c>
      <c r="I14" s="631">
        <f t="shared" ref="I14:I77" si="2">B14-D14</f>
        <v>-0.12501750768230085</v>
      </c>
      <c r="J14" s="629"/>
    </row>
    <row r="15" spans="1:10">
      <c r="A15" s="630">
        <v>1930</v>
      </c>
      <c r="B15" s="631">
        <f>('[5]S&amp;P 500 &amp; Raw Data'!B6-'[5]S&amp;P 500 &amp; Raw Data'!B5+'[5]S&amp;P 500 &amp; Raw Data'!C6)/'[5]S&amp;P 500 &amp; Raw Data'!B5</f>
        <v>-0.25123636363636365</v>
      </c>
      <c r="C15" s="631">
        <v>4.5499999999999999E-2</v>
      </c>
      <c r="D15" s="631">
        <f>'[5]S&amp;P 500 &amp; Raw Data'!F6</f>
        <v>4.5409314348970366E-2</v>
      </c>
      <c r="E15" s="615">
        <f t="shared" si="0"/>
        <v>98.745287812797272</v>
      </c>
      <c r="F15" s="615">
        <f t="shared" si="0"/>
        <v>111.17567642400002</v>
      </c>
      <c r="G15" s="615">
        <f t="shared" si="0"/>
        <v>109.84575287805193</v>
      </c>
      <c r="H15" s="632">
        <f t="shared" si="1"/>
        <v>-0.29673636363636363</v>
      </c>
      <c r="I15" s="631">
        <f t="shared" si="2"/>
        <v>-0.29664567798533403</v>
      </c>
      <c r="J15" s="629"/>
    </row>
    <row r="16" spans="1:10">
      <c r="A16" s="630">
        <v>1931</v>
      </c>
      <c r="B16" s="631">
        <f>('[5]S&amp;P 500 &amp; Raw Data'!B7-'[5]S&amp;P 500 &amp; Raw Data'!B6+'[5]S&amp;P 500 &amp; Raw Data'!C7)/'[5]S&amp;P 500 &amp; Raw Data'!B6</f>
        <v>-0.43837548891786188</v>
      </c>
      <c r="C16" s="631">
        <v>2.3099999999999999E-2</v>
      </c>
      <c r="D16" s="631">
        <f>'[5]S&amp;P 500 &amp; Raw Data'!F7</f>
        <v>-2.5588559619422531E-2</v>
      </c>
      <c r="E16" s="615">
        <f t="shared" si="0"/>
        <v>55.457773989527276</v>
      </c>
      <c r="F16" s="615">
        <f t="shared" si="0"/>
        <v>113.74383454939441</v>
      </c>
      <c r="G16" s="615">
        <f t="shared" si="0"/>
        <v>107.03495828159154</v>
      </c>
      <c r="H16" s="632">
        <f t="shared" si="1"/>
        <v>-0.46147548891786189</v>
      </c>
      <c r="I16" s="631">
        <f t="shared" si="2"/>
        <v>-0.41278692929843935</v>
      </c>
      <c r="J16" s="629"/>
    </row>
    <row r="17" spans="1:10">
      <c r="A17" s="630">
        <v>1932</v>
      </c>
      <c r="B17" s="631">
        <f>('[5]S&amp;P 500 &amp; Raw Data'!B8-'[5]S&amp;P 500 &amp; Raw Data'!B7+'[5]S&amp;P 500 &amp; Raw Data'!C8)/'[5]S&amp;P 500 &amp; Raw Data'!B7</f>
        <v>-8.642364532019696E-2</v>
      </c>
      <c r="C17" s="631">
        <v>1.0699999999999999E-2</v>
      </c>
      <c r="D17" s="631">
        <f>'[5]S&amp;P 500 &amp; Raw Data'!F8</f>
        <v>8.7903069904773257E-2</v>
      </c>
      <c r="E17" s="615">
        <f t="shared" si="0"/>
        <v>50.664911000008722</v>
      </c>
      <c r="F17" s="615">
        <f t="shared" si="0"/>
        <v>114.96089357907292</v>
      </c>
      <c r="G17" s="615">
        <f t="shared" si="0"/>
        <v>116.44365970167279</v>
      </c>
      <c r="H17" s="632">
        <f t="shared" si="1"/>
        <v>-9.7123645320196961E-2</v>
      </c>
      <c r="I17" s="631">
        <f t="shared" si="2"/>
        <v>-0.17432671522497023</v>
      </c>
      <c r="J17" s="629"/>
    </row>
    <row r="18" spans="1:10">
      <c r="A18" s="630">
        <v>1933</v>
      </c>
      <c r="B18" s="631">
        <f>('[5]S&amp;P 500 &amp; Raw Data'!B9-'[5]S&amp;P 500 &amp; Raw Data'!B8+'[5]S&amp;P 500 &amp; Raw Data'!C9)/'[5]S&amp;P 500 &amp; Raw Data'!B8</f>
        <v>0.49982225433526023</v>
      </c>
      <c r="C18" s="631">
        <v>9.5999999999999992E-3</v>
      </c>
      <c r="D18" s="631">
        <f>'[5]S&amp;P 500 &amp; Raw Data'!F9</f>
        <v>1.8552720891857361E-2</v>
      </c>
      <c r="E18" s="615">
        <f t="shared" si="0"/>
        <v>75.988361031728402</v>
      </c>
      <c r="F18" s="615">
        <f t="shared" si="0"/>
        <v>116.06451815743202</v>
      </c>
      <c r="G18" s="615">
        <f t="shared" si="0"/>
        <v>118.60400641974435</v>
      </c>
      <c r="H18" s="632">
        <f t="shared" si="1"/>
        <v>0.49022225433526023</v>
      </c>
      <c r="I18" s="631">
        <f t="shared" si="2"/>
        <v>0.48126953344340284</v>
      </c>
      <c r="J18" s="629"/>
    </row>
    <row r="19" spans="1:10">
      <c r="A19" s="630">
        <v>1934</v>
      </c>
      <c r="B19" s="631">
        <f>('[5]S&amp;P 500 &amp; Raw Data'!B10-'[5]S&amp;P 500 &amp; Raw Data'!B9+'[5]S&amp;P 500 &amp; Raw Data'!C10)/'[5]S&amp;P 500 &amp; Raw Data'!B9</f>
        <v>-1.1885656970912803E-2</v>
      </c>
      <c r="C19" s="631">
        <f>'[5]T. Bill rates'!G13</f>
        <v>3.225E-3</v>
      </c>
      <c r="D19" s="631">
        <f>'[5]S&amp;P 500 &amp; Raw Data'!F10</f>
        <v>7.9634426179656104E-2</v>
      </c>
      <c r="E19" s="615">
        <f t="shared" si="0"/>
        <v>75.085189438723404</v>
      </c>
      <c r="F19" s="615">
        <f t="shared" si="0"/>
        <v>116.43882622848975</v>
      </c>
      <c r="G19" s="615">
        <f t="shared" si="0"/>
        <v>128.04896841358894</v>
      </c>
      <c r="H19" s="632">
        <f t="shared" si="1"/>
        <v>-1.5110656970912803E-2</v>
      </c>
      <c r="I19" s="631">
        <f t="shared" si="2"/>
        <v>-9.1520083150568907E-2</v>
      </c>
      <c r="J19" s="629"/>
    </row>
    <row r="20" spans="1:10">
      <c r="A20" s="630">
        <v>1935</v>
      </c>
      <c r="B20" s="631">
        <f>('[5]S&amp;P 500 &amp; Raw Data'!B11-'[5]S&amp;P 500 &amp; Raw Data'!B10+'[5]S&amp;P 500 &amp; Raw Data'!C11)/'[5]S&amp;P 500 &amp; Raw Data'!B10</f>
        <v>0.46740421052631581</v>
      </c>
      <c r="C20" s="631">
        <f>'[5]T. Bill rates'!G14</f>
        <v>1.7499999999999998E-3</v>
      </c>
      <c r="D20" s="631">
        <f>'[5]S&amp;P 500 &amp; Raw Data'!F11</f>
        <v>4.4720477296566127E-2</v>
      </c>
      <c r="E20" s="615">
        <f t="shared" si="0"/>
        <v>110.18032313054879</v>
      </c>
      <c r="F20" s="615">
        <f t="shared" si="0"/>
        <v>116.64259417438959</v>
      </c>
      <c r="G20" s="615">
        <f t="shared" si="0"/>
        <v>133.77537939837757</v>
      </c>
      <c r="H20" s="632">
        <f t="shared" si="1"/>
        <v>0.46565421052631584</v>
      </c>
      <c r="I20" s="631">
        <f t="shared" si="2"/>
        <v>0.42268373322974967</v>
      </c>
      <c r="J20" s="629"/>
    </row>
    <row r="21" spans="1:10">
      <c r="A21" s="630">
        <v>1936</v>
      </c>
      <c r="B21" s="631">
        <f>('[5]S&amp;P 500 &amp; Raw Data'!B12-'[5]S&amp;P 500 &amp; Raw Data'!B11+'[5]S&amp;P 500 &amp; Raw Data'!C12)/'[5]S&amp;P 500 &amp; Raw Data'!B11</f>
        <v>0.31943410275502609</v>
      </c>
      <c r="C21" s="631">
        <f>'[5]T. Bill rates'!G15</f>
        <v>1.7000000000000001E-3</v>
      </c>
      <c r="D21" s="631">
        <f>'[5]S&amp;P 500 &amp; Raw Data'!F12</f>
        <v>5.0178754045450601E-2</v>
      </c>
      <c r="E21" s="615">
        <f t="shared" si="0"/>
        <v>145.37567579101449</v>
      </c>
      <c r="F21" s="615">
        <f t="shared" si="0"/>
        <v>116.84088658448606</v>
      </c>
      <c r="G21" s="615">
        <f t="shared" si="0"/>
        <v>140.4880612585456</v>
      </c>
      <c r="H21" s="632">
        <f t="shared" si="1"/>
        <v>0.31773410275502612</v>
      </c>
      <c r="I21" s="631">
        <f t="shared" si="2"/>
        <v>0.26925534870957551</v>
      </c>
      <c r="J21" s="629"/>
    </row>
    <row r="22" spans="1:10">
      <c r="A22" s="630">
        <v>1937</v>
      </c>
      <c r="B22" s="631">
        <f>('[5]S&amp;P 500 &amp; Raw Data'!B13-'[5]S&amp;P 500 &amp; Raw Data'!B12+'[5]S&amp;P 500 &amp; Raw Data'!C13)/'[5]S&amp;P 500 &amp; Raw Data'!B12</f>
        <v>-0.35336728754365537</v>
      </c>
      <c r="C22" s="631">
        <f>'[5]T. Bill rates'!G16</f>
        <v>3.0250000000000003E-3</v>
      </c>
      <c r="D22" s="631">
        <f>'[5]S&amp;P 500 &amp; Raw Data'!F13</f>
        <v>1.379146059646038E-2</v>
      </c>
      <c r="E22" s="615">
        <f t="shared" si="0"/>
        <v>94.004667561917856</v>
      </c>
      <c r="F22" s="615">
        <f t="shared" si="0"/>
        <v>117.19433026640414</v>
      </c>
      <c r="G22" s="615">
        <f t="shared" si="0"/>
        <v>142.42559681966594</v>
      </c>
      <c r="H22" s="632">
        <f t="shared" si="1"/>
        <v>-0.35639228754365537</v>
      </c>
      <c r="I22" s="631">
        <f t="shared" si="2"/>
        <v>-0.36715874814011573</v>
      </c>
      <c r="J22" s="629"/>
    </row>
    <row r="23" spans="1:10">
      <c r="A23" s="630">
        <v>1938</v>
      </c>
      <c r="B23" s="631">
        <f>('[5]S&amp;P 500 &amp; Raw Data'!B14-'[5]S&amp;P 500 &amp; Raw Data'!B13+'[5]S&amp;P 500 &amp; Raw Data'!C14)/'[5]S&amp;P 500 &amp; Raw Data'!B13</f>
        <v>0.29282654028436017</v>
      </c>
      <c r="C23" s="631">
        <f>'[5]T. Bill rates'!G17</f>
        <v>7.7499999999999997E-4</v>
      </c>
      <c r="D23" s="631">
        <f>'[5]S&amp;P 500 &amp; Raw Data'!F14</f>
        <v>4.2132485322046068E-2</v>
      </c>
      <c r="E23" s="615">
        <f t="shared" si="0"/>
        <v>121.53172913465568</v>
      </c>
      <c r="F23" s="615">
        <f t="shared" si="0"/>
        <v>117.28515587236059</v>
      </c>
      <c r="G23" s="615">
        <f t="shared" si="0"/>
        <v>148.42634118715418</v>
      </c>
      <c r="H23" s="632">
        <f t="shared" si="1"/>
        <v>0.29205154028436014</v>
      </c>
      <c r="I23" s="631">
        <f t="shared" si="2"/>
        <v>0.25069405496231412</v>
      </c>
      <c r="J23" s="629"/>
    </row>
    <row r="24" spans="1:10">
      <c r="A24" s="630">
        <v>1939</v>
      </c>
      <c r="B24" s="631">
        <f>('[5]S&amp;P 500 &amp; Raw Data'!B15-'[5]S&amp;P 500 &amp; Raw Data'!B14+'[5]S&amp;P 500 &amp; Raw Data'!C15)/'[5]S&amp;P 500 &amp; Raw Data'!B14</f>
        <v>-1.0975646879756443E-2</v>
      </c>
      <c r="C24" s="631">
        <f>'[5]T. Bill rates'!G18</f>
        <v>3.7500000000000006E-4</v>
      </c>
      <c r="D24" s="631">
        <f>'[5]S&amp;P 500 &amp; Raw Data'!F15</f>
        <v>4.4122613942060671E-2</v>
      </c>
      <c r="E24" s="615">
        <f t="shared" si="0"/>
        <v>120.19783979098749</v>
      </c>
      <c r="F24" s="615">
        <f t="shared" si="0"/>
        <v>117.32913780581272</v>
      </c>
      <c r="G24" s="615">
        <f t="shared" si="0"/>
        <v>154.97529933818757</v>
      </c>
      <c r="H24" s="632">
        <f t="shared" si="1"/>
        <v>-1.1350646879756444E-2</v>
      </c>
      <c r="I24" s="631">
        <f t="shared" si="2"/>
        <v>-5.509826082181711E-2</v>
      </c>
      <c r="J24" s="629"/>
    </row>
    <row r="25" spans="1:10">
      <c r="A25" s="630">
        <v>1940</v>
      </c>
      <c r="B25" s="631">
        <f>('[5]S&amp;P 500 &amp; Raw Data'!B16-'[5]S&amp;P 500 &amp; Raw Data'!B15+'[5]S&amp;P 500 &amp; Raw Data'!C16)/'[5]S&amp;P 500 &amp; Raw Data'!B15</f>
        <v>-0.10672873194221515</v>
      </c>
      <c r="C25" s="631">
        <f>'[5]T. Bill rates'!G19</f>
        <v>2.5000000000000001E-4</v>
      </c>
      <c r="D25" s="631">
        <f>'[5]S&amp;P 500 &amp; Raw Data'!F16</f>
        <v>5.4024815962845509E-2</v>
      </c>
      <c r="E25" s="615">
        <f t="shared" si="0"/>
        <v>107.36927676790187</v>
      </c>
      <c r="F25" s="615">
        <f t="shared" si="0"/>
        <v>117.35847009026418</v>
      </c>
      <c r="G25" s="615">
        <f t="shared" si="0"/>
        <v>163.34781136372007</v>
      </c>
      <c r="H25" s="632">
        <f t="shared" si="1"/>
        <v>-0.10697873194221515</v>
      </c>
      <c r="I25" s="631">
        <f t="shared" si="2"/>
        <v>-0.16075354790506066</v>
      </c>
      <c r="J25" s="629"/>
    </row>
    <row r="26" spans="1:10">
      <c r="A26" s="630">
        <v>1941</v>
      </c>
      <c r="B26" s="631">
        <f>('[5]S&amp;P 500 &amp; Raw Data'!B17-'[5]S&amp;P 500 &amp; Raw Data'!B16+'[5]S&amp;P 500 &amp; Raw Data'!C17)/'[5]S&amp;P 500 &amp; Raw Data'!B16</f>
        <v>-0.12771455576559551</v>
      </c>
      <c r="C26" s="631">
        <f>'[5]T. Bill rates'!G20</f>
        <v>8.2499999999999989E-4</v>
      </c>
      <c r="D26" s="631">
        <f>'[5]S&amp;P 500 &amp; Raw Data'!F17</f>
        <v>-2.0221975848580105E-2</v>
      </c>
      <c r="E26" s="615">
        <f t="shared" si="0"/>
        <v>93.656657282615996</v>
      </c>
      <c r="F26" s="615">
        <f t="shared" si="0"/>
        <v>117.45529082808865</v>
      </c>
      <c r="G26" s="615">
        <f t="shared" si="0"/>
        <v>160.0445958674045</v>
      </c>
      <c r="H26" s="632">
        <f t="shared" si="1"/>
        <v>-0.1285395557655955</v>
      </c>
      <c r="I26" s="631">
        <f t="shared" si="2"/>
        <v>-0.10749257991701541</v>
      </c>
      <c r="J26" s="629"/>
    </row>
    <row r="27" spans="1:10">
      <c r="A27" s="630">
        <v>1942</v>
      </c>
      <c r="B27" s="631">
        <f>('[5]S&amp;P 500 &amp; Raw Data'!B18-'[5]S&amp;P 500 &amp; Raw Data'!B17+'[5]S&amp;P 500 &amp; Raw Data'!C18)/'[5]S&amp;P 500 &amp; Raw Data'!B17</f>
        <v>0.19173762945914843</v>
      </c>
      <c r="C27" s="631">
        <f>'[5]T. Bill rates'!G21</f>
        <v>3.3750000000000004E-3</v>
      </c>
      <c r="D27" s="631">
        <f>'[5]S&amp;P 500 &amp; Raw Data'!F18</f>
        <v>2.2948682374484164E-2</v>
      </c>
      <c r="E27" s="615">
        <f t="shared" si="0"/>
        <v>111.61416273305268</v>
      </c>
      <c r="F27" s="615">
        <f t="shared" si="0"/>
        <v>117.85170243463344</v>
      </c>
      <c r="G27" s="615">
        <f t="shared" si="0"/>
        <v>163.71740846371824</v>
      </c>
      <c r="H27" s="632">
        <f t="shared" si="1"/>
        <v>0.18836262945914845</v>
      </c>
      <c r="I27" s="631">
        <f t="shared" si="2"/>
        <v>0.16878894708466427</v>
      </c>
      <c r="J27" s="629"/>
    </row>
    <row r="28" spans="1:10">
      <c r="A28" s="630">
        <v>1943</v>
      </c>
      <c r="B28" s="631">
        <f>('[5]S&amp;P 500 &amp; Raw Data'!B19-'[5]S&amp;P 500 &amp; Raw Data'!B18+'[5]S&amp;P 500 &amp; Raw Data'!C19)/'[5]S&amp;P 500 &amp; Raw Data'!B18</f>
        <v>0.25061310133060394</v>
      </c>
      <c r="C28" s="631">
        <f>'[5]T. Bill rates'!G22</f>
        <v>3.8E-3</v>
      </c>
      <c r="D28" s="631">
        <f>'[5]S&amp;P 500 &amp; Raw Data'!F19</f>
        <v>2.4899999999999999E-2</v>
      </c>
      <c r="E28" s="615">
        <f t="shared" si="0"/>
        <v>139.58613420800171</v>
      </c>
      <c r="F28" s="615">
        <f t="shared" si="0"/>
        <v>118.29953890388505</v>
      </c>
      <c r="G28" s="615">
        <f t="shared" si="0"/>
        <v>167.79397193446482</v>
      </c>
      <c r="H28" s="632">
        <f t="shared" si="1"/>
        <v>0.24681310133060394</v>
      </c>
      <c r="I28" s="631">
        <f t="shared" si="2"/>
        <v>0.22571310133060393</v>
      </c>
      <c r="J28" s="629"/>
    </row>
    <row r="29" spans="1:10">
      <c r="A29" s="630">
        <v>1944</v>
      </c>
      <c r="B29" s="631">
        <f>('[5]S&amp;P 500 &amp; Raw Data'!B20-'[5]S&amp;P 500 &amp; Raw Data'!B19+'[5]S&amp;P 500 &amp; Raw Data'!C20)/'[5]S&amp;P 500 &amp; Raw Data'!B19</f>
        <v>0.19030676949443009</v>
      </c>
      <c r="C29" s="631">
        <f>'[5]T. Bill rates'!G23</f>
        <v>3.8E-3</v>
      </c>
      <c r="D29" s="631">
        <f>'[5]S&amp;P 500 &amp; Raw Data'!F20</f>
        <v>2.5776111579070303E-2</v>
      </c>
      <c r="E29" s="615">
        <f t="shared" si="0"/>
        <v>166.15032047534245</v>
      </c>
      <c r="F29" s="615">
        <f t="shared" si="0"/>
        <v>118.74907715171982</v>
      </c>
      <c r="G29" s="615">
        <f t="shared" si="0"/>
        <v>172.11904807734297</v>
      </c>
      <c r="H29" s="632">
        <f t="shared" si="1"/>
        <v>0.1865067694944301</v>
      </c>
      <c r="I29" s="631">
        <f t="shared" si="2"/>
        <v>0.16453065791535978</v>
      </c>
      <c r="J29" s="629"/>
    </row>
    <row r="30" spans="1:10">
      <c r="A30" s="630">
        <v>1945</v>
      </c>
      <c r="B30" s="631">
        <f>('[5]S&amp;P 500 &amp; Raw Data'!B21-'[5]S&amp;P 500 &amp; Raw Data'!B20+'[5]S&amp;P 500 &amp; Raw Data'!C21)/'[5]S&amp;P 500 &amp; Raw Data'!B20</f>
        <v>0.35821084337349401</v>
      </c>
      <c r="C30" s="631">
        <f>'[5]T. Bill rates'!G24</f>
        <v>3.8E-3</v>
      </c>
      <c r="D30" s="631">
        <f>'[5]S&amp;P 500 &amp; Raw Data'!F21</f>
        <v>3.8044173419237229E-2</v>
      </c>
      <c r="E30" s="615">
        <f t="shared" ref="E30:G45" si="3">E29*(1+B30)</f>
        <v>225.66716689959119</v>
      </c>
      <c r="F30" s="615">
        <f t="shared" si="3"/>
        <v>119.20032364489636</v>
      </c>
      <c r="G30" s="615">
        <f t="shared" si="3"/>
        <v>178.66717499115143</v>
      </c>
      <c r="H30" s="632">
        <f t="shared" si="1"/>
        <v>0.35441084337349399</v>
      </c>
      <c r="I30" s="631">
        <f t="shared" si="2"/>
        <v>0.3201666699542568</v>
      </c>
      <c r="J30" s="629"/>
    </row>
    <row r="31" spans="1:10">
      <c r="A31" s="630">
        <v>1946</v>
      </c>
      <c r="B31" s="631">
        <f>('[5]S&amp;P 500 &amp; Raw Data'!B22-'[5]S&amp;P 500 &amp; Raw Data'!B21+'[5]S&amp;P 500 &amp; Raw Data'!C22)/'[5]S&amp;P 500 &amp; Raw Data'!B21</f>
        <v>-8.4291474654377807E-2</v>
      </c>
      <c r="C31" s="631">
        <f>'[5]T. Bill rates'!G25</f>
        <v>3.8E-3</v>
      </c>
      <c r="D31" s="631">
        <f>'[5]S&amp;P 500 &amp; Raw Data'!F22</f>
        <v>3.1283745375695685E-2</v>
      </c>
      <c r="E31" s="615">
        <f t="shared" si="3"/>
        <v>206.64534862054904</v>
      </c>
      <c r="F31" s="615">
        <f t="shared" si="3"/>
        <v>119.65328487474697</v>
      </c>
      <c r="G31" s="615">
        <f t="shared" si="3"/>
        <v>184.25655340056949</v>
      </c>
      <c r="H31" s="632">
        <f t="shared" si="1"/>
        <v>-8.8091474654377805E-2</v>
      </c>
      <c r="I31" s="631">
        <f t="shared" si="2"/>
        <v>-0.11557522003007349</v>
      </c>
      <c r="J31" s="629"/>
    </row>
    <row r="32" spans="1:10">
      <c r="A32" s="630">
        <v>1947</v>
      </c>
      <c r="B32" s="631">
        <f>('[5]S&amp;P 500 &amp; Raw Data'!B23-'[5]S&amp;P 500 &amp; Raw Data'!B22+'[5]S&amp;P 500 &amp; Raw Data'!C23)/'[5]S&amp;P 500 &amp; Raw Data'!B22</f>
        <v>5.1999999999999998E-2</v>
      </c>
      <c r="C32" s="631">
        <f>'[5]T. Bill rates'!G26</f>
        <v>5.6750000000000004E-3</v>
      </c>
      <c r="D32" s="631">
        <f>'[5]S&amp;P 500 &amp; Raw Data'!F23</f>
        <v>9.1969680628322358E-3</v>
      </c>
      <c r="E32" s="615">
        <f t="shared" si="3"/>
        <v>217.3909067488176</v>
      </c>
      <c r="F32" s="615">
        <f t="shared" si="3"/>
        <v>120.33231726641117</v>
      </c>
      <c r="G32" s="615">
        <f t="shared" si="3"/>
        <v>185.95115503756207</v>
      </c>
      <c r="H32" s="632">
        <f t="shared" si="1"/>
        <v>4.6324999999999998E-2</v>
      </c>
      <c r="I32" s="631">
        <f t="shared" si="2"/>
        <v>4.2803031937167765E-2</v>
      </c>
      <c r="J32" s="629"/>
    </row>
    <row r="33" spans="1:10">
      <c r="A33" s="630">
        <v>1948</v>
      </c>
      <c r="B33" s="631">
        <f>('[5]S&amp;P 500 &amp; Raw Data'!B24-'[5]S&amp;P 500 &amp; Raw Data'!B23+'[5]S&amp;P 500 &amp; Raw Data'!C24)/'[5]S&amp;P 500 &amp; Raw Data'!B23</f>
        <v>5.7045751633986834E-2</v>
      </c>
      <c r="C33" s="631">
        <f>'[5]T. Bill rates'!G27</f>
        <v>1.0225E-2</v>
      </c>
      <c r="D33" s="631">
        <f>'[5]S&amp;P 500 &amp; Raw Data'!F24</f>
        <v>1.9510369413175046E-2</v>
      </c>
      <c r="E33" s="615">
        <f t="shared" si="3"/>
        <v>229.79213442269784</v>
      </c>
      <c r="F33" s="615">
        <f t="shared" si="3"/>
        <v>121.56271521046021</v>
      </c>
      <c r="G33" s="615">
        <f t="shared" si="3"/>
        <v>189.57913076515149</v>
      </c>
      <c r="H33" s="632">
        <f t="shared" si="1"/>
        <v>4.6820751633986836E-2</v>
      </c>
      <c r="I33" s="631">
        <f t="shared" si="2"/>
        <v>3.7535382220811792E-2</v>
      </c>
      <c r="J33" s="629"/>
    </row>
    <row r="34" spans="1:10">
      <c r="A34" s="630">
        <v>1949</v>
      </c>
      <c r="B34" s="631">
        <f>('[5]S&amp;P 500 &amp; Raw Data'!B25-'[5]S&amp;P 500 &amp; Raw Data'!B24+'[5]S&amp;P 500 &amp; Raw Data'!C25)/'[5]S&amp;P 500 &amp; Raw Data'!B24</f>
        <v>0.18303223684210526</v>
      </c>
      <c r="C34" s="631">
        <f>'[5]T. Bill rates'!G28</f>
        <v>1.1025E-2</v>
      </c>
      <c r="D34" s="631">
        <f>'[5]S&amp;P 500 &amp; Raw Data'!F25</f>
        <v>4.6634851827973139E-2</v>
      </c>
      <c r="E34" s="615">
        <f t="shared" si="3"/>
        <v>271.85150279480598</v>
      </c>
      <c r="F34" s="615">
        <f t="shared" si="3"/>
        <v>122.90294414565554</v>
      </c>
      <c r="G34" s="615">
        <f t="shared" si="3"/>
        <v>198.42012543806027</v>
      </c>
      <c r="H34" s="632">
        <f t="shared" si="1"/>
        <v>0.17200723684210525</v>
      </c>
      <c r="I34" s="631">
        <f t="shared" si="2"/>
        <v>0.13639738501413212</v>
      </c>
      <c r="J34" s="629"/>
    </row>
    <row r="35" spans="1:10">
      <c r="A35" s="630">
        <v>1950</v>
      </c>
      <c r="B35" s="631">
        <f>('[5]S&amp;P 500 &amp; Raw Data'!B26-'[5]S&amp;P 500 &amp; Raw Data'!B25+'[5]S&amp;P 500 &amp; Raw Data'!C26)/'[5]S&amp;P 500 &amp; Raw Data'!B25</f>
        <v>0.30805539011316263</v>
      </c>
      <c r="C35" s="631">
        <f>'[5]T. Bill rates'!G29</f>
        <v>1.1724999999999999E-2</v>
      </c>
      <c r="D35" s="631">
        <f>'[5]S&amp;P 500 &amp; Raw Data'!F26</f>
        <v>4.2959574171096103E-3</v>
      </c>
      <c r="E35" s="615">
        <f t="shared" si="3"/>
        <v>355.59682354110947</v>
      </c>
      <c r="F35" s="615">
        <f t="shared" si="3"/>
        <v>124.34398116576335</v>
      </c>
      <c r="G35" s="615">
        <f t="shared" si="3"/>
        <v>199.2725298476397</v>
      </c>
      <c r="H35" s="632">
        <f t="shared" si="1"/>
        <v>0.29633039011316264</v>
      </c>
      <c r="I35" s="631">
        <f t="shared" si="2"/>
        <v>0.30375943269605304</v>
      </c>
      <c r="J35" s="629"/>
    </row>
    <row r="36" spans="1:10">
      <c r="A36" s="630">
        <v>1951</v>
      </c>
      <c r="B36" s="631">
        <f>('[5]S&amp;P 500 &amp; Raw Data'!B27-'[5]S&amp;P 500 &amp; Raw Data'!B26+'[5]S&amp;P 500 &amp; Raw Data'!C27)/'[5]S&amp;P 500 &amp; Raw Data'!B26</f>
        <v>0.23678463044542339</v>
      </c>
      <c r="C36" s="631">
        <f>'[5]T. Bill rates'!G30</f>
        <v>1.4775E-2</v>
      </c>
      <c r="D36" s="631">
        <f>'[5]S&amp;P 500 &amp; Raw Data'!F27</f>
        <v>-2.9531392208319886E-3</v>
      </c>
      <c r="E36" s="615">
        <f t="shared" si="3"/>
        <v>439.7966859908575</v>
      </c>
      <c r="F36" s="615">
        <f t="shared" si="3"/>
        <v>126.18116348748751</v>
      </c>
      <c r="G36" s="615">
        <f t="shared" si="3"/>
        <v>198.68405032411223</v>
      </c>
      <c r="H36" s="632">
        <f t="shared" si="1"/>
        <v>0.22200963044542338</v>
      </c>
      <c r="I36" s="631">
        <f t="shared" si="2"/>
        <v>0.23973776966625537</v>
      </c>
      <c r="J36" s="629"/>
    </row>
    <row r="37" spans="1:10">
      <c r="A37" s="630">
        <v>1952</v>
      </c>
      <c r="B37" s="631">
        <f>('[5]S&amp;P 500 &amp; Raw Data'!B28-'[5]S&amp;P 500 &amp; Raw Data'!B27+'[5]S&amp;P 500 &amp; Raw Data'!C28)/'[5]S&amp;P 500 &amp; Raw Data'!B27</f>
        <v>0.18150988641144306</v>
      </c>
      <c r="C37" s="631">
        <f>'[5]T. Bill rates'!G31</f>
        <v>1.6725E-2</v>
      </c>
      <c r="D37" s="631">
        <f>'[5]S&amp;P 500 &amp; Raw Data'!F28</f>
        <v>2.2679961918305656E-2</v>
      </c>
      <c r="E37" s="615">
        <f t="shared" si="3"/>
        <v>519.62413250918712</v>
      </c>
      <c r="F37" s="615">
        <f t="shared" si="3"/>
        <v>128.29154344681575</v>
      </c>
      <c r="G37" s="615">
        <f t="shared" si="3"/>
        <v>203.19019701923781</v>
      </c>
      <c r="H37" s="632">
        <f t="shared" si="1"/>
        <v>0.16478488641144307</v>
      </c>
      <c r="I37" s="631">
        <f t="shared" si="2"/>
        <v>0.1588299244931374</v>
      </c>
      <c r="J37" s="629"/>
    </row>
    <row r="38" spans="1:10">
      <c r="A38" s="630">
        <v>1953</v>
      </c>
      <c r="B38" s="631">
        <f>('[5]S&amp;P 500 &amp; Raw Data'!B29-'[5]S&amp;P 500 &amp; Raw Data'!B28+'[5]S&amp;P 500 &amp; Raw Data'!C29)/'[5]S&amp;P 500 &amp; Raw Data'!B28</f>
        <v>-1.2082047421904465E-2</v>
      </c>
      <c r="C38" s="631">
        <f>'[5]T. Bill rates'!G32</f>
        <v>1.8925000000000001E-2</v>
      </c>
      <c r="D38" s="631">
        <f>'[5]S&amp;P 500 &amp; Raw Data'!F29</f>
        <v>4.1438402589088513E-2</v>
      </c>
      <c r="E38" s="615">
        <f t="shared" si="3"/>
        <v>513.34600909864514</v>
      </c>
      <c r="F38" s="615">
        <f t="shared" si="3"/>
        <v>130.71946090654674</v>
      </c>
      <c r="G38" s="615">
        <f t="shared" si="3"/>
        <v>211.61007420547722</v>
      </c>
      <c r="H38" s="632">
        <f t="shared" si="1"/>
        <v>-3.1007047421904466E-2</v>
      </c>
      <c r="I38" s="631">
        <f t="shared" si="2"/>
        <v>-5.3520450010992981E-2</v>
      </c>
      <c r="J38" s="629"/>
    </row>
    <row r="39" spans="1:10">
      <c r="A39" s="630">
        <v>1954</v>
      </c>
      <c r="B39" s="631">
        <f>('[5]S&amp;P 500 &amp; Raw Data'!B30-'[5]S&amp;P 500 &amp; Raw Data'!B29+'[5]S&amp;P 500 &amp; Raw Data'!C30)/'[5]S&amp;P 500 &amp; Raw Data'!B29</f>
        <v>0.52563321241434902</v>
      </c>
      <c r="C39" s="631">
        <f>'[5]T. Bill rates'!G33</f>
        <v>9.6249999999999999E-3</v>
      </c>
      <c r="D39" s="631">
        <f>'[5]S&amp;P 500 &amp; Raw Data'!F30</f>
        <v>3.2898034558095555E-2</v>
      </c>
      <c r="E39" s="615">
        <f t="shared" si="3"/>
        <v>783.17772094125166</v>
      </c>
      <c r="F39" s="615">
        <f t="shared" si="3"/>
        <v>131.97763571777224</v>
      </c>
      <c r="G39" s="615">
        <f t="shared" si="3"/>
        <v>218.57162973953018</v>
      </c>
      <c r="H39" s="632">
        <f t="shared" si="1"/>
        <v>0.51600821241434902</v>
      </c>
      <c r="I39" s="631">
        <f t="shared" si="2"/>
        <v>0.49273517785625348</v>
      </c>
      <c r="J39" s="629"/>
    </row>
    <row r="40" spans="1:10">
      <c r="A40" s="630">
        <v>1955</v>
      </c>
      <c r="B40" s="631">
        <f>('[5]S&amp;P 500 &amp; Raw Data'!B31-'[5]S&amp;P 500 &amp; Raw Data'!B30+'[5]S&amp;P 500 &amp; Raw Data'!C31)/'[5]S&amp;P 500 &amp; Raw Data'!B30</f>
        <v>0.32597331851028349</v>
      </c>
      <c r="C40" s="631">
        <f>'[5]T. Bill rates'!G34</f>
        <v>1.66E-2</v>
      </c>
      <c r="D40" s="631">
        <f>'[5]S&amp;P 500 &amp; Raw Data'!F31</f>
        <v>-1.3364391288618781E-2</v>
      </c>
      <c r="E40" s="615">
        <f t="shared" si="3"/>
        <v>1038.4727616197922</v>
      </c>
      <c r="F40" s="615">
        <f t="shared" si="3"/>
        <v>134.16846447068727</v>
      </c>
      <c r="G40" s="615">
        <f t="shared" si="3"/>
        <v>215.65055295509998</v>
      </c>
      <c r="H40" s="632">
        <f t="shared" si="1"/>
        <v>0.30937331851028349</v>
      </c>
      <c r="I40" s="631">
        <f t="shared" si="2"/>
        <v>0.33933770979890227</v>
      </c>
      <c r="J40" s="629"/>
    </row>
    <row r="41" spans="1:10">
      <c r="A41" s="630">
        <v>1956</v>
      </c>
      <c r="B41" s="631">
        <f>('[5]S&amp;P 500 &amp; Raw Data'!B32-'[5]S&amp;P 500 &amp; Raw Data'!B31+'[5]S&amp;P 500 &amp; Raw Data'!C32)/'[5]S&amp;P 500 &amp; Raw Data'!B31</f>
        <v>7.4395118733509347E-2</v>
      </c>
      <c r="C41" s="631">
        <f>'[5]T. Bill rates'!G35</f>
        <v>2.5550000000000003E-2</v>
      </c>
      <c r="D41" s="631">
        <f>'[5]S&amp;P 500 &amp; Raw Data'!F32</f>
        <v>-2.2557738173154165E-2</v>
      </c>
      <c r="E41" s="615">
        <f t="shared" si="3"/>
        <v>1115.7300660220119</v>
      </c>
      <c r="F41" s="615">
        <f t="shared" si="3"/>
        <v>137.59646873791331</v>
      </c>
      <c r="G41" s="615">
        <f t="shared" si="3"/>
        <v>210.78596424464291</v>
      </c>
      <c r="H41" s="632">
        <f t="shared" si="1"/>
        <v>4.8845118733509343E-2</v>
      </c>
      <c r="I41" s="631">
        <f t="shared" si="2"/>
        <v>9.6952856906663512E-2</v>
      </c>
      <c r="J41" s="629"/>
    </row>
    <row r="42" spans="1:10">
      <c r="A42" s="630">
        <v>1957</v>
      </c>
      <c r="B42" s="631">
        <f>('[5]S&amp;P 500 &amp; Raw Data'!B33-'[5]S&amp;P 500 &amp; Raw Data'!B32+'[5]S&amp;P 500 &amp; Raw Data'!C33)/'[5]S&amp;P 500 &amp; Raw Data'!B32</f>
        <v>-0.1045736018855796</v>
      </c>
      <c r="C42" s="631">
        <f>'[5]T. Bill rates'!G36</f>
        <v>3.2300000000000002E-2</v>
      </c>
      <c r="D42" s="631">
        <f>'[5]S&amp;P 500 &amp; Raw Data'!F33</f>
        <v>6.7970128466249904E-2</v>
      </c>
      <c r="E42" s="615">
        <f t="shared" si="3"/>
        <v>999.05415428605454</v>
      </c>
      <c r="F42" s="615">
        <f t="shared" si="3"/>
        <v>142.04083467814792</v>
      </c>
      <c r="G42" s="615">
        <f t="shared" si="3"/>
        <v>225.11311331323367</v>
      </c>
      <c r="H42" s="632">
        <f t="shared" si="1"/>
        <v>-0.13687360188557959</v>
      </c>
      <c r="I42" s="631">
        <f t="shared" si="2"/>
        <v>-0.17254373035182952</v>
      </c>
      <c r="J42" s="629"/>
    </row>
    <row r="43" spans="1:10">
      <c r="A43" s="630">
        <v>1958</v>
      </c>
      <c r="B43" s="631">
        <f>('[5]S&amp;P 500 &amp; Raw Data'!B34-'[5]S&amp;P 500 &amp; Raw Data'!B33+'[5]S&amp;P 500 &amp; Raw Data'!C34)/'[5]S&amp;P 500 &amp; Raw Data'!B33</f>
        <v>0.43719954988747184</v>
      </c>
      <c r="C43" s="631">
        <f>'[5]T. Bill rates'!G37</f>
        <v>1.7774999999999999E-2</v>
      </c>
      <c r="D43" s="631">
        <f>'[5]S&amp;P 500 &amp; Raw Data'!F34</f>
        <v>-2.0990181755274694E-2</v>
      </c>
      <c r="E43" s="615">
        <f t="shared" si="3"/>
        <v>1435.8401808531264</v>
      </c>
      <c r="F43" s="615">
        <f t="shared" si="3"/>
        <v>144.56561051455202</v>
      </c>
      <c r="G43" s="615">
        <f t="shared" si="3"/>
        <v>220.38794814929315</v>
      </c>
      <c r="H43" s="632">
        <f t="shared" si="1"/>
        <v>0.41942454988747185</v>
      </c>
      <c r="I43" s="631">
        <f t="shared" si="2"/>
        <v>0.45818973164274651</v>
      </c>
      <c r="J43" s="629"/>
    </row>
    <row r="44" spans="1:10">
      <c r="A44" s="630">
        <v>1959</v>
      </c>
      <c r="B44" s="631">
        <f>('[5]S&amp;P 500 &amp; Raw Data'!B35-'[5]S&amp;P 500 &amp; Raw Data'!B34+'[5]S&amp;P 500 &amp; Raw Data'!C35)/'[5]S&amp;P 500 &amp; Raw Data'!B34</f>
        <v>0.12056457163557326</v>
      </c>
      <c r="C44" s="631">
        <f>'[5]T. Bill rates'!G38</f>
        <v>3.2549999999999996E-2</v>
      </c>
      <c r="D44" s="631">
        <f>'[5]S&amp;P 500 &amp; Raw Data'!F35</f>
        <v>-2.6466312591385065E-2</v>
      </c>
      <c r="E44" s="615">
        <f t="shared" si="3"/>
        <v>1608.9516371948275</v>
      </c>
      <c r="F44" s="615">
        <f t="shared" si="3"/>
        <v>149.2712211368007</v>
      </c>
      <c r="G44" s="615">
        <f t="shared" si="3"/>
        <v>214.55509182219998</v>
      </c>
      <c r="H44" s="632">
        <f t="shared" si="1"/>
        <v>8.801457163557326E-2</v>
      </c>
      <c r="I44" s="631">
        <f t="shared" si="2"/>
        <v>0.14703088422695831</v>
      </c>
      <c r="J44" s="629"/>
    </row>
    <row r="45" spans="1:10">
      <c r="A45" s="630">
        <v>1960</v>
      </c>
      <c r="B45" s="631">
        <f>('[5]S&amp;P 500 &amp; Raw Data'!B36-'[5]S&amp;P 500 &amp; Raw Data'!B35+'[5]S&amp;P 500 &amp; Raw Data'!C36)/'[5]S&amp;P 500 &amp; Raw Data'!B35</f>
        <v>3.36535314743695E-3</v>
      </c>
      <c r="C45" s="631">
        <f>'[5]T. Bill rates'!G39</f>
        <v>3.0449999999999998E-2</v>
      </c>
      <c r="D45" s="631">
        <f>'[5]S&amp;P 500 &amp; Raw Data'!F36</f>
        <v>0.11639503690963365</v>
      </c>
      <c r="E45" s="615">
        <f t="shared" si="3"/>
        <v>1614.366327651135</v>
      </c>
      <c r="F45" s="615">
        <f t="shared" si="3"/>
        <v>153.81652982041629</v>
      </c>
      <c r="G45" s="615">
        <f t="shared" si="3"/>
        <v>239.52823965399477</v>
      </c>
      <c r="H45" s="632">
        <f t="shared" si="1"/>
        <v>-2.7084646852563048E-2</v>
      </c>
      <c r="I45" s="631">
        <f t="shared" si="2"/>
        <v>-0.1130296837621967</v>
      </c>
      <c r="J45" s="632">
        <f>((E45/100)^(1/(A45-$A$13+1)))-((G45/100)^(1/(A45-$A$13+1)))</f>
        <v>6.1119788031217315E-2</v>
      </c>
    </row>
    <row r="46" spans="1:10">
      <c r="A46" s="630">
        <v>1961</v>
      </c>
      <c r="B46" s="631">
        <f>('[5]S&amp;P 500 &amp; Raw Data'!B37-'[5]S&amp;P 500 &amp; Raw Data'!B36+'[5]S&amp;P 500 &amp; Raw Data'!C37)/'[5]S&amp;P 500 &amp; Raw Data'!B36</f>
        <v>0.26637712958182752</v>
      </c>
      <c r="C46" s="631">
        <f>'[5]T. Bill rates'!G40</f>
        <v>2.2675000000000001E-2</v>
      </c>
      <c r="D46" s="631">
        <f>'[5]S&amp;P 500 &amp; Raw Data'!F37</f>
        <v>2.0609208076323167E-2</v>
      </c>
      <c r="E46" s="615">
        <f t="shared" ref="E46:G61" si="4">E45*(1+B46)</f>
        <v>2044.3965961044005</v>
      </c>
      <c r="F46" s="615">
        <f t="shared" si="4"/>
        <v>157.30431963409424</v>
      </c>
      <c r="G46" s="615">
        <f t="shared" si="4"/>
        <v>244.46472698517934</v>
      </c>
      <c r="H46" s="632">
        <f t="shared" si="1"/>
        <v>0.24370212958182752</v>
      </c>
      <c r="I46" s="631">
        <f t="shared" si="2"/>
        <v>0.24576792150550436</v>
      </c>
      <c r="J46" s="632">
        <f t="shared" ref="J46:J94" si="5">((E46/100)^(1/(A46-$A$13+1)))-((G46/100)^(1/(A46-$A$13+1)))</f>
        <v>6.6173591829972622E-2</v>
      </c>
    </row>
    <row r="47" spans="1:10">
      <c r="A47" s="630">
        <v>1962</v>
      </c>
      <c r="B47" s="631">
        <f>('[5]S&amp;P 500 &amp; Raw Data'!B38-'[5]S&amp;P 500 &amp; Raw Data'!B37+'[5]S&amp;P 500 &amp; Raw Data'!C38)/'[5]S&amp;P 500 &amp; Raw Data'!B37</f>
        <v>-8.8114605171208879E-2</v>
      </c>
      <c r="C47" s="631">
        <f>'[5]T. Bill rates'!G41</f>
        <v>2.7775000000000005E-2</v>
      </c>
      <c r="D47" s="631">
        <f>'[5]S&amp;P 500 &amp; Raw Data'!F38</f>
        <v>5.693544054008462E-2</v>
      </c>
      <c r="E47" s="615">
        <f t="shared" si="4"/>
        <v>1864.2553972252979</v>
      </c>
      <c r="F47" s="615">
        <f t="shared" si="4"/>
        <v>161.67344711193124</v>
      </c>
      <c r="G47" s="615">
        <f t="shared" si="4"/>
        <v>258.38343391259201</v>
      </c>
      <c r="H47" s="632">
        <f t="shared" si="1"/>
        <v>-0.11588960517120889</v>
      </c>
      <c r="I47" s="631">
        <f t="shared" si="2"/>
        <v>-0.14505004571129348</v>
      </c>
      <c r="J47" s="632">
        <f t="shared" si="5"/>
        <v>5.9683465378989942E-2</v>
      </c>
    </row>
    <row r="48" spans="1:10">
      <c r="A48" s="630">
        <v>1963</v>
      </c>
      <c r="B48" s="631">
        <f>('[5]S&amp;P 500 &amp; Raw Data'!B39-'[5]S&amp;P 500 &amp; Raw Data'!B38+'[5]S&amp;P 500 &amp; Raw Data'!C39)/'[5]S&amp;P 500 &amp; Raw Data'!B38</f>
        <v>0.22611927099841514</v>
      </c>
      <c r="C48" s="631">
        <f>'[5]T. Bill rates'!G42</f>
        <v>3.1100000000000003E-2</v>
      </c>
      <c r="D48" s="631">
        <f>'[5]S&amp;P 500 &amp; Raw Data'!F39</f>
        <v>1.6841620739546127E-2</v>
      </c>
      <c r="E48" s="615">
        <f t="shared" si="4"/>
        <v>2285.7994686007432</v>
      </c>
      <c r="F48" s="615">
        <f t="shared" si="4"/>
        <v>166.70149131711227</v>
      </c>
      <c r="G48" s="615">
        <f t="shared" si="4"/>
        <v>262.73502971192949</v>
      </c>
      <c r="H48" s="632">
        <f t="shared" si="1"/>
        <v>0.19501927099841515</v>
      </c>
      <c r="I48" s="631">
        <f t="shared" si="2"/>
        <v>0.20927765025886902</v>
      </c>
      <c r="J48" s="632">
        <f t="shared" si="5"/>
        <v>6.3618993911514821E-2</v>
      </c>
    </row>
    <row r="49" spans="1:10">
      <c r="A49" s="630">
        <v>1964</v>
      </c>
      <c r="B49" s="631">
        <f>('[5]S&amp;P 500 &amp; Raw Data'!B40-'[5]S&amp;P 500 &amp; Raw Data'!B39+'[5]S&amp;P 500 &amp; Raw Data'!C40)/'[5]S&amp;P 500 &amp; Raw Data'!B39</f>
        <v>0.16415455878432425</v>
      </c>
      <c r="C49" s="631">
        <f>'[5]T. Bill rates'!G43</f>
        <v>3.5049999999999998E-2</v>
      </c>
      <c r="D49" s="631">
        <f>'[5]S&amp;P 500 &amp; Raw Data'!F40</f>
        <v>3.7280648911540815E-2</v>
      </c>
      <c r="E49" s="615">
        <f t="shared" si="4"/>
        <v>2661.0238718383412</v>
      </c>
      <c r="F49" s="615">
        <f t="shared" si="4"/>
        <v>172.54437858777706</v>
      </c>
      <c r="G49" s="615">
        <f t="shared" si="4"/>
        <v>272.52996211138321</v>
      </c>
      <c r="H49" s="632">
        <f t="shared" si="1"/>
        <v>0.12910455878432425</v>
      </c>
      <c r="I49" s="631">
        <f t="shared" si="2"/>
        <v>0.12687390987278344</v>
      </c>
      <c r="J49" s="632">
        <f t="shared" si="5"/>
        <v>6.5267777442658215E-2</v>
      </c>
    </row>
    <row r="50" spans="1:10">
      <c r="A50" s="630">
        <v>1965</v>
      </c>
      <c r="B50" s="631">
        <f>('[5]S&amp;P 500 &amp; Raw Data'!B41-'[5]S&amp;P 500 &amp; Raw Data'!B40+'[5]S&amp;P 500 &amp; Raw Data'!C41)/'[5]S&amp;P 500 &amp; Raw Data'!B40</f>
        <v>0.12399242477876114</v>
      </c>
      <c r="C50" s="631">
        <f>'[5]T. Bill rates'!G44</f>
        <v>3.9024999999999997E-2</v>
      </c>
      <c r="D50" s="631">
        <f>'[5]S&amp;P 500 &amp; Raw Data'!F41</f>
        <v>7.1885509359262342E-3</v>
      </c>
      <c r="E50" s="615">
        <f t="shared" si="4"/>
        <v>2990.9706741017444</v>
      </c>
      <c r="F50" s="615">
        <f t="shared" si="4"/>
        <v>179.27792296216506</v>
      </c>
      <c r="G50" s="615">
        <f t="shared" si="4"/>
        <v>274.48905762558695</v>
      </c>
      <c r="H50" s="632">
        <f t="shared" si="1"/>
        <v>8.4967424778761153E-2</v>
      </c>
      <c r="I50" s="631">
        <f t="shared" si="2"/>
        <v>0.11680387384283492</v>
      </c>
      <c r="J50" s="632">
        <f t="shared" si="5"/>
        <v>6.6617941689874449E-2</v>
      </c>
    </row>
    <row r="51" spans="1:10">
      <c r="A51" s="630">
        <v>1966</v>
      </c>
      <c r="B51" s="631">
        <f>('[5]S&amp;P 500 &amp; Raw Data'!B42-'[5]S&amp;P 500 &amp; Raw Data'!B41+'[5]S&amp;P 500 &amp; Raw Data'!C42)/'[5]S&amp;P 500 &amp; Raw Data'!B41</f>
        <v>-9.9709542356377898E-2</v>
      </c>
      <c r="C51" s="631">
        <f>'[5]T. Bill rates'!G45</f>
        <v>4.8399999999999999E-2</v>
      </c>
      <c r="D51" s="631">
        <f>'[5]S&amp;P 500 &amp; Raw Data'!F42</f>
        <v>2.9079409324299622E-2</v>
      </c>
      <c r="E51" s="615">
        <f t="shared" si="4"/>
        <v>2692.7423569857124</v>
      </c>
      <c r="F51" s="615">
        <f t="shared" si="4"/>
        <v>187.95497443353386</v>
      </c>
      <c r="G51" s="615">
        <f t="shared" si="4"/>
        <v>282.47103728732264</v>
      </c>
      <c r="H51" s="632">
        <f t="shared" si="1"/>
        <v>-0.14810954235637791</v>
      </c>
      <c r="I51" s="631">
        <f t="shared" si="2"/>
        <v>-0.12878895168067753</v>
      </c>
      <c r="J51" s="632">
        <f t="shared" si="5"/>
        <v>6.1123719679815336E-2</v>
      </c>
    </row>
    <row r="52" spans="1:10">
      <c r="A52" s="630">
        <v>1967</v>
      </c>
      <c r="B52" s="631">
        <f>('[5]S&amp;P 500 &amp; Raw Data'!B43-'[5]S&amp;P 500 &amp; Raw Data'!B42+'[5]S&amp;P 500 &amp; Raw Data'!C43)/'[5]S&amp;P 500 &amp; Raw Data'!B42</f>
        <v>0.23802966513133328</v>
      </c>
      <c r="C52" s="631">
        <f>'[5]T. Bill rates'!G46</f>
        <v>4.3324999999999995E-2</v>
      </c>
      <c r="D52" s="631">
        <f>'[5]S&amp;P 500 &amp; Raw Data'!F43</f>
        <v>-1.5806209932824666E-2</v>
      </c>
      <c r="E52" s="615">
        <f t="shared" si="4"/>
        <v>3333.6949185039784</v>
      </c>
      <c r="F52" s="615">
        <f t="shared" si="4"/>
        <v>196.09812370086672</v>
      </c>
      <c r="G52" s="615">
        <f t="shared" si="4"/>
        <v>278.0062407720165</v>
      </c>
      <c r="H52" s="632">
        <f t="shared" si="1"/>
        <v>0.19470466513133328</v>
      </c>
      <c r="I52" s="631">
        <f t="shared" si="2"/>
        <v>0.25383587506415795</v>
      </c>
      <c r="J52" s="632">
        <f t="shared" si="5"/>
        <v>6.5732838776739522E-2</v>
      </c>
    </row>
    <row r="53" spans="1:10">
      <c r="A53" s="630">
        <v>1968</v>
      </c>
      <c r="B53" s="631">
        <f>('[5]S&amp;P 500 &amp; Raw Data'!B44-'[5]S&amp;P 500 &amp; Raw Data'!B43+'[5]S&amp;P 500 &amp; Raw Data'!C44)/'[5]S&amp;P 500 &amp; Raw Data'!B43</f>
        <v>0.10814862651601535</v>
      </c>
      <c r="C53" s="631">
        <f>'[5]T. Bill rates'!G47</f>
        <v>5.2600000000000001E-2</v>
      </c>
      <c r="D53" s="631">
        <f>'[5]S&amp;P 500 &amp; Raw Data'!F44</f>
        <v>3.2746196950768365E-2</v>
      </c>
      <c r="E53" s="615">
        <f t="shared" si="4"/>
        <v>3694.2294451636035</v>
      </c>
      <c r="F53" s="615">
        <f t="shared" si="4"/>
        <v>206.41288500753231</v>
      </c>
      <c r="G53" s="615">
        <f t="shared" si="4"/>
        <v>287.10988788587969</v>
      </c>
      <c r="H53" s="632">
        <f t="shared" si="1"/>
        <v>5.5548626516015352E-2</v>
      </c>
      <c r="I53" s="631">
        <f t="shared" si="2"/>
        <v>7.5402429565246981E-2</v>
      </c>
      <c r="J53" s="632">
        <f t="shared" si="5"/>
        <v>6.596627828748769E-2</v>
      </c>
    </row>
    <row r="54" spans="1:10">
      <c r="A54" s="630">
        <v>1969</v>
      </c>
      <c r="B54" s="631">
        <f>('[5]S&amp;P 500 &amp; Raw Data'!B45-'[5]S&amp;P 500 &amp; Raw Data'!B44+'[5]S&amp;P 500 &amp; Raw Data'!C45)/'[5]S&amp;P 500 &amp; Raw Data'!B44</f>
        <v>-8.2413710764490639E-2</v>
      </c>
      <c r="C54" s="631">
        <f>'[5]T. Bill rates'!G48</f>
        <v>6.5625000000000003E-2</v>
      </c>
      <c r="D54" s="631">
        <f>'[5]S&amp;P 500 &amp; Raw Data'!F45</f>
        <v>-5.0140493209926106E-2</v>
      </c>
      <c r="E54" s="615">
        <f t="shared" si="4"/>
        <v>3389.7742881722256</v>
      </c>
      <c r="F54" s="615">
        <f t="shared" si="4"/>
        <v>219.95873058615163</v>
      </c>
      <c r="G54" s="615">
        <f t="shared" si="4"/>
        <v>272.7140565018351</v>
      </c>
      <c r="H54" s="632">
        <f t="shared" si="1"/>
        <v>-0.14803871076449066</v>
      </c>
      <c r="I54" s="631">
        <f t="shared" si="2"/>
        <v>-3.2273217554564533E-2</v>
      </c>
      <c r="J54" s="632">
        <f t="shared" si="5"/>
        <v>6.3333872734198771E-2</v>
      </c>
    </row>
    <row r="55" spans="1:10">
      <c r="A55" s="630">
        <v>1970</v>
      </c>
      <c r="B55" s="631">
        <f>('[5]S&amp;P 500 &amp; Raw Data'!B46-'[5]S&amp;P 500 &amp; Raw Data'!B45+'[5]S&amp;P 500 &amp; Raw Data'!C46)/'[5]S&amp;P 500 &amp; Raw Data'!B45</f>
        <v>3.5611449054964189E-2</v>
      </c>
      <c r="C55" s="631">
        <f>'[5]T. Bill rates'!G49</f>
        <v>6.6849999999999993E-2</v>
      </c>
      <c r="D55" s="631">
        <f>'[5]S&amp;P 500 &amp; Raw Data'!F46</f>
        <v>0.16754737183412338</v>
      </c>
      <c r="E55" s="615">
        <f t="shared" si="4"/>
        <v>3510.4890625432981</v>
      </c>
      <c r="F55" s="615">
        <f t="shared" si="4"/>
        <v>234.66297172583589</v>
      </c>
      <c r="G55" s="615">
        <f t="shared" si="4"/>
        <v>318.40657993094021</v>
      </c>
      <c r="H55" s="632">
        <f t="shared" si="1"/>
        <v>-3.1238550945035803E-2</v>
      </c>
      <c r="I55" s="631">
        <f t="shared" si="2"/>
        <v>-0.13193592277915919</v>
      </c>
      <c r="J55" s="632">
        <f t="shared" si="5"/>
        <v>5.8972566666315007E-2</v>
      </c>
    </row>
    <row r="56" spans="1:10">
      <c r="A56" s="630">
        <v>1971</v>
      </c>
      <c r="B56" s="631">
        <f>('[5]S&amp;P 500 &amp; Raw Data'!B47-'[5]S&amp;P 500 &amp; Raw Data'!B46+'[5]S&amp;P 500 &amp; Raw Data'!C47)/'[5]S&amp;P 500 &amp; Raw Data'!B46</f>
        <v>0.14221150298426474</v>
      </c>
      <c r="C56" s="631">
        <f>'[5]T. Bill rates'!G50</f>
        <v>4.5400000000000003E-2</v>
      </c>
      <c r="D56" s="631">
        <f>'[5]S&amp;P 500 &amp; Raw Data'!F47</f>
        <v>9.7868966197122972E-2</v>
      </c>
      <c r="E56" s="615">
        <f t="shared" si="4"/>
        <v>4009.720988337403</v>
      </c>
      <c r="F56" s="615">
        <f t="shared" si="4"/>
        <v>245.31667064218885</v>
      </c>
      <c r="G56" s="615">
        <f t="shared" si="4"/>
        <v>349.56870273914296</v>
      </c>
      <c r="H56" s="632">
        <f t="shared" si="1"/>
        <v>9.6811502984264747E-2</v>
      </c>
      <c r="I56" s="631">
        <f t="shared" si="2"/>
        <v>4.434253678714177E-2</v>
      </c>
      <c r="J56" s="632">
        <f t="shared" si="5"/>
        <v>5.8660636809878541E-2</v>
      </c>
    </row>
    <row r="57" spans="1:10">
      <c r="A57" s="630">
        <v>1972</v>
      </c>
      <c r="B57" s="631">
        <f>('[5]S&amp;P 500 &amp; Raw Data'!B48-'[5]S&amp;P 500 &amp; Raw Data'!B47+'[5]S&amp;P 500 &amp; Raw Data'!C48)/'[5]S&amp;P 500 &amp; Raw Data'!B47</f>
        <v>0.18755362915074925</v>
      </c>
      <c r="C57" s="631">
        <f>'[5]T. Bill rates'!G51</f>
        <v>3.9525000000000005E-2</v>
      </c>
      <c r="D57" s="631">
        <f>'[5]S&amp;P 500 &amp; Raw Data'!F48</f>
        <v>2.818449050444969E-2</v>
      </c>
      <c r="E57" s="615">
        <f t="shared" si="4"/>
        <v>4761.7587115820115</v>
      </c>
      <c r="F57" s="615">
        <f t="shared" si="4"/>
        <v>255.01281204932138</v>
      </c>
      <c r="G57" s="615">
        <f t="shared" si="4"/>
        <v>359.42111852214714</v>
      </c>
      <c r="H57" s="632">
        <f t="shared" si="1"/>
        <v>0.14802862915074924</v>
      </c>
      <c r="I57" s="631">
        <f t="shared" si="2"/>
        <v>0.15936913864629956</v>
      </c>
      <c r="J57" s="632">
        <f t="shared" si="5"/>
        <v>6.0804303728189568E-2</v>
      </c>
    </row>
    <row r="58" spans="1:10">
      <c r="A58" s="630">
        <v>1973</v>
      </c>
      <c r="B58" s="631">
        <f>('[5]S&amp;P 500 &amp; Raw Data'!B49-'[5]S&amp;P 500 &amp; Raw Data'!B48+'[5]S&amp;P 500 &amp; Raw Data'!C49)/'[5]S&amp;P 500 &amp; Raw Data'!B48</f>
        <v>-0.14308047437526472</v>
      </c>
      <c r="C58" s="631">
        <f>'[5]T. Bill rates'!G52</f>
        <v>6.724999999999999E-2</v>
      </c>
      <c r="D58" s="631">
        <f>'[5]S&amp;P 500 &amp; Raw Data'!F49</f>
        <v>3.6586646024150085E-2</v>
      </c>
      <c r="E58" s="615">
        <f t="shared" si="4"/>
        <v>4080.4440162683081</v>
      </c>
      <c r="F58" s="615">
        <f t="shared" si="4"/>
        <v>272.16242365963825</v>
      </c>
      <c r="G58" s="615">
        <f t="shared" si="4"/>
        <v>372.57113175912104</v>
      </c>
      <c r="H58" s="632">
        <f t="shared" si="1"/>
        <v>-0.2103304743752647</v>
      </c>
      <c r="I58" s="631">
        <f t="shared" si="2"/>
        <v>-0.17966712039941479</v>
      </c>
      <c r="J58" s="632">
        <f t="shared" si="5"/>
        <v>5.4960045718843054E-2</v>
      </c>
    </row>
    <row r="59" spans="1:10">
      <c r="A59" s="630">
        <v>1974</v>
      </c>
      <c r="B59" s="631">
        <f>('[5]S&amp;P 500 &amp; Raw Data'!B50-'[5]S&amp;P 500 &amp; Raw Data'!B49+'[5]S&amp;P 500 &amp; Raw Data'!C50)/'[5]S&amp;P 500 &amp; Raw Data'!B49</f>
        <v>-0.25901785750896972</v>
      </c>
      <c r="C59" s="631">
        <f>'[5]T. Bill rates'!G53</f>
        <v>7.7775000000000011E-2</v>
      </c>
      <c r="D59" s="631">
        <f>'[5]S&amp;P 500 &amp; Raw Data'!F50</f>
        <v>1.9886086932378574E-2</v>
      </c>
      <c r="E59" s="615">
        <f t="shared" si="4"/>
        <v>3023.5361494891954</v>
      </c>
      <c r="F59" s="615">
        <f t="shared" si="4"/>
        <v>293.32985615976662</v>
      </c>
      <c r="G59" s="615">
        <f t="shared" si="4"/>
        <v>379.98011367377757</v>
      </c>
      <c r="H59" s="632">
        <f t="shared" si="1"/>
        <v>-0.3367928575089697</v>
      </c>
      <c r="I59" s="631">
        <f t="shared" si="2"/>
        <v>-0.27890394444134831</v>
      </c>
      <c r="J59" s="632">
        <f t="shared" si="5"/>
        <v>4.6417018581159875E-2</v>
      </c>
    </row>
    <row r="60" spans="1:10">
      <c r="A60" s="630">
        <v>1975</v>
      </c>
      <c r="B60" s="631">
        <f>('[5]S&amp;P 500 &amp; Raw Data'!B51-'[5]S&amp;P 500 &amp; Raw Data'!B50+'[5]S&amp;P 500 &amp; Raw Data'!C51)/'[5]S&amp;P 500 &amp; Raw Data'!B50</f>
        <v>0.36995137106184356</v>
      </c>
      <c r="C60" s="631">
        <f>'[5]T. Bill rates'!G54</f>
        <v>5.9900000000000002E-2</v>
      </c>
      <c r="D60" s="631">
        <f>'[5]S&amp;P 500 &amp; Raw Data'!F51</f>
        <v>3.6052536026033838E-2</v>
      </c>
      <c r="E60" s="615">
        <f t="shared" si="4"/>
        <v>4142.0974934477708</v>
      </c>
      <c r="F60" s="615">
        <f t="shared" si="4"/>
        <v>310.90031454373667</v>
      </c>
      <c r="G60" s="615">
        <f t="shared" si="4"/>
        <v>393.67936041117781</v>
      </c>
      <c r="H60" s="632">
        <f t="shared" si="1"/>
        <v>0.31005137106184355</v>
      </c>
      <c r="I60" s="631">
        <f t="shared" si="2"/>
        <v>0.33389883503580975</v>
      </c>
      <c r="J60" s="632">
        <f t="shared" si="5"/>
        <v>5.1706756781676244E-2</v>
      </c>
    </row>
    <row r="61" spans="1:10">
      <c r="A61" s="630">
        <v>1976</v>
      </c>
      <c r="B61" s="631">
        <f>('[5]S&amp;P 500 &amp; Raw Data'!B52-'[5]S&amp;P 500 &amp; Raw Data'!B51+'[5]S&amp;P 500 &amp; Raw Data'!C52)/'[5]S&amp;P 500 &amp; Raw Data'!B51</f>
        <v>0.23830999002106662</v>
      </c>
      <c r="C61" s="631">
        <f>'[5]T. Bill rates'!G55</f>
        <v>4.9700000000000008E-2</v>
      </c>
      <c r="D61" s="631">
        <f>'[5]S&amp;P 500 &amp; Raw Data'!F52</f>
        <v>0.1598456074290921</v>
      </c>
      <c r="E61" s="615">
        <f t="shared" si="4"/>
        <v>5129.2007057775936</v>
      </c>
      <c r="F61" s="615">
        <f t="shared" si="4"/>
        <v>326.35206017656043</v>
      </c>
      <c r="G61" s="615">
        <f t="shared" si="4"/>
        <v>456.607276908399</v>
      </c>
      <c r="H61" s="632">
        <f t="shared" si="1"/>
        <v>0.1886099900210666</v>
      </c>
      <c r="I61" s="631">
        <f t="shared" si="2"/>
        <v>7.8464382591974524E-2</v>
      </c>
      <c r="J61" s="632">
        <f t="shared" si="5"/>
        <v>5.2196588038950109E-2</v>
      </c>
    </row>
    <row r="62" spans="1:10">
      <c r="A62" s="630">
        <v>1977</v>
      </c>
      <c r="B62" s="631">
        <f>('[5]S&amp;P 500 &amp; Raw Data'!B53-'[5]S&amp;P 500 &amp; Raw Data'!B52+'[5]S&amp;P 500 &amp; Raw Data'!C53)/'[5]S&amp;P 500 &amp; Raw Data'!B52</f>
        <v>-6.9797040759352322E-2</v>
      </c>
      <c r="C62" s="631">
        <f>'[5]T. Bill rates'!G56</f>
        <v>5.1275000000000001E-2</v>
      </c>
      <c r="D62" s="631">
        <f>'[5]S&amp;P 500 &amp; Raw Data'!F53</f>
        <v>1.2899606071070449E-2</v>
      </c>
      <c r="E62" s="615">
        <f t="shared" ref="E62:G77" si="6">E61*(1+B62)</f>
        <v>4771.1976750535359</v>
      </c>
      <c r="F62" s="615">
        <f t="shared" si="6"/>
        <v>343.08576206211353</v>
      </c>
      <c r="G62" s="615">
        <f t="shared" si="6"/>
        <v>462.49733090970153</v>
      </c>
      <c r="H62" s="632">
        <f t="shared" si="1"/>
        <v>-0.12107204075935232</v>
      </c>
      <c r="I62" s="631">
        <f t="shared" si="2"/>
        <v>-8.2696646830422771E-2</v>
      </c>
      <c r="J62" s="632">
        <f t="shared" si="5"/>
        <v>4.9266761357046551E-2</v>
      </c>
    </row>
    <row r="63" spans="1:10">
      <c r="A63" s="630">
        <v>1978</v>
      </c>
      <c r="B63" s="631">
        <f>('[5]S&amp;P 500 &amp; Raw Data'!B54-'[5]S&amp;P 500 &amp; Raw Data'!B53+'[5]S&amp;P 500 &amp; Raw Data'!C54)/'[5]S&amp;P 500 &amp; Raw Data'!B53</f>
        <v>6.50928391167193E-2</v>
      </c>
      <c r="C63" s="631">
        <f>'[5]T. Bill rates'!G57</f>
        <v>6.9325000000000012E-2</v>
      </c>
      <c r="D63" s="631">
        <f>'[5]S&amp;P 500 &amp; Raw Data'!F54</f>
        <v>-7.7758069075086478E-3</v>
      </c>
      <c r="E63" s="615">
        <f t="shared" si="6"/>
        <v>5081.7684777098611</v>
      </c>
      <c r="F63" s="615">
        <f t="shared" si="6"/>
        <v>366.87018251706957</v>
      </c>
      <c r="G63" s="615">
        <f t="shared" si="6"/>
        <v>458.90104096930958</v>
      </c>
      <c r="H63" s="632">
        <f t="shared" si="1"/>
        <v>-4.2321608832807112E-3</v>
      </c>
      <c r="I63" s="631">
        <f t="shared" si="2"/>
        <v>7.2868646024227948E-2</v>
      </c>
      <c r="J63" s="632">
        <f t="shared" si="5"/>
        <v>4.9741898913203242E-2</v>
      </c>
    </row>
    <row r="64" spans="1:10">
      <c r="A64" s="630">
        <v>1979</v>
      </c>
      <c r="B64" s="631">
        <f>('[5]S&amp;P 500 &amp; Raw Data'!B55-'[5]S&amp;P 500 &amp; Raw Data'!B54+'[5]S&amp;P 500 &amp; Raw Data'!C55)/'[5]S&amp;P 500 &amp; Raw Data'!B54</f>
        <v>0.18519490167516386</v>
      </c>
      <c r="C64" s="631">
        <f>'[5]T. Bill rates'!G58</f>
        <v>9.9375000000000005E-2</v>
      </c>
      <c r="D64" s="631">
        <f>'[5]S&amp;P 500 &amp; Raw Data'!F55</f>
        <v>6.7072031247235459E-3</v>
      </c>
      <c r="E64" s="615">
        <f t="shared" si="6"/>
        <v>6022.8860912752862</v>
      </c>
      <c r="F64" s="615">
        <f t="shared" si="6"/>
        <v>403.32790690470335</v>
      </c>
      <c r="G64" s="615">
        <f t="shared" si="6"/>
        <v>461.97898346523777</v>
      </c>
      <c r="H64" s="632">
        <f t="shared" si="1"/>
        <v>8.5819901675163859E-2</v>
      </c>
      <c r="I64" s="631">
        <f t="shared" si="2"/>
        <v>0.17848769855044033</v>
      </c>
      <c r="J64" s="632">
        <f t="shared" si="5"/>
        <v>5.2132252828986925E-2</v>
      </c>
    </row>
    <row r="65" spans="1:10">
      <c r="A65" s="630">
        <v>1980</v>
      </c>
      <c r="B65" s="631">
        <f>('[5]S&amp;P 500 &amp; Raw Data'!B56-'[5]S&amp;P 500 &amp; Raw Data'!B55+'[5]S&amp;P 500 &amp; Raw Data'!C56)/'[5]S&amp;P 500 &amp; Raw Data'!B55</f>
        <v>0.3173524550676301</v>
      </c>
      <c r="C65" s="631">
        <f>'[5]T. Bill rates'!G59</f>
        <v>0.11219999999999999</v>
      </c>
      <c r="D65" s="631">
        <f>'[5]S&amp;P 500 &amp; Raw Data'!F56</f>
        <v>-2.989744251999403E-2</v>
      </c>
      <c r="E65" s="615">
        <f t="shared" si="6"/>
        <v>7934.2637789341807</v>
      </c>
      <c r="F65" s="615">
        <f t="shared" si="6"/>
        <v>448.5812980594111</v>
      </c>
      <c r="G65" s="615">
        <f t="shared" si="6"/>
        <v>448.16699336164055</v>
      </c>
      <c r="H65" s="632">
        <f t="shared" si="1"/>
        <v>0.20515245506763011</v>
      </c>
      <c r="I65" s="631">
        <f t="shared" si="2"/>
        <v>0.34724989758762415</v>
      </c>
      <c r="J65" s="632">
        <f t="shared" si="5"/>
        <v>5.7318705257589642E-2</v>
      </c>
    </row>
    <row r="66" spans="1:10">
      <c r="A66" s="630">
        <v>1981</v>
      </c>
      <c r="B66" s="631">
        <f>('[5]S&amp;P 500 &amp; Raw Data'!B57-'[5]S&amp;P 500 &amp; Raw Data'!B56+'[5]S&amp;P 500 &amp; Raw Data'!C57)/'[5]S&amp;P 500 &amp; Raw Data'!B56</f>
        <v>-4.7023902474955762E-2</v>
      </c>
      <c r="C66" s="631">
        <f>'[5]T. Bill rates'!G60</f>
        <v>0.14299999999999999</v>
      </c>
      <c r="D66" s="631">
        <f>'[5]S&amp;P 500 &amp; Raw Data'!F57</f>
        <v>8.1992153358923542E-2</v>
      </c>
      <c r="E66" s="615">
        <f t="shared" si="6"/>
        <v>7561.1637327830058</v>
      </c>
      <c r="F66" s="615">
        <f t="shared" si="6"/>
        <v>512.72842368190686</v>
      </c>
      <c r="G66" s="615">
        <f t="shared" si="6"/>
        <v>484.91317021175587</v>
      </c>
      <c r="H66" s="632">
        <f t="shared" si="1"/>
        <v>-0.19002390247495576</v>
      </c>
      <c r="I66" s="631">
        <f t="shared" si="2"/>
        <v>-0.12901605583387932</v>
      </c>
      <c r="J66" s="632">
        <f t="shared" si="5"/>
        <v>5.3730990468644491E-2</v>
      </c>
    </row>
    <row r="67" spans="1:10">
      <c r="A67" s="630">
        <v>1982</v>
      </c>
      <c r="B67" s="631">
        <f>('[5]S&amp;P 500 &amp; Raw Data'!B58-'[5]S&amp;P 500 &amp; Raw Data'!B57+'[5]S&amp;P 500 &amp; Raw Data'!C58)/'[5]S&amp;P 500 &amp; Raw Data'!B57</f>
        <v>0.20419055079559353</v>
      </c>
      <c r="C67" s="631">
        <f>'[5]T. Bill rates'!G61</f>
        <v>0.1101</v>
      </c>
      <c r="D67" s="631">
        <f>'[5]S&amp;P 500 &amp; Raw Data'!F58</f>
        <v>0.32814549486295586</v>
      </c>
      <c r="E67" s="615">
        <f t="shared" si="6"/>
        <v>9105.0819200356327</v>
      </c>
      <c r="F67" s="615">
        <f t="shared" si="6"/>
        <v>569.17982312928484</v>
      </c>
      <c r="G67" s="615">
        <f t="shared" si="6"/>
        <v>644.03524241645721</v>
      </c>
      <c r="H67" s="632">
        <f t="shared" si="1"/>
        <v>9.4090550795593531E-2</v>
      </c>
      <c r="I67" s="631">
        <f t="shared" si="2"/>
        <v>-0.12395494406736232</v>
      </c>
      <c r="J67" s="632">
        <f t="shared" si="5"/>
        <v>5.1038688692139678E-2</v>
      </c>
    </row>
    <row r="68" spans="1:10">
      <c r="A68" s="630">
        <v>1983</v>
      </c>
      <c r="B68" s="631">
        <f>('[5]S&amp;P 500 &amp; Raw Data'!B59-'[5]S&amp;P 500 &amp; Raw Data'!B58+'[5]S&amp;P 500 &amp; Raw Data'!C59)/'[5]S&amp;P 500 &amp; Raw Data'!B58</f>
        <v>0.22337155858930619</v>
      </c>
      <c r="C68" s="631">
        <f>'[5]T. Bill rates'!G62</f>
        <v>8.4474999999999995E-2</v>
      </c>
      <c r="D68" s="631">
        <f>'[5]S&amp;P 500 &amp; Raw Data'!F59</f>
        <v>3.2002094451429264E-2</v>
      </c>
      <c r="E68" s="615">
        <f t="shared" si="6"/>
        <v>11138.898259597305</v>
      </c>
      <c r="F68" s="615">
        <f t="shared" si="6"/>
        <v>617.26128868813123</v>
      </c>
      <c r="G68" s="615">
        <f t="shared" si="6"/>
        <v>664.64571907431775</v>
      </c>
      <c r="H68" s="632">
        <f t="shared" si="1"/>
        <v>0.13889655858930619</v>
      </c>
      <c r="I68" s="631">
        <f t="shared" si="2"/>
        <v>0.19136946413787692</v>
      </c>
      <c r="J68" s="632">
        <f t="shared" si="5"/>
        <v>5.3402830654563971E-2</v>
      </c>
    </row>
    <row r="69" spans="1:10">
      <c r="A69" s="630">
        <v>1984</v>
      </c>
      <c r="B69" s="631">
        <f>('[5]S&amp;P 500 &amp; Raw Data'!B60-'[5]S&amp;P 500 &amp; Raw Data'!B59+'[5]S&amp;P 500 &amp; Raw Data'!C60)/'[5]S&amp;P 500 &amp; Raw Data'!B59</f>
        <v>6.14614199963621E-2</v>
      </c>
      <c r="C69" s="631">
        <f>'[5]T. Bill rates'!G63</f>
        <v>9.6125000000000002E-2</v>
      </c>
      <c r="D69" s="631">
        <f>'[5]S&amp;P 500 &amp; Raw Data'!F60</f>
        <v>0.13733364344102345</v>
      </c>
      <c r="E69" s="615">
        <f t="shared" si="6"/>
        <v>11823.510763827162</v>
      </c>
      <c r="F69" s="615">
        <f t="shared" si="6"/>
        <v>676.59553006327781</v>
      </c>
      <c r="G69" s="615">
        <f t="shared" si="6"/>
        <v>755.92393727227272</v>
      </c>
      <c r="H69" s="632">
        <f t="shared" si="1"/>
        <v>-3.4663580003637902E-2</v>
      </c>
      <c r="I69" s="631">
        <f t="shared" si="2"/>
        <v>-7.5872223444661352E-2</v>
      </c>
      <c r="J69" s="632">
        <f t="shared" si="5"/>
        <v>5.1212126318051387E-2</v>
      </c>
    </row>
    <row r="70" spans="1:10">
      <c r="A70" s="630">
        <v>1985</v>
      </c>
      <c r="B70" s="631">
        <f>('[5]S&amp;P 500 &amp; Raw Data'!B61-'[5]S&amp;P 500 &amp; Raw Data'!B60+'[5]S&amp;P 500 &amp; Raw Data'!C61)/'[5]S&amp;P 500 &amp; Raw Data'!B60</f>
        <v>0.31235149485768948</v>
      </c>
      <c r="C70" s="631">
        <f>'[5]T. Bill rates'!G64</f>
        <v>7.4874999999999997E-2</v>
      </c>
      <c r="D70" s="631">
        <f>'[5]S&amp;P 500 &amp; Raw Data'!F61</f>
        <v>0.2571248821260641</v>
      </c>
      <c r="E70" s="615">
        <f t="shared" si="6"/>
        <v>15516.602025374559</v>
      </c>
      <c r="F70" s="615">
        <f t="shared" si="6"/>
        <v>727.25562037676571</v>
      </c>
      <c r="G70" s="615">
        <f t="shared" si="6"/>
        <v>950.2907905396761</v>
      </c>
      <c r="H70" s="632">
        <f t="shared" si="1"/>
        <v>0.23747649485768949</v>
      </c>
      <c r="I70" s="631">
        <f t="shared" si="2"/>
        <v>5.522661273162538E-2</v>
      </c>
      <c r="J70" s="632">
        <f t="shared" si="5"/>
        <v>5.1284365102581608E-2</v>
      </c>
    </row>
    <row r="71" spans="1:10">
      <c r="A71" s="630">
        <v>1986</v>
      </c>
      <c r="B71" s="631">
        <f>('[5]S&amp;P 500 &amp; Raw Data'!B62-'[5]S&amp;P 500 &amp; Raw Data'!B61+'[5]S&amp;P 500 &amp; Raw Data'!C62)/'[5]S&amp;P 500 &amp; Raw Data'!B61</f>
        <v>0.18494578758046187</v>
      </c>
      <c r="C71" s="631">
        <f>'[5]T. Bill rates'!G65</f>
        <v>6.0350000000000001E-2</v>
      </c>
      <c r="D71" s="631">
        <f>'[5]S&amp;P 500 &amp; Raw Data'!F62</f>
        <v>0.24284215141767618</v>
      </c>
      <c r="E71" s="615">
        <f t="shared" si="6"/>
        <v>18386.332207530046</v>
      </c>
      <c r="F71" s="615">
        <f t="shared" si="6"/>
        <v>771.14549706650348</v>
      </c>
      <c r="G71" s="615">
        <f t="shared" si="6"/>
        <v>1181.0614505867354</v>
      </c>
      <c r="H71" s="632">
        <f t="shared" si="1"/>
        <v>0.12459578758046187</v>
      </c>
      <c r="I71" s="631">
        <f t="shared" si="2"/>
        <v>-5.7896363837214304E-2</v>
      </c>
      <c r="J71" s="632">
        <f t="shared" si="5"/>
        <v>4.9663565599739057E-2</v>
      </c>
    </row>
    <row r="72" spans="1:10">
      <c r="A72" s="630">
        <v>1987</v>
      </c>
      <c r="B72" s="631">
        <f>('[5]S&amp;P 500 &amp; Raw Data'!B63-'[5]S&amp;P 500 &amp; Raw Data'!B62+'[5]S&amp;P 500 &amp; Raw Data'!C63)/'[5]S&amp;P 500 &amp; Raw Data'!B62</f>
        <v>5.8127216418218712E-2</v>
      </c>
      <c r="C72" s="631">
        <f>'[5]T. Bill rates'!G66</f>
        <v>5.7224999999999998E-2</v>
      </c>
      <c r="D72" s="631">
        <f>'[5]S&amp;P 500 &amp; Raw Data'!F63</f>
        <v>-4.9605089379262279E-2</v>
      </c>
      <c r="E72" s="615">
        <f t="shared" si="6"/>
        <v>19455.07851889441</v>
      </c>
      <c r="F72" s="615">
        <f t="shared" si="6"/>
        <v>815.27429813613423</v>
      </c>
      <c r="G72" s="615">
        <f t="shared" si="6"/>
        <v>1122.4747917679792</v>
      </c>
      <c r="H72" s="632">
        <f t="shared" si="1"/>
        <v>9.0221641821871396E-4</v>
      </c>
      <c r="I72" s="631">
        <f t="shared" si="2"/>
        <v>0.107732305797481</v>
      </c>
      <c r="J72" s="632">
        <f t="shared" si="5"/>
        <v>5.0693590437507208E-2</v>
      </c>
    </row>
    <row r="73" spans="1:10">
      <c r="A73" s="630">
        <v>1988</v>
      </c>
      <c r="B73" s="631">
        <f>('[5]S&amp;P 500 &amp; Raw Data'!B64-'[5]S&amp;P 500 &amp; Raw Data'!B63+'[5]S&amp;P 500 &amp; Raw Data'!C64)/'[5]S&amp;P 500 &amp; Raw Data'!B63</f>
        <v>0.16537192812044688</v>
      </c>
      <c r="C73" s="631">
        <f>'[5]T. Bill rates'!G67</f>
        <v>6.4499999999999988E-2</v>
      </c>
      <c r="D73" s="631">
        <f>'[5]S&amp;P 500 &amp; Raw Data'!F64</f>
        <v>8.2235958434841674E-2</v>
      </c>
      <c r="E73" s="615">
        <f t="shared" si="6"/>
        <v>22672.402365298665</v>
      </c>
      <c r="F73" s="615">
        <f t="shared" si="6"/>
        <v>867.85949036591489</v>
      </c>
      <c r="G73" s="615">
        <f t="shared" si="6"/>
        <v>1214.7825820879684</v>
      </c>
      <c r="H73" s="632">
        <f t="shared" si="1"/>
        <v>0.10087192812044689</v>
      </c>
      <c r="I73" s="631">
        <f t="shared" si="2"/>
        <v>8.3135969685605202E-2</v>
      </c>
      <c r="J73" s="632">
        <f t="shared" si="5"/>
        <v>5.1199933578993884E-2</v>
      </c>
    </row>
    <row r="74" spans="1:10">
      <c r="A74" s="630">
        <v>1989</v>
      </c>
      <c r="B74" s="631">
        <f>('[5]S&amp;P 500 &amp; Raw Data'!B65-'[5]S&amp;P 500 &amp; Raw Data'!B64+'[5]S&amp;P 500 &amp; Raw Data'!C65)/'[5]S&amp;P 500 &amp; Raw Data'!B64</f>
        <v>0.31475183638196724</v>
      </c>
      <c r="C74" s="631">
        <f>'[5]T. Bill rates'!G68</f>
        <v>8.1099999999999992E-2</v>
      </c>
      <c r="D74" s="631">
        <f>'[5]S&amp;P 500 &amp; Raw Data'!F65</f>
        <v>0.17693647159446219</v>
      </c>
      <c r="E74" s="615">
        <f t="shared" si="6"/>
        <v>29808.582644967279</v>
      </c>
      <c r="F74" s="615">
        <f t="shared" si="6"/>
        <v>938.24289503459056</v>
      </c>
      <c r="G74" s="615">
        <f t="shared" si="6"/>
        <v>1429.7219259170236</v>
      </c>
      <c r="H74" s="632">
        <f t="shared" si="1"/>
        <v>0.23365183638196724</v>
      </c>
      <c r="I74" s="631">
        <f t="shared" si="2"/>
        <v>0.13781536478750506</v>
      </c>
      <c r="J74" s="632">
        <f t="shared" si="5"/>
        <v>5.240982169336883E-2</v>
      </c>
    </row>
    <row r="75" spans="1:10">
      <c r="A75" s="630">
        <v>1990</v>
      </c>
      <c r="B75" s="631">
        <f>('[5]S&amp;P 500 &amp; Raw Data'!B66-'[5]S&amp;P 500 &amp; Raw Data'!B65+'[5]S&amp;P 500 &amp; Raw Data'!C66)/'[5]S&amp;P 500 &amp; Raw Data'!B65</f>
        <v>-3.0644516129032118E-2</v>
      </c>
      <c r="C75" s="631">
        <f>'[5]T. Bill rates'!G69</f>
        <v>7.5500000000000012E-2</v>
      </c>
      <c r="D75" s="631">
        <f>'[5]S&amp;P 500 &amp; Raw Data'!F66</f>
        <v>6.2353753335533363E-2</v>
      </c>
      <c r="E75" s="615">
        <f t="shared" si="6"/>
        <v>28895.113053319994</v>
      </c>
      <c r="F75" s="615">
        <f t="shared" si="6"/>
        <v>1009.0802336097021</v>
      </c>
      <c r="G75" s="615">
        <f t="shared" si="6"/>
        <v>1518.8704542240573</v>
      </c>
      <c r="H75" s="632">
        <f t="shared" si="1"/>
        <v>-0.10614451612903213</v>
      </c>
      <c r="I75" s="631">
        <f t="shared" si="2"/>
        <v>-9.2998269464565478E-2</v>
      </c>
      <c r="J75" s="632">
        <f t="shared" si="5"/>
        <v>4.9979953137364364E-2</v>
      </c>
    </row>
    <row r="76" spans="1:10">
      <c r="A76" s="630">
        <v>1991</v>
      </c>
      <c r="B76" s="631">
        <f>('[5]S&amp;P 500 &amp; Raw Data'!B67-'[5]S&amp;P 500 &amp; Raw Data'!B66+'[5]S&amp;P 500 &amp; Raw Data'!C67)/'[5]S&amp;P 500 &amp; Raw Data'!B66</f>
        <v>0.30234843134879757</v>
      </c>
      <c r="C76" s="631">
        <f>'[5]T. Bill rates'!G70</f>
        <v>5.6100000000000011E-2</v>
      </c>
      <c r="D76" s="631">
        <f>'[5]S&amp;P 500 &amp; Raw Data'!F67</f>
        <v>0.15004510019517303</v>
      </c>
      <c r="E76" s="615">
        <f t="shared" si="6"/>
        <v>37631.505158637461</v>
      </c>
      <c r="F76" s="615">
        <f t="shared" si="6"/>
        <v>1065.6896347152065</v>
      </c>
      <c r="G76" s="615">
        <f t="shared" si="6"/>
        <v>1746.769523711594</v>
      </c>
      <c r="H76" s="632">
        <f t="shared" si="1"/>
        <v>0.24624843134879756</v>
      </c>
      <c r="I76" s="631">
        <f t="shared" si="2"/>
        <v>0.15230333115362454</v>
      </c>
      <c r="J76" s="632">
        <f t="shared" si="5"/>
        <v>5.13850639844049E-2</v>
      </c>
    </row>
    <row r="77" spans="1:10">
      <c r="A77" s="630">
        <v>1992</v>
      </c>
      <c r="B77" s="631">
        <f>('[5]S&amp;P 500 &amp; Raw Data'!B68-'[5]S&amp;P 500 &amp; Raw Data'!B67+'[5]S&amp;P 500 &amp; Raw Data'!C68)/'[5]S&amp;P 500 &amp; Raw Data'!B67</f>
        <v>7.493727972380064E-2</v>
      </c>
      <c r="C77" s="631">
        <f>'[5]T. Bill rates'!G71</f>
        <v>3.4049999999999997E-2</v>
      </c>
      <c r="D77" s="631">
        <f>'[5]S&amp;P 500 &amp; Raw Data'!F68</f>
        <v>9.3616373162079422E-2</v>
      </c>
      <c r="E77" s="615">
        <f t="shared" si="6"/>
        <v>40451.507787137925</v>
      </c>
      <c r="F77" s="615">
        <f t="shared" si="6"/>
        <v>1101.976366777259</v>
      </c>
      <c r="G77" s="615">
        <f t="shared" si="6"/>
        <v>1910.2957512715263</v>
      </c>
      <c r="H77" s="632">
        <f t="shared" si="1"/>
        <v>4.0887279723800643E-2</v>
      </c>
      <c r="I77" s="631">
        <f t="shared" si="2"/>
        <v>-1.8679093438278782E-2</v>
      </c>
      <c r="J77" s="632">
        <f t="shared" si="5"/>
        <v>5.0319857010869606E-2</v>
      </c>
    </row>
    <row r="78" spans="1:10">
      <c r="A78" s="630">
        <v>1993</v>
      </c>
      <c r="B78" s="631">
        <f>('[5]S&amp;P 500 &amp; Raw Data'!B69-'[5]S&amp;P 500 &amp; Raw Data'!B68+'[5]S&amp;P 500 &amp; Raw Data'!C69)/'[5]S&amp;P 500 &amp; Raw Data'!B68</f>
        <v>9.96705147919488E-2</v>
      </c>
      <c r="C78" s="631">
        <f>'[5]T. Bill rates'!G72</f>
        <v>2.9825000000000001E-2</v>
      </c>
      <c r="D78" s="631">
        <f>'[5]S&amp;P 500 &amp; Raw Data'!F69</f>
        <v>0.14210957589263107</v>
      </c>
      <c r="E78" s="615">
        <f t="shared" ref="E78:G93" si="7">E77*(1+B78)</f>
        <v>44483.33039239249</v>
      </c>
      <c r="F78" s="615">
        <f t="shared" si="7"/>
        <v>1134.8428119163907</v>
      </c>
      <c r="G78" s="615">
        <f t="shared" si="7"/>
        <v>2181.7670703142176</v>
      </c>
      <c r="H78" s="632">
        <f t="shared" ref="H78:H93" si="8">B78-C78</f>
        <v>6.9845514791948796E-2</v>
      </c>
      <c r="I78" s="631">
        <f t="shared" ref="I78:I93" si="9">B78-D78</f>
        <v>-4.2439061100682268E-2</v>
      </c>
      <c r="J78" s="632">
        <f t="shared" si="5"/>
        <v>4.8975937931758473E-2</v>
      </c>
    </row>
    <row r="79" spans="1:10">
      <c r="A79" s="630">
        <v>1994</v>
      </c>
      <c r="B79" s="631">
        <f>('[5]S&amp;P 500 &amp; Raw Data'!B70-'[5]S&amp;P 500 &amp; Raw Data'!B69+'[5]S&amp;P 500 &amp; Raw Data'!C70)/'[5]S&amp;P 500 &amp; Raw Data'!B69</f>
        <v>1.3259206774573897E-2</v>
      </c>
      <c r="C79" s="631">
        <f>'[5]T. Bill rates'!G73</f>
        <v>3.9850000000000003E-2</v>
      </c>
      <c r="D79" s="631">
        <f>'[5]S&amp;P 500 &amp; Raw Data'!F70</f>
        <v>-8.0366555509985921E-2</v>
      </c>
      <c r="E79" s="615">
        <f t="shared" si="7"/>
        <v>45073.144068086905</v>
      </c>
      <c r="F79" s="615">
        <f t="shared" si="7"/>
        <v>1180.0662979712588</v>
      </c>
      <c r="G79" s="615">
        <f t="shared" si="7"/>
        <v>2006.4259659479505</v>
      </c>
      <c r="H79" s="632">
        <f t="shared" si="8"/>
        <v>-2.6590793225426106E-2</v>
      </c>
      <c r="I79" s="631">
        <f t="shared" si="9"/>
        <v>9.3625762284559821E-2</v>
      </c>
      <c r="J79" s="632">
        <f t="shared" si="5"/>
        <v>4.9718636171719899E-2</v>
      </c>
    </row>
    <row r="80" spans="1:10">
      <c r="A80" s="630">
        <v>1995</v>
      </c>
      <c r="B80" s="631">
        <f>('[5]S&amp;P 500 &amp; Raw Data'!B71-'[5]S&amp;P 500 &amp; Raw Data'!B70+'[5]S&amp;P 500 &amp; Raw Data'!C71)/'[5]S&amp;P 500 &amp; Raw Data'!B70</f>
        <v>0.37195198902606308</v>
      </c>
      <c r="C80" s="631">
        <f>'[5]T. Bill rates'!G74</f>
        <v>5.5150000000000005E-2</v>
      </c>
      <c r="D80" s="631">
        <f>'[5]S&amp;P 500 &amp; Raw Data'!F71</f>
        <v>0.23480780112538907</v>
      </c>
      <c r="E80" s="615">
        <f t="shared" si="7"/>
        <v>61838.189655870119</v>
      </c>
      <c r="F80" s="615">
        <f t="shared" si="7"/>
        <v>1245.1469543043738</v>
      </c>
      <c r="G80" s="615">
        <f t="shared" si="7"/>
        <v>2477.5504351330737</v>
      </c>
      <c r="H80" s="632">
        <f t="shared" si="8"/>
        <v>0.31680198902606305</v>
      </c>
      <c r="I80" s="631">
        <f t="shared" si="9"/>
        <v>0.13714418790067401</v>
      </c>
      <c r="J80" s="632">
        <f t="shared" si="5"/>
        <v>5.0791451119413633E-2</v>
      </c>
    </row>
    <row r="81" spans="1:10">
      <c r="A81" s="630">
        <v>1996</v>
      </c>
      <c r="B81" s="631">
        <f>('[5]S&amp;P 500 &amp; Raw Data'!B72-'[5]S&amp;P 500 &amp; Raw Data'!B71+'[5]S&amp;P 500 &amp; Raw Data'!C72)/'[5]S&amp;P 500 &amp; Raw Data'!B71</f>
        <v>0.22680966018865789</v>
      </c>
      <c r="C81" s="631">
        <f>'[5]T. Bill rates'!G75</f>
        <v>5.0224999999999999E-2</v>
      </c>
      <c r="D81" s="631">
        <f>'[5]S&amp;P 500 &amp; Raw Data'!F72</f>
        <v>1.428607793401844E-2</v>
      </c>
      <c r="E81" s="615">
        <f t="shared" si="7"/>
        <v>75863.688438399797</v>
      </c>
      <c r="F81" s="615">
        <f t="shared" si="7"/>
        <v>1307.684460084311</v>
      </c>
      <c r="G81" s="615">
        <f t="shared" si="7"/>
        <v>2512.9449137348461</v>
      </c>
      <c r="H81" s="632">
        <f t="shared" si="8"/>
        <v>0.1765846601886579</v>
      </c>
      <c r="I81" s="631">
        <f t="shared" si="9"/>
        <v>0.21252358225463946</v>
      </c>
      <c r="J81" s="632">
        <f t="shared" si="5"/>
        <v>5.304503967737495E-2</v>
      </c>
    </row>
    <row r="82" spans="1:10">
      <c r="A82" s="630">
        <v>1997</v>
      </c>
      <c r="B82" s="631">
        <f>('[5]S&amp;P 500 &amp; Raw Data'!B73-'[5]S&amp;P 500 &amp; Raw Data'!B72+'[5]S&amp;P 500 &amp; Raw Data'!C73)/'[5]S&amp;P 500 &amp; Raw Data'!B72</f>
        <v>0.33103653103653097</v>
      </c>
      <c r="C82" s="631">
        <f>'[5]T. Bill rates'!G76</f>
        <v>5.0525E-2</v>
      </c>
      <c r="D82" s="631">
        <f>'[5]S&amp;P 500 &amp; Raw Data'!F73</f>
        <v>9.939130272977531E-2</v>
      </c>
      <c r="E82" s="615">
        <f t="shared" si="7"/>
        <v>100977.34069068384</v>
      </c>
      <c r="F82" s="615">
        <f t="shared" si="7"/>
        <v>1373.7552174300708</v>
      </c>
      <c r="G82" s="615">
        <f t="shared" si="7"/>
        <v>2762.7097823991153</v>
      </c>
      <c r="H82" s="632">
        <f t="shared" si="8"/>
        <v>0.28051153103653098</v>
      </c>
      <c r="I82" s="631">
        <f t="shared" si="9"/>
        <v>0.23164522830675566</v>
      </c>
      <c r="J82" s="632">
        <f t="shared" si="5"/>
        <v>5.5315584903303572E-2</v>
      </c>
    </row>
    <row r="83" spans="1:10">
      <c r="A83" s="630">
        <v>1998</v>
      </c>
      <c r="B83" s="631">
        <f>('[5]S&amp;P 500 &amp; Raw Data'!B74-'[5]S&amp;P 500 &amp; Raw Data'!B73+'[5]S&amp;P 500 &amp; Raw Data'!C74)/'[5]S&amp;P 500 &amp; Raw Data'!B73</f>
        <v>0.28337953278443584</v>
      </c>
      <c r="C83" s="631">
        <f>'[5]T. Bill rates'!G77</f>
        <v>4.7274999999999998E-2</v>
      </c>
      <c r="D83" s="631">
        <f>'[5]S&amp;P 500 &amp; Raw Data'!F74</f>
        <v>0.14921431922606215</v>
      </c>
      <c r="E83" s="615">
        <f t="shared" si="7"/>
        <v>129592.25231742462</v>
      </c>
      <c r="F83" s="615">
        <f t="shared" si="7"/>
        <v>1438.6994953340775</v>
      </c>
      <c r="G83" s="615">
        <f t="shared" si="7"/>
        <v>3174.9456417989818</v>
      </c>
      <c r="H83" s="632">
        <f t="shared" si="8"/>
        <v>0.23610453278443583</v>
      </c>
      <c r="I83" s="631">
        <f t="shared" si="9"/>
        <v>0.13416521355837369</v>
      </c>
      <c r="J83" s="632">
        <f t="shared" si="5"/>
        <v>5.6306048135548625E-2</v>
      </c>
    </row>
    <row r="84" spans="1:10">
      <c r="A84" s="630">
        <v>1999</v>
      </c>
      <c r="B84" s="631">
        <f>('[5]S&amp;P 500 &amp; Raw Data'!B75-'[5]S&amp;P 500 &amp; Raw Data'!B74+'[5]S&amp;P 500 &amp; Raw Data'!C75)/'[5]S&amp;P 500 &amp; Raw Data'!B74</f>
        <v>0.20885350992084475</v>
      </c>
      <c r="C84" s="631">
        <f>'[5]T. Bill rates'!G78</f>
        <v>4.5100000000000001E-2</v>
      </c>
      <c r="D84" s="631">
        <f>'[5]S&amp;P 500 &amp; Raw Data'!F75</f>
        <v>-8.2542147962685761E-2</v>
      </c>
      <c r="E84" s="615">
        <f t="shared" si="7"/>
        <v>156658.0490724665</v>
      </c>
      <c r="F84" s="615">
        <f t="shared" si="7"/>
        <v>1503.5848425736442</v>
      </c>
      <c r="G84" s="615">
        <f t="shared" si="7"/>
        <v>2912.8788088601259</v>
      </c>
      <c r="H84" s="632">
        <f t="shared" si="8"/>
        <v>0.16375350992084475</v>
      </c>
      <c r="I84" s="631">
        <f t="shared" si="9"/>
        <v>0.2913956578835305</v>
      </c>
      <c r="J84" s="632">
        <f t="shared" si="5"/>
        <v>5.9634694818320177E-2</v>
      </c>
    </row>
    <row r="85" spans="1:10">
      <c r="A85" s="630">
        <v>2000</v>
      </c>
      <c r="B85" s="631">
        <f>('[5]S&amp;P 500 &amp; Raw Data'!B76-'[5]S&amp;P 500 &amp; Raw Data'!B75+'[5]S&amp;P 500 &amp; Raw Data'!C76)/'[5]S&amp;P 500 &amp; Raw Data'!B75</f>
        <v>-9.0318189552492781E-2</v>
      </c>
      <c r="C85" s="631">
        <f>'[5]T. Bill rates'!G79</f>
        <v>5.7625000000000003E-2</v>
      </c>
      <c r="D85" s="631">
        <f>'[5]S&amp;P 500 &amp; Raw Data'!F76</f>
        <v>0.16655267125397488</v>
      </c>
      <c r="E85" s="615">
        <f t="shared" si="7"/>
        <v>142508.97770141574</v>
      </c>
      <c r="F85" s="615">
        <f t="shared" si="7"/>
        <v>1590.2289191269506</v>
      </c>
      <c r="G85" s="615">
        <f t="shared" si="7"/>
        <v>3398.0265555148762</v>
      </c>
      <c r="H85" s="632">
        <f t="shared" si="8"/>
        <v>-0.14794318955249278</v>
      </c>
      <c r="I85" s="631">
        <f t="shared" si="9"/>
        <v>-0.25687086080646765</v>
      </c>
      <c r="J85" s="632">
        <f t="shared" si="5"/>
        <v>5.5111895842923087E-2</v>
      </c>
    </row>
    <row r="86" spans="1:10">
      <c r="A86" s="630">
        <v>2001</v>
      </c>
      <c r="B86" s="631">
        <f>('[5]S&amp;P 500 &amp; Raw Data'!B77-'[5]S&amp;P 500 &amp; Raw Data'!B76+'[5]S&amp;P 500 &amp; Raw Data'!C77)/'[5]S&amp;P 500 &amp; Raw Data'!B76</f>
        <v>-0.11849759142000185</v>
      </c>
      <c r="C86" s="631">
        <f>'[5]T. Bill rates'!G80</f>
        <v>3.6725000000000001E-2</v>
      </c>
      <c r="D86" s="631">
        <f>'[5]S&amp;P 500 &amp; Raw Data'!F77</f>
        <v>5.5721811892492555E-2</v>
      </c>
      <c r="E86" s="615">
        <f t="shared" si="7"/>
        <v>125622.00708807123</v>
      </c>
      <c r="F86" s="615">
        <f t="shared" si="7"/>
        <v>1648.6300761818877</v>
      </c>
      <c r="G86" s="615">
        <f t="shared" si="7"/>
        <v>3587.3707520469702</v>
      </c>
      <c r="H86" s="632">
        <f t="shared" si="8"/>
        <v>-0.15522259142000186</v>
      </c>
      <c r="I86" s="631">
        <f t="shared" si="9"/>
        <v>-0.17421940331249441</v>
      </c>
      <c r="J86" s="632">
        <f t="shared" si="5"/>
        <v>5.1665345512908356E-2</v>
      </c>
    </row>
    <row r="87" spans="1:10">
      <c r="A87" s="630">
        <v>2002</v>
      </c>
      <c r="B87" s="631">
        <f>('[5]S&amp;P 500 &amp; Raw Data'!B78-'[5]S&amp;P 500 &amp; Raw Data'!B77+'[5]S&amp;P 500 &amp; Raw Data'!C78)/'[5]S&amp;P 500 &amp; Raw Data'!B77</f>
        <v>-0.21966047957912699</v>
      </c>
      <c r="C87" s="631">
        <f>'[5]T. Bill rates'!G81</f>
        <v>1.6574999999999999E-2</v>
      </c>
      <c r="D87" s="631">
        <f>'[5]S&amp;P 500 &amp; Raw Data'!F78</f>
        <v>0.15116400378109285</v>
      </c>
      <c r="E87" s="615">
        <f t="shared" si="7"/>
        <v>98027.816765413008</v>
      </c>
      <c r="F87" s="615">
        <f t="shared" si="7"/>
        <v>1675.9561196946024</v>
      </c>
      <c r="G87" s="615">
        <f t="shared" si="7"/>
        <v>4129.6520779735802</v>
      </c>
      <c r="H87" s="632">
        <f t="shared" si="8"/>
        <v>-0.23623547957912699</v>
      </c>
      <c r="I87" s="631">
        <f t="shared" si="9"/>
        <v>-0.37082448336021984</v>
      </c>
      <c r="J87" s="632">
        <f t="shared" si="5"/>
        <v>4.5325449773477855E-2</v>
      </c>
    </row>
    <row r="88" spans="1:10">
      <c r="A88" s="630">
        <v>2003</v>
      </c>
      <c r="B88" s="631">
        <f>('[5]S&amp;P 500 &amp; Raw Data'!B79-'[5]S&amp;P 500 &amp; Raw Data'!B78+'[5]S&amp;P 500 &amp; Raw Data'!C79)/'[5]S&amp;P 500 &amp; Raw Data'!B78</f>
        <v>0.28355800050010233</v>
      </c>
      <c r="C88" s="631">
        <f>'[5]T. Bill rates'!G82</f>
        <v>1.03E-2</v>
      </c>
      <c r="D88" s="631">
        <f>'[5]S&amp;P 500 &amp; Raw Data'!F79</f>
        <v>3.7531858817758529E-3</v>
      </c>
      <c r="E88" s="615">
        <f t="shared" si="7"/>
        <v>125824.38848080393</v>
      </c>
      <c r="F88" s="615">
        <f t="shared" si="7"/>
        <v>1693.2184677274568</v>
      </c>
      <c r="G88" s="615">
        <f t="shared" si="7"/>
        <v>4145.1514298492766</v>
      </c>
      <c r="H88" s="632">
        <f t="shared" si="8"/>
        <v>0.27325800050010235</v>
      </c>
      <c r="I88" s="631">
        <f t="shared" si="9"/>
        <v>0.27980481461832646</v>
      </c>
      <c r="J88" s="632">
        <f t="shared" si="5"/>
        <v>4.8237796117156506E-2</v>
      </c>
    </row>
    <row r="89" spans="1:10">
      <c r="A89" s="630">
        <v>2004</v>
      </c>
      <c r="B89" s="631">
        <f>('[5]S&amp;P 500 &amp; Raw Data'!B80-'[5]S&amp;P 500 &amp; Raw Data'!B79+'[5]S&amp;P 500 &amp; Raw Data'!C80)/'[5]S&amp;P 500 &amp; Raw Data'!B79</f>
        <v>0.10742775944096193</v>
      </c>
      <c r="C89" s="631">
        <f>'[5]T. Bill rates'!G83</f>
        <v>1.2275000000000001E-2</v>
      </c>
      <c r="D89" s="631">
        <f>'[5]S&amp;P 500 &amp; Raw Data'!F80</f>
        <v>4.490683702274547E-2</v>
      </c>
      <c r="E89" s="615">
        <f t="shared" si="7"/>
        <v>139341.42061832585</v>
      </c>
      <c r="F89" s="615">
        <f t="shared" si="7"/>
        <v>1714.0027244188113</v>
      </c>
      <c r="G89" s="615">
        <f t="shared" si="7"/>
        <v>4331.2970695441181</v>
      </c>
      <c r="H89" s="632">
        <f t="shared" si="8"/>
        <v>9.5152759440961937E-2</v>
      </c>
      <c r="I89" s="631">
        <f t="shared" si="9"/>
        <v>6.2520922418216468E-2</v>
      </c>
      <c r="J89" s="632">
        <f t="shared" si="5"/>
        <v>4.842299846885445E-2</v>
      </c>
    </row>
    <row r="90" spans="1:10">
      <c r="A90" s="630">
        <v>2005</v>
      </c>
      <c r="B90" s="631">
        <f>('[5]S&amp;P 500 &amp; Raw Data'!B81-'[5]S&amp;P 500 &amp; Raw Data'!B80+'[5]S&amp;P 500 &amp; Raw Data'!C81)/'[5]S&amp;P 500 &amp; Raw Data'!B80</f>
        <v>4.8344775232688535E-2</v>
      </c>
      <c r="C90" s="631">
        <f>'[5]T. Bill rates'!G84</f>
        <v>3.0099999999999998E-2</v>
      </c>
      <c r="D90" s="631">
        <f>'[5]S&amp;P 500 &amp; Raw Data'!F81</f>
        <v>2.8675329597779506E-2</v>
      </c>
      <c r="E90" s="615">
        <f t="shared" si="7"/>
        <v>146077.8502787223</v>
      </c>
      <c r="F90" s="615">
        <f t="shared" si="7"/>
        <v>1765.5942064238177</v>
      </c>
      <c r="G90" s="615">
        <f t="shared" si="7"/>
        <v>4455.4984405991927</v>
      </c>
      <c r="H90" s="632">
        <f t="shared" si="8"/>
        <v>1.8244775232688536E-2</v>
      </c>
      <c r="I90" s="631">
        <f t="shared" si="9"/>
        <v>1.9669445634909029E-2</v>
      </c>
      <c r="J90" s="632">
        <f t="shared" si="5"/>
        <v>4.8042189402255131E-2</v>
      </c>
    </row>
    <row r="91" spans="1:10">
      <c r="A91" s="630">
        <v>2006</v>
      </c>
      <c r="B91" s="631">
        <f>('[5]S&amp;P 500 &amp; Raw Data'!B82-'[5]S&amp;P 500 &amp; Raw Data'!B81+'[5]S&amp;P 500 &amp; Raw Data'!C82)/'[5]S&amp;P 500 &amp; Raw Data'!B81</f>
        <v>0.15612557979315703</v>
      </c>
      <c r="C91" s="631">
        <f>'[5]T. Bill rates'!G85</f>
        <v>4.6775000000000004E-2</v>
      </c>
      <c r="D91" s="631">
        <f>'[5]S&amp;P 500 &amp; Raw Data'!F82</f>
        <v>1.9610012417568386E-2</v>
      </c>
      <c r="E91" s="615">
        <f t="shared" si="7"/>
        <v>168884.33934842583</v>
      </c>
      <c r="F91" s="615">
        <f t="shared" si="7"/>
        <v>1848.1798754292918</v>
      </c>
      <c r="G91" s="615">
        <f t="shared" si="7"/>
        <v>4542.8708203458</v>
      </c>
      <c r="H91" s="632">
        <f t="shared" si="8"/>
        <v>0.10935057979315702</v>
      </c>
      <c r="I91" s="631">
        <f t="shared" si="9"/>
        <v>0.13651556737558865</v>
      </c>
      <c r="J91" s="632">
        <f t="shared" si="5"/>
        <v>4.9149036004805913E-2</v>
      </c>
    </row>
    <row r="92" spans="1:10">
      <c r="A92" s="630">
        <v>2007</v>
      </c>
      <c r="B92" s="631">
        <f>('[5]S&amp;P 500 &amp; Raw Data'!B83-'[5]S&amp;P 500 &amp; Raw Data'!B82+'[5]S&amp;P 500 &amp; Raw Data'!C83)/'[5]S&amp;P 500 &amp; Raw Data'!B82</f>
        <v>5.4847352464217694E-2</v>
      </c>
      <c r="C92" s="631">
        <f>'[5]T. Bill rates'!G86</f>
        <v>4.6425000000000001E-2</v>
      </c>
      <c r="D92" s="631">
        <f>'[5]S&amp;P 500 &amp; Raw Data'!F83</f>
        <v>0.10209921930012807</v>
      </c>
      <c r="E92" s="615">
        <f t="shared" si="7"/>
        <v>178147.19823435548</v>
      </c>
      <c r="F92" s="615">
        <f t="shared" si="7"/>
        <v>1933.9816261460965</v>
      </c>
      <c r="G92" s="615">
        <f t="shared" si="7"/>
        <v>5006.6943844844382</v>
      </c>
      <c r="H92" s="632">
        <f t="shared" si="8"/>
        <v>8.4223524642176931E-3</v>
      </c>
      <c r="I92" s="631">
        <f t="shared" si="9"/>
        <v>-4.7251866835910372E-2</v>
      </c>
      <c r="J92" s="632">
        <f t="shared" si="5"/>
        <v>4.7948712238125024E-2</v>
      </c>
    </row>
    <row r="93" spans="1:10">
      <c r="A93" s="630">
        <v>2008</v>
      </c>
      <c r="B93" s="631">
        <f>('[5]S&amp;P 500 &amp; Raw Data'!B84-'[5]S&amp;P 500 &amp; Raw Data'!B83+'[5]S&amp;P 500 &amp; Raw Data'!C84)/'[5]S&amp;P 500 &amp; Raw Data'!B83</f>
        <v>-0.36552344111798191</v>
      </c>
      <c r="C93" s="631">
        <f>'[5]T. Bill rates'!G87</f>
        <v>1.585E-2</v>
      </c>
      <c r="D93" s="631">
        <f>'[5]S&amp;P 500 &amp; Raw Data'!F84</f>
        <v>0.20101279926977011</v>
      </c>
      <c r="E93" s="615">
        <f t="shared" si="7"/>
        <v>113030.22131020659</v>
      </c>
      <c r="F93" s="615">
        <f t="shared" si="7"/>
        <v>1964.6352349205119</v>
      </c>
      <c r="G93" s="615">
        <f t="shared" si="7"/>
        <v>6013.1040377978934</v>
      </c>
      <c r="H93" s="632">
        <f t="shared" si="8"/>
        <v>-0.38137344111798188</v>
      </c>
      <c r="I93" s="631">
        <f t="shared" si="9"/>
        <v>-0.56653624038775208</v>
      </c>
      <c r="J93" s="632">
        <f t="shared" si="5"/>
        <v>3.8795868868689798E-2</v>
      </c>
    </row>
    <row r="94" spans="1:10">
      <c r="A94" s="630">
        <v>2009</v>
      </c>
      <c r="B94" s="631">
        <f>('[5]S&amp;P 500 &amp; Raw Data'!B85-'[5]S&amp;P 500 &amp; Raw Data'!B84+'[5]S&amp;P 500 &amp; Raw Data'!C85)/'[5]S&amp;P 500 &amp; Raw Data'!B84</f>
        <v>0.25935233877663982</v>
      </c>
      <c r="C94" s="631">
        <f>'[5]T. Bill rates'!G88</f>
        <v>1.3500000000000001E-3</v>
      </c>
      <c r="D94" s="631">
        <f>'[5]S&amp;P 500 &amp; Raw Data'!F85</f>
        <v>-0.11116695313259162</v>
      </c>
      <c r="E94" s="615">
        <f t="shared" ref="E94:G96" si="10">E93*(1+B94)</f>
        <v>142344.87355944986</v>
      </c>
      <c r="F94" s="615">
        <f t="shared" si="10"/>
        <v>1967.2874924876546</v>
      </c>
      <c r="G94" s="615">
        <f t="shared" si="10"/>
        <v>5344.6455830466175</v>
      </c>
      <c r="H94" s="632">
        <f>B94-C94</f>
        <v>0.25800233877663981</v>
      </c>
      <c r="I94" s="631">
        <f>B94-D94</f>
        <v>0.37051929190923144</v>
      </c>
      <c r="J94" s="632">
        <f t="shared" si="5"/>
        <v>4.2868506133348472E-2</v>
      </c>
    </row>
    <row r="95" spans="1:10">
      <c r="A95" s="630">
        <v>2010</v>
      </c>
      <c r="B95" s="631">
        <f>('[5]S&amp;P 500 &amp; Raw Data'!B86-'[5]S&amp;P 500 &amp; Raw Data'!B85+'[5]S&amp;P 500 &amp; Raw Data'!C86)/'[5]S&amp;P 500 &amp; Raw Data'!B85</f>
        <v>0.14821092278719414</v>
      </c>
      <c r="C95" s="631">
        <v>1.2999999999999999E-3</v>
      </c>
      <c r="D95" s="631">
        <f>'[5]S&amp;P 500 &amp; Raw Data'!F86</f>
        <v>8.4629338803557719E-2</v>
      </c>
      <c r="E95" s="615">
        <f t="shared" si="10"/>
        <v>163441.93862372241</v>
      </c>
      <c r="F95" s="615">
        <f t="shared" si="10"/>
        <v>1969.8449662278888</v>
      </c>
      <c r="G95" s="615">
        <f>G94*(1+D95)</f>
        <v>5796.9594048792078</v>
      </c>
      <c r="H95" s="632">
        <f>B95-C95</f>
        <v>0.14691092278719414</v>
      </c>
      <c r="I95" s="631">
        <f>B95-D95</f>
        <v>6.3581583983636419E-2</v>
      </c>
      <c r="J95" s="632">
        <f>((E95/100)^(1/(A95-$A$13+1)))-((G95/100)^(1/(A95-$A$13+1)))</f>
        <v>4.3108516433475463E-2</v>
      </c>
    </row>
    <row r="96" spans="1:10">
      <c r="A96" s="630">
        <v>2011</v>
      </c>
      <c r="B96" s="631">
        <f>('[5]S&amp;P 500 &amp; Raw Data'!B87-'[5]S&amp;P 500 &amp; Raw Data'!B86+'[5]S&amp;P 500 &amp; Raw Data'!C87)/'[5]S&amp;P 500 &amp; Raw Data'!B86</f>
        <v>2.09837473362805E-2</v>
      </c>
      <c r="C96" s="631">
        <v>2.9999999999999997E-4</v>
      </c>
      <c r="D96" s="631">
        <f>'[5]S&amp;P 500 &amp; Raw Data'!F87</f>
        <v>0.16035334999461354</v>
      </c>
      <c r="E96" s="615">
        <f t="shared" si="10"/>
        <v>166871.56296795449</v>
      </c>
      <c r="F96" s="615">
        <f t="shared" si="10"/>
        <v>1970.4359197177571</v>
      </c>
      <c r="G96" s="615">
        <f>G95*(1+D96)</f>
        <v>6726.5212652343698</v>
      </c>
      <c r="H96" s="632">
        <f>B96-C96</f>
        <v>2.0683747336280499E-2</v>
      </c>
      <c r="I96" s="631">
        <f>B96-D96</f>
        <v>-0.13936960265833304</v>
      </c>
      <c r="J96" s="632">
        <f>((E96/100)^(1/(A96-$A$13+1)))-((G96/100)^(1/(A96-$A$13+1)))</f>
        <v>4.0970429004248521E-2</v>
      </c>
    </row>
    <row r="97" spans="1:10">
      <c r="A97" s="630">
        <v>2012</v>
      </c>
      <c r="B97" s="631">
        <f>('[5]S&amp;P 500 &amp; Raw Data'!B88-'[5]S&amp;P 500 &amp; Raw Data'!B87+'[5]S&amp;P 500 &amp; Raw Data'!C88)/'[5]S&amp;P 500 &amp; Raw Data'!B87</f>
        <v>0.15890585241730293</v>
      </c>
      <c r="C97" s="631">
        <v>5.0000000000000001E-4</v>
      </c>
      <c r="D97" s="631">
        <f>'[5]S&amp;P 500 &amp; Raw Data'!F88</f>
        <v>2.971571978018946E-2</v>
      </c>
      <c r="E97" s="615">
        <f>E96*(1+B97)</f>
        <v>193388.43092558492</v>
      </c>
      <c r="F97" s="615">
        <f>F96*(1+C97)</f>
        <v>1971.4211376776159</v>
      </c>
      <c r="G97" s="615">
        <f>G96*(1+D97)</f>
        <v>6926.4046862475598</v>
      </c>
      <c r="H97" s="632">
        <f>B97-C97</f>
        <v>0.15840585241730293</v>
      </c>
      <c r="I97" s="631">
        <f>B97-D97</f>
        <v>0.12919013263711346</v>
      </c>
      <c r="J97" s="632">
        <f>((E97/100)^(1/(A97-$A$13+1)))-((G97/100)^(1/(A97-$A$13+1)))</f>
        <v>4.1988275684727405E-2</v>
      </c>
    </row>
    <row r="98" spans="1:10">
      <c r="A98" s="633">
        <v>2013</v>
      </c>
      <c r="B98" s="631">
        <f>('[5]S&amp;P 500 &amp; Raw Data'!B89-'[5]S&amp;P 500 &amp; Raw Data'!B88+'[5]S&amp;P 500 &amp; Raw Data'!C89)/'[5]S&amp;P 500 &amp; Raw Data'!B88</f>
        <v>0.32145085858125483</v>
      </c>
      <c r="C98" s="634">
        <v>6.6E-4</v>
      </c>
      <c r="D98" s="631">
        <f>'[5]S&amp;P 500 &amp; Raw Data'!F89</f>
        <v>-9.104568794347262E-2</v>
      </c>
      <c r="E98" s="615">
        <f>E97*(1+B98)</f>
        <v>255553.30808629587</v>
      </c>
      <c r="F98" s="615">
        <f>F97*(1+C98)</f>
        <v>1972.7222756284834</v>
      </c>
      <c r="G98" s="615">
        <f>G97*(1+D98)</f>
        <v>6295.7854066132577</v>
      </c>
      <c r="H98" s="632">
        <f>B98-C98</f>
        <v>0.32079085858125483</v>
      </c>
      <c r="I98" s="631">
        <f>B98-D98</f>
        <v>0.41249654652472745</v>
      </c>
      <c r="J98" s="632">
        <f>((E98/100)^(1/(A98-$A$13+1)))-((G98/100)^(1/(A98-$A$13+1)))</f>
        <v>4.6176809418723153E-2</v>
      </c>
    </row>
    <row r="99" spans="1:10">
      <c r="F99" s="683" t="s">
        <v>1134</v>
      </c>
      <c r="G99" s="684"/>
      <c r="H99" s="685" t="s">
        <v>1135</v>
      </c>
      <c r="I99" s="685"/>
    </row>
    <row r="100" spans="1:10">
      <c r="A100" s="635" t="s">
        <v>1136</v>
      </c>
      <c r="B100" s="636"/>
      <c r="C100" s="636"/>
      <c r="D100" s="636"/>
      <c r="F100" s="637" t="s">
        <v>1137</v>
      </c>
      <c r="G100" s="637" t="s">
        <v>1138</v>
      </c>
      <c r="H100" s="637" t="s">
        <v>1137</v>
      </c>
      <c r="I100" s="637" t="s">
        <v>1138</v>
      </c>
    </row>
    <row r="101" spans="1:10">
      <c r="A101" s="638" t="s">
        <v>1139</v>
      </c>
      <c r="B101" s="639">
        <f>AVERAGE(B13:B98)</f>
        <v>0.11504321109516362</v>
      </c>
      <c r="C101" s="639">
        <f>AVERAGE(C13:C98)</f>
        <v>3.5720755813953488E-2</v>
      </c>
      <c r="D101" s="639">
        <f>AVERAGE(D13:D98)</f>
        <v>5.2130670342610257E-2</v>
      </c>
      <c r="F101" s="640">
        <f>B101-C101</f>
        <v>7.9322455281210125E-2</v>
      </c>
      <c r="G101" s="640">
        <f>B101-D101</f>
        <v>6.291254075255337E-2</v>
      </c>
      <c r="H101" s="640">
        <f>STDEV(H13:H98)/(($A$98-$A$13+1)^0.5)</f>
        <v>2.1936449224685056E-2</v>
      </c>
      <c r="I101" s="640">
        <f>STDEV(I13:I98)/(($A$98-$A$13+1)^0.5)</f>
        <v>2.3417682269400355E-2</v>
      </c>
    </row>
    <row r="102" spans="1:10">
      <c r="A102" s="638" t="s">
        <v>1140</v>
      </c>
      <c r="B102" s="643">
        <f>AVERAGE(B49:B98)</f>
        <v>0.11291884605940578</v>
      </c>
      <c r="C102" s="639">
        <f>AVERAGE(C49:C98)</f>
        <v>5.1094199999999999E-2</v>
      </c>
      <c r="D102" s="643">
        <f>AVERAGE(D49:D98)</f>
        <v>6.97231673210231E-2</v>
      </c>
      <c r="F102" s="640">
        <f>B102-C102</f>
        <v>6.1824646059405776E-2</v>
      </c>
      <c r="G102" s="640">
        <f>B102-D102</f>
        <v>4.3195678738382676E-2</v>
      </c>
      <c r="H102" s="640">
        <f>STDEV(H49:H98)/(($A$98-$A$49+1)^0.5)</f>
        <v>2.4221579994127187E-2</v>
      </c>
      <c r="I102" s="640">
        <f>STDEV(I49:I98)/(($A$98-$A$49+1)^0.5)</f>
        <v>2.7469720879127288E-2</v>
      </c>
    </row>
    <row r="103" spans="1:10">
      <c r="A103" s="638" t="s">
        <v>1141</v>
      </c>
      <c r="B103" s="639">
        <f>AVERAGE(B89:B98)</f>
        <v>9.1012574571171553E-2</v>
      </c>
      <c r="C103" s="639">
        <f>AVERAGE(C89:C98)</f>
        <v>1.5553499999999998E-2</v>
      </c>
      <c r="D103" s="639">
        <f>AVERAGE(D89:D98)</f>
        <v>4.6878996511028795E-2</v>
      </c>
      <c r="F103" s="640">
        <f>B103-C103</f>
        <v>7.5459074571171555E-2</v>
      </c>
      <c r="G103" s="640">
        <f>B103-D103</f>
        <v>4.4133578060142759E-2</v>
      </c>
      <c r="H103" s="640">
        <f>STDEV(H89:H98)/(($A$98-$A$89+1)^0.5)</f>
        <v>6.0230614169860072E-2</v>
      </c>
      <c r="I103" s="640">
        <f>STDEV(I89:I98)/(($A$98-$A$89+1)^0.5)</f>
        <v>8.6554101086821739E-2</v>
      </c>
    </row>
    <row r="104" spans="1:10">
      <c r="F104" s="641" t="s">
        <v>1134</v>
      </c>
    </row>
    <row r="105" spans="1:10">
      <c r="A105" s="642" t="s">
        <v>1142</v>
      </c>
      <c r="F105" s="637" t="s">
        <v>1137</v>
      </c>
      <c r="G105" s="637" t="s">
        <v>1138</v>
      </c>
    </row>
    <row r="106" spans="1:10">
      <c r="A106" s="638" t="s">
        <v>1139</v>
      </c>
      <c r="B106" s="616">
        <f>(E98/100)^(1/(A98-A13+1))-1</f>
        <v>9.5523953987199262E-2</v>
      </c>
      <c r="C106" s="616">
        <f>(F98/100)^(1/(A98-A13+1))-1</f>
        <v>3.5282579727851759E-2</v>
      </c>
      <c r="D106" s="616">
        <f>(G98/100)^(1/(A98-A13+1))-1</f>
        <v>4.9347144568476109E-2</v>
      </c>
      <c r="F106" s="640">
        <f>B106-C106</f>
        <v>6.0241374259347502E-2</v>
      </c>
      <c r="G106" s="640">
        <f>B106-D106</f>
        <v>4.6176809418723153E-2</v>
      </c>
    </row>
    <row r="107" spans="1:10">
      <c r="A107" s="638" t="s">
        <v>1140</v>
      </c>
      <c r="B107" s="616">
        <f>(E98/E48)^(1/($A$98-$A$48))-1</f>
        <v>9.8927060010666201E-2</v>
      </c>
      <c r="C107" s="616">
        <f>(F98/F48)^(1/($A$98-$A$48))-1</f>
        <v>5.0660800420806673E-2</v>
      </c>
      <c r="D107" s="616">
        <f>(G98/G48)^(1/($A$98-$A$48))-1</f>
        <v>6.5591232972045388E-2</v>
      </c>
      <c r="F107" s="640">
        <f>B107-C107</f>
        <v>4.8266259589859528E-2</v>
      </c>
      <c r="G107" s="640">
        <f>B107-D107</f>
        <v>3.3335827038620813E-2</v>
      </c>
    </row>
    <row r="108" spans="1:10">
      <c r="A108" s="638" t="s">
        <v>1141</v>
      </c>
      <c r="B108" s="616">
        <f>(E98/E88)^(1/($A$98-$A$88))-1</f>
        <v>7.3424906380343158E-2</v>
      </c>
      <c r="C108" s="616">
        <f>(F98/F88)^(1/($A$98-$A$88))-1</f>
        <v>1.5395642190718428E-2</v>
      </c>
      <c r="D108" s="616">
        <f>(G98/G88)^(1/($A$98-$A$88))-1</f>
        <v>4.2679779872064394E-2</v>
      </c>
      <c r="F108" s="640">
        <f>B108-C108</f>
        <v>5.802926418962473E-2</v>
      </c>
      <c r="G108" s="640">
        <f>B108-D108</f>
        <v>3.0745126508278764E-2</v>
      </c>
    </row>
  </sheetData>
  <mergeCells count="2">
    <mergeCell ref="F99:G99"/>
    <mergeCell ref="H99:I99"/>
  </mergeCells>
  <printOptions gridLines="1" gridLinesSet="0"/>
  <pageMargins left="0.75" right="0.75" top="1" bottom="1" header="0.5" footer="0.5"/>
  <pageSetup orientation="portrait" horizontalDpi="4294967292" verticalDpi="4294967292"/>
  <headerFooter alignWithMargins="0">
    <oddHeader>&amp;A</oddHeader>
    <oddFooter>Page &amp;P</oddFooter>
  </headerFooter>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40"/>
  <sheetViews>
    <sheetView showGridLines="0" workbookViewId="0">
      <selection activeCell="H21" sqref="H21"/>
    </sheetView>
  </sheetViews>
  <sheetFormatPr baseColWidth="10" defaultColWidth="10.6640625" defaultRowHeight="11.25"/>
  <cols>
    <col min="1" max="1" width="6.6640625" style="340" bestFit="1" customWidth="1"/>
    <col min="2" max="2" width="9.109375" style="340" bestFit="1" customWidth="1"/>
    <col min="3" max="5" width="10.6640625" style="340" bestFit="1" customWidth="1"/>
    <col min="6" max="6" width="11.33203125" style="340" bestFit="1" customWidth="1"/>
    <col min="7" max="16384" width="10.6640625" style="340"/>
  </cols>
  <sheetData>
    <row r="1" spans="1:6" ht="12.75" customHeight="1">
      <c r="A1" s="691" t="s">
        <v>320</v>
      </c>
      <c r="B1" s="691"/>
      <c r="C1" s="691"/>
      <c r="D1" s="691"/>
      <c r="E1" s="691"/>
      <c r="F1" s="691"/>
    </row>
    <row r="2" spans="1:6" ht="12.75">
      <c r="A2" s="691"/>
      <c r="B2" s="691"/>
      <c r="C2" s="691"/>
      <c r="D2" s="691"/>
      <c r="E2" s="691"/>
      <c r="F2" s="691"/>
    </row>
    <row r="3" spans="1:6" ht="12" thickBot="1">
      <c r="A3" s="692" t="s">
        <v>321</v>
      </c>
      <c r="B3" s="692"/>
      <c r="C3" s="692"/>
      <c r="D3" s="692"/>
      <c r="E3" s="692"/>
      <c r="F3" s="692"/>
    </row>
    <row r="4" spans="1:6" ht="12.75" thickTop="1" thickBot="1">
      <c r="A4" s="693" t="s">
        <v>322</v>
      </c>
      <c r="B4" s="693"/>
      <c r="C4" s="693"/>
      <c r="D4" s="693"/>
      <c r="E4" s="693"/>
      <c r="F4" s="693"/>
    </row>
    <row r="5" spans="1:6">
      <c r="A5" s="341">
        <v>2014</v>
      </c>
      <c r="B5" s="342"/>
      <c r="C5" s="342"/>
      <c r="D5" s="342"/>
      <c r="E5" s="342"/>
      <c r="F5" s="342"/>
    </row>
    <row r="6" spans="1:6" ht="12" thickBot="1">
      <c r="A6" s="343"/>
      <c r="B6" s="688"/>
      <c r="C6" s="689"/>
      <c r="D6" s="689"/>
      <c r="E6" s="689"/>
      <c r="F6" s="690"/>
    </row>
    <row r="7" spans="1:6" ht="12" thickBot="1">
      <c r="A7" s="344" t="s">
        <v>319</v>
      </c>
      <c r="B7" s="345" t="s">
        <v>323</v>
      </c>
      <c r="C7" s="345" t="s">
        <v>324</v>
      </c>
      <c r="D7" s="345" t="s">
        <v>325</v>
      </c>
      <c r="E7" s="345" t="s">
        <v>326</v>
      </c>
      <c r="F7" s="346" t="s">
        <v>327</v>
      </c>
    </row>
    <row r="8" spans="1:6" ht="12" thickBot="1">
      <c r="A8" s="347">
        <v>41785</v>
      </c>
      <c r="B8" s="348">
        <v>1.505E-3</v>
      </c>
      <c r="C8" s="348">
        <v>1.9250000000000001E-3</v>
      </c>
      <c r="D8" s="348">
        <v>2.2935E-3</v>
      </c>
      <c r="E8" s="348">
        <v>3.2390000000000001E-3</v>
      </c>
      <c r="F8" s="349">
        <v>5.3540000000000003E-3</v>
      </c>
    </row>
    <row r="9" spans="1:6" ht="12" thickBot="1">
      <c r="A9" s="347">
        <v>41782</v>
      </c>
      <c r="B9" s="348">
        <v>1.505E-3</v>
      </c>
      <c r="C9" s="348">
        <v>1.9250000000000001E-3</v>
      </c>
      <c r="D9" s="348">
        <v>2.2935E-3</v>
      </c>
      <c r="E9" s="348">
        <v>3.2390000000000001E-3</v>
      </c>
      <c r="F9" s="349">
        <v>5.3540000000000003E-3</v>
      </c>
    </row>
    <row r="10" spans="1:6" ht="12" thickBot="1">
      <c r="A10" s="347">
        <v>41781</v>
      </c>
      <c r="B10" s="348">
        <v>1.5E-3</v>
      </c>
      <c r="C10" s="348">
        <v>1.9250000000000001E-3</v>
      </c>
      <c r="D10" s="348">
        <v>2.2715000000000001E-3</v>
      </c>
      <c r="E10" s="348">
        <v>3.222E-3</v>
      </c>
      <c r="F10" s="349">
        <v>5.3410000000000003E-3</v>
      </c>
    </row>
    <row r="11" spans="1:6" ht="12" thickBot="1">
      <c r="A11" s="347">
        <v>41780</v>
      </c>
      <c r="B11" s="348">
        <v>1.485E-3</v>
      </c>
      <c r="C11" s="348">
        <v>1.9350000000000001E-3</v>
      </c>
      <c r="D11" s="348">
        <v>2.2734999999999999E-3</v>
      </c>
      <c r="E11" s="348">
        <v>3.2339999999999999E-3</v>
      </c>
      <c r="F11" s="349">
        <v>5.3359999999999996E-3</v>
      </c>
    </row>
    <row r="12" spans="1:6" ht="12" thickBot="1">
      <c r="A12" s="347">
        <v>41779</v>
      </c>
      <c r="B12" s="348">
        <v>1.4775000000000001E-3</v>
      </c>
      <c r="C12" s="348">
        <v>1.9095E-3</v>
      </c>
      <c r="D12" s="348">
        <v>2.281E-3</v>
      </c>
      <c r="E12" s="348">
        <v>3.2529999999999998E-3</v>
      </c>
      <c r="F12" s="349">
        <v>5.3460000000000001E-3</v>
      </c>
    </row>
    <row r="13" spans="1:6" ht="12" thickBot="1">
      <c r="A13" s="347">
        <v>41778</v>
      </c>
      <c r="B13" s="348">
        <v>1.485E-3</v>
      </c>
      <c r="C13" s="348">
        <v>1.9120000000000001E-3</v>
      </c>
      <c r="D13" s="348">
        <v>2.2694999999999998E-3</v>
      </c>
      <c r="E13" s="348">
        <v>3.2290000000000001E-3</v>
      </c>
      <c r="F13" s="349">
        <v>5.3460000000000001E-3</v>
      </c>
    </row>
    <row r="14" spans="1:6" ht="12" thickBot="1">
      <c r="A14" s="347">
        <v>41775</v>
      </c>
      <c r="B14" s="348">
        <v>1.4924999999999999E-3</v>
      </c>
      <c r="C14" s="348">
        <v>1.9074999999999999E-3</v>
      </c>
      <c r="D14" s="348">
        <v>2.2859999999999998E-3</v>
      </c>
      <c r="E14" s="348">
        <v>3.2529999999999998E-3</v>
      </c>
      <c r="F14" s="349">
        <v>5.3460000000000001E-3</v>
      </c>
    </row>
    <row r="15" spans="1:6" ht="12" thickBot="1">
      <c r="A15" s="347">
        <v>41774</v>
      </c>
      <c r="B15" s="348">
        <v>1.5100000000000001E-3</v>
      </c>
      <c r="C15" s="348">
        <v>1.9024999999999999E-3</v>
      </c>
      <c r="D15" s="348">
        <v>2.2585000000000001E-3</v>
      </c>
      <c r="E15" s="348">
        <v>3.2390000000000001E-3</v>
      </c>
      <c r="F15" s="349">
        <v>5.3460000000000001E-3</v>
      </c>
    </row>
    <row r="16" spans="1:6" ht="12" thickBot="1">
      <c r="A16" s="347">
        <v>41773</v>
      </c>
      <c r="B16" s="348">
        <v>1.511E-3</v>
      </c>
      <c r="C16" s="348">
        <v>1.9E-3</v>
      </c>
      <c r="D16" s="348">
        <v>2.2534999999999999E-3</v>
      </c>
      <c r="E16" s="348">
        <v>3.2390000000000001E-3</v>
      </c>
      <c r="F16" s="349">
        <v>5.3709999999999999E-3</v>
      </c>
    </row>
    <row r="17" spans="1:6" ht="12" thickBot="1">
      <c r="A17" s="347">
        <v>41772</v>
      </c>
      <c r="B17" s="348">
        <v>1.511E-3</v>
      </c>
      <c r="C17" s="348">
        <v>1.9224999999999999E-3</v>
      </c>
      <c r="D17" s="348">
        <v>2.2385E-3</v>
      </c>
      <c r="E17" s="348">
        <v>3.2290000000000001E-3</v>
      </c>
      <c r="F17" s="349">
        <v>5.3920000000000001E-3</v>
      </c>
    </row>
    <row r="18" spans="1:6" ht="12" thickBot="1">
      <c r="A18" s="347">
        <v>41771</v>
      </c>
      <c r="B18" s="348">
        <v>1.511E-3</v>
      </c>
      <c r="C18" s="348">
        <v>1.9224999999999999E-3</v>
      </c>
      <c r="D18" s="348">
        <v>2.251E-3</v>
      </c>
      <c r="E18" s="348">
        <v>3.2239999999999999E-3</v>
      </c>
      <c r="F18" s="349">
        <v>5.3769999999999998E-3</v>
      </c>
    </row>
    <row r="19" spans="1:6" ht="12" thickBot="1">
      <c r="A19" s="347">
        <v>41768</v>
      </c>
      <c r="B19" s="348">
        <v>1.516E-3</v>
      </c>
      <c r="C19" s="348">
        <v>1.9124999999999999E-3</v>
      </c>
      <c r="D19" s="348">
        <v>2.2409999999999999E-3</v>
      </c>
      <c r="E19" s="348">
        <v>3.2239999999999999E-3</v>
      </c>
      <c r="F19" s="349">
        <v>5.4019999999999997E-3</v>
      </c>
    </row>
    <row r="20" spans="1:6" ht="12" thickBot="1">
      <c r="A20" s="347">
        <v>41767</v>
      </c>
      <c r="B20" s="348">
        <v>1.5024999999999999E-3</v>
      </c>
      <c r="C20" s="348">
        <v>1.9174999999999999E-3</v>
      </c>
      <c r="D20" s="348">
        <v>2.2334999999999998E-3</v>
      </c>
      <c r="E20" s="348">
        <v>3.2339999999999999E-3</v>
      </c>
      <c r="F20" s="349">
        <v>5.4209999999999996E-3</v>
      </c>
    </row>
    <row r="21" spans="1:6" ht="12" thickBot="1">
      <c r="A21" s="347">
        <v>41766</v>
      </c>
      <c r="B21" s="348">
        <v>1.5150000000000001E-3</v>
      </c>
      <c r="C21" s="348">
        <v>1.9124999999999999E-3</v>
      </c>
      <c r="D21" s="348">
        <v>2.2395000000000002E-3</v>
      </c>
      <c r="E21" s="348">
        <v>3.235E-3</v>
      </c>
      <c r="F21" s="349">
        <v>5.4359999999999999E-3</v>
      </c>
    </row>
    <row r="22" spans="1:6" ht="12" thickBot="1">
      <c r="A22" s="347">
        <v>41765</v>
      </c>
      <c r="B22" s="348">
        <v>1.505E-3</v>
      </c>
      <c r="C22" s="348">
        <v>1.8925000000000001E-3</v>
      </c>
      <c r="D22" s="348">
        <v>2.2485000000000001E-3</v>
      </c>
      <c r="E22" s="348">
        <v>3.2290000000000001E-3</v>
      </c>
      <c r="F22" s="349">
        <v>5.4359999999999999E-3</v>
      </c>
    </row>
    <row r="23" spans="1:6" ht="12" thickBot="1">
      <c r="A23" s="347">
        <v>41764</v>
      </c>
      <c r="B23" s="348">
        <v>1.5150000000000001E-3</v>
      </c>
      <c r="C23" s="348">
        <v>1.8975000000000001E-3</v>
      </c>
      <c r="D23" s="348">
        <v>2.2285E-3</v>
      </c>
      <c r="E23" s="348">
        <v>3.225E-3</v>
      </c>
      <c r="F23" s="349">
        <v>5.47E-3</v>
      </c>
    </row>
    <row r="24" spans="1:6" ht="12" thickBot="1">
      <c r="A24" s="347">
        <v>41761</v>
      </c>
      <c r="B24" s="348">
        <v>1.5150000000000001E-3</v>
      </c>
      <c r="C24" s="348">
        <v>1.8975000000000001E-3</v>
      </c>
      <c r="D24" s="348">
        <v>2.2285E-3</v>
      </c>
      <c r="E24" s="348">
        <v>3.225E-3</v>
      </c>
      <c r="F24" s="349">
        <v>5.47E-3</v>
      </c>
    </row>
    <row r="25" spans="1:6" ht="12" thickBot="1">
      <c r="A25" s="347">
        <v>41759</v>
      </c>
      <c r="B25" s="348">
        <v>1.505E-3</v>
      </c>
      <c r="C25" s="348">
        <v>1.8925000000000001E-3</v>
      </c>
      <c r="D25" s="348">
        <v>2.2334999999999998E-3</v>
      </c>
      <c r="E25" s="348">
        <v>3.225E-3</v>
      </c>
      <c r="F25" s="349">
        <v>5.4900000000000001E-3</v>
      </c>
    </row>
    <row r="26" spans="1:6" ht="12" thickBot="1">
      <c r="A26" s="347">
        <v>41758</v>
      </c>
      <c r="B26" s="348">
        <v>1.5150000000000001E-3</v>
      </c>
      <c r="C26" s="348">
        <v>1.9350000000000001E-3</v>
      </c>
      <c r="D26" s="348">
        <v>2.2534999999999999E-3</v>
      </c>
      <c r="E26" s="348">
        <v>3.2299999999999998E-3</v>
      </c>
      <c r="F26" s="349">
        <v>5.4900000000000001E-3</v>
      </c>
    </row>
    <row r="27" spans="1:6" ht="12" thickBot="1">
      <c r="A27" s="347">
        <v>41757</v>
      </c>
      <c r="B27" s="348">
        <v>1.503E-3</v>
      </c>
      <c r="C27" s="348">
        <v>1.9009999999999999E-3</v>
      </c>
      <c r="D27" s="348">
        <v>2.2485000000000001E-3</v>
      </c>
      <c r="E27" s="348">
        <v>3.264E-3</v>
      </c>
      <c r="F27" s="349">
        <v>5.4949999999999999E-3</v>
      </c>
    </row>
    <row r="28" spans="1:6" ht="12" thickBot="1">
      <c r="A28" s="347">
        <v>41754</v>
      </c>
      <c r="B28" s="348">
        <v>1.5200000000000001E-3</v>
      </c>
      <c r="C28" s="348">
        <v>1.9250000000000001E-3</v>
      </c>
      <c r="D28" s="348">
        <v>2.2659999999999998E-3</v>
      </c>
      <c r="E28" s="348">
        <v>3.2299999999999998E-3</v>
      </c>
      <c r="F28" s="349">
        <v>5.4949999999999999E-3</v>
      </c>
    </row>
    <row r="29" spans="1:6" ht="12" thickBot="1">
      <c r="A29" s="347">
        <v>41753</v>
      </c>
      <c r="B29" s="348">
        <v>1.518E-3</v>
      </c>
      <c r="C29" s="348">
        <v>1.921E-3</v>
      </c>
      <c r="D29" s="348">
        <v>2.2785000000000001E-3</v>
      </c>
      <c r="E29" s="348">
        <v>3.235E-3</v>
      </c>
      <c r="F29" s="349">
        <v>5.4949999999999999E-3</v>
      </c>
    </row>
    <row r="30" spans="1:6" ht="12" thickBot="1">
      <c r="A30" s="347">
        <v>41752</v>
      </c>
      <c r="B30" s="348">
        <v>1.523E-3</v>
      </c>
      <c r="C30" s="348">
        <v>1.9300000000000001E-3</v>
      </c>
      <c r="D30" s="348">
        <v>2.2875E-3</v>
      </c>
      <c r="E30" s="348">
        <v>3.228E-3</v>
      </c>
      <c r="F30" s="349">
        <v>5.483E-3</v>
      </c>
    </row>
    <row r="31" spans="1:6" ht="12" thickBot="1">
      <c r="A31" s="347">
        <v>41751</v>
      </c>
      <c r="B31" s="348">
        <v>1.523E-3</v>
      </c>
      <c r="C31" s="348">
        <v>1.9350000000000001E-3</v>
      </c>
      <c r="D31" s="348">
        <v>2.2859999999999998E-3</v>
      </c>
      <c r="E31" s="348">
        <v>3.2209999999999999E-3</v>
      </c>
      <c r="F31" s="349">
        <v>5.483E-3</v>
      </c>
    </row>
    <row r="32" spans="1:6" ht="12" thickBot="1">
      <c r="A32" s="347">
        <v>41750</v>
      </c>
      <c r="B32" s="348">
        <v>1.5219999999999999E-3</v>
      </c>
      <c r="C32" s="348">
        <v>1.9289999999999999E-3</v>
      </c>
      <c r="D32" s="348">
        <v>2.2585000000000001E-3</v>
      </c>
      <c r="E32" s="348">
        <v>3.1979999999999999E-3</v>
      </c>
      <c r="F32" s="349">
        <v>5.4650000000000002E-3</v>
      </c>
    </row>
    <row r="33" spans="1:6" ht="12" thickBot="1">
      <c r="A33" s="347">
        <v>41745</v>
      </c>
      <c r="B33" s="348">
        <v>1.5200000000000001E-3</v>
      </c>
      <c r="C33" s="348">
        <v>1.9300000000000001E-3</v>
      </c>
      <c r="D33" s="348">
        <v>2.2785000000000001E-3</v>
      </c>
      <c r="E33" s="348">
        <v>3.209E-3</v>
      </c>
      <c r="F33" s="349">
        <v>5.4650000000000002E-3</v>
      </c>
    </row>
    <row r="34" spans="1:6" ht="12" thickBot="1">
      <c r="A34" s="347">
        <v>41744</v>
      </c>
      <c r="B34" s="348">
        <v>1.5139999999999999E-3</v>
      </c>
      <c r="C34" s="348">
        <v>1.92E-3</v>
      </c>
      <c r="D34" s="348">
        <v>2.2634999999999999E-3</v>
      </c>
      <c r="E34" s="348">
        <v>3.209E-3</v>
      </c>
      <c r="F34" s="349">
        <v>5.4549999999999998E-3</v>
      </c>
    </row>
    <row r="35" spans="1:6" ht="12" thickBot="1">
      <c r="A35" s="347">
        <v>41743</v>
      </c>
      <c r="B35" s="348">
        <v>1.5169999999999999E-3</v>
      </c>
      <c r="C35" s="348">
        <v>1.923E-3</v>
      </c>
      <c r="D35" s="348">
        <v>2.2864999999999999E-3</v>
      </c>
      <c r="E35" s="348">
        <v>3.2269999999999998E-3</v>
      </c>
      <c r="F35" s="349">
        <v>5.4650000000000002E-3</v>
      </c>
    </row>
    <row r="36" spans="1:6" ht="12" thickBot="1">
      <c r="A36" s="347">
        <v>41740</v>
      </c>
      <c r="B36" s="348">
        <v>1.5219999999999999E-3</v>
      </c>
      <c r="C36" s="348">
        <v>1.9185000000000001E-3</v>
      </c>
      <c r="D36" s="348">
        <v>2.2645E-3</v>
      </c>
      <c r="E36" s="348">
        <v>3.2200000000000002E-3</v>
      </c>
      <c r="F36" s="349">
        <v>5.4599999999999996E-3</v>
      </c>
    </row>
    <row r="37" spans="1:6" ht="12" thickBot="1">
      <c r="A37" s="347">
        <v>41739</v>
      </c>
      <c r="B37" s="348">
        <v>1.5250000000000001E-3</v>
      </c>
      <c r="C37" s="348">
        <v>1.9189999999999999E-3</v>
      </c>
      <c r="D37" s="348">
        <v>2.2704999999999999E-3</v>
      </c>
      <c r="E37" s="348">
        <v>3.2399999999999998E-3</v>
      </c>
      <c r="F37" s="349">
        <v>5.4850000000000003E-3</v>
      </c>
    </row>
    <row r="38" spans="1:6" ht="12" thickBot="1">
      <c r="A38" s="347">
        <v>41738</v>
      </c>
      <c r="B38" s="348">
        <v>1.5089999999999999E-3</v>
      </c>
      <c r="C38" s="348">
        <v>1.903E-3</v>
      </c>
      <c r="D38" s="348">
        <v>2.2755000000000002E-3</v>
      </c>
      <c r="E38" s="348">
        <v>3.2650000000000001E-3</v>
      </c>
      <c r="F38" s="349">
        <v>5.5300000000000002E-3</v>
      </c>
    </row>
    <row r="39" spans="1:6" ht="12" thickBot="1">
      <c r="A39" s="347">
        <v>41737</v>
      </c>
      <c r="B39" s="348">
        <v>1.5039999999999999E-3</v>
      </c>
      <c r="C39" s="348">
        <v>1.903E-3</v>
      </c>
      <c r="D39" s="348">
        <v>2.2729999999999998E-3</v>
      </c>
      <c r="E39" s="348">
        <v>3.2650000000000001E-3</v>
      </c>
      <c r="F39" s="349">
        <v>5.5300000000000002E-3</v>
      </c>
    </row>
    <row r="40" spans="1:6" ht="12" thickBot="1">
      <c r="A40" s="347">
        <v>41736</v>
      </c>
      <c r="B40" s="348">
        <v>1.5200000000000001E-3</v>
      </c>
      <c r="C40" s="348">
        <v>1.9250000000000001E-3</v>
      </c>
      <c r="D40" s="348">
        <v>2.2935E-3</v>
      </c>
      <c r="E40" s="348">
        <v>3.2650000000000001E-3</v>
      </c>
      <c r="F40" s="349">
        <v>5.5209999999999999E-3</v>
      </c>
    </row>
    <row r="41" spans="1:6" ht="12" thickBot="1">
      <c r="A41" s="347">
        <v>41733</v>
      </c>
      <c r="B41" s="348">
        <v>1.5250000000000001E-3</v>
      </c>
      <c r="C41" s="348">
        <v>1.9124999999999999E-3</v>
      </c>
      <c r="D41" s="348">
        <v>2.2959999999999999E-3</v>
      </c>
      <c r="E41" s="348">
        <v>3.2750000000000001E-3</v>
      </c>
      <c r="F41" s="349">
        <v>5.5560000000000002E-3</v>
      </c>
    </row>
    <row r="42" spans="1:6" ht="12" thickBot="1">
      <c r="A42" s="347">
        <v>41732</v>
      </c>
      <c r="B42" s="348">
        <v>1.5250000000000001E-3</v>
      </c>
      <c r="C42" s="348">
        <v>1.9275E-3</v>
      </c>
      <c r="D42" s="348">
        <v>2.3035E-3</v>
      </c>
      <c r="E42" s="348">
        <v>3.2799999999999999E-3</v>
      </c>
      <c r="F42" s="349">
        <v>5.5510000000000004E-3</v>
      </c>
    </row>
    <row r="43" spans="1:6" ht="12" thickBot="1">
      <c r="A43" s="347">
        <v>41731</v>
      </c>
      <c r="B43" s="348">
        <v>1.5200000000000001E-3</v>
      </c>
      <c r="C43" s="348">
        <v>1.915E-3</v>
      </c>
      <c r="D43" s="348">
        <v>2.3010000000000001E-3</v>
      </c>
      <c r="E43" s="348">
        <v>3.2799999999999999E-3</v>
      </c>
      <c r="F43" s="349">
        <v>5.5510000000000004E-3</v>
      </c>
    </row>
    <row r="44" spans="1:6" ht="12" thickBot="1">
      <c r="A44" s="347">
        <v>41730</v>
      </c>
      <c r="B44" s="348">
        <v>1.5100000000000001E-3</v>
      </c>
      <c r="C44" s="348">
        <v>1.9074999999999999E-3</v>
      </c>
      <c r="D44" s="348">
        <v>2.281E-3</v>
      </c>
      <c r="E44" s="348">
        <v>3.2789999999999998E-3</v>
      </c>
      <c r="F44" s="349">
        <v>5.5360000000000001E-3</v>
      </c>
    </row>
    <row r="45" spans="1:6" ht="12" thickBot="1">
      <c r="A45" s="347">
        <v>41729</v>
      </c>
      <c r="B45" s="348">
        <v>1.5200000000000001E-3</v>
      </c>
      <c r="C45" s="348">
        <v>1.9325E-3</v>
      </c>
      <c r="D45" s="348">
        <v>2.3059999999999999E-3</v>
      </c>
      <c r="E45" s="348">
        <v>3.2889999999999998E-3</v>
      </c>
      <c r="F45" s="349">
        <v>5.581E-3</v>
      </c>
    </row>
    <row r="46" spans="1:6" ht="12" thickBot="1">
      <c r="A46" s="347">
        <v>41726</v>
      </c>
      <c r="B46" s="348">
        <v>1.5175E-3</v>
      </c>
      <c r="C46" s="348">
        <v>1.964E-3</v>
      </c>
      <c r="D46" s="348">
        <v>2.3335000000000001E-3</v>
      </c>
      <c r="E46" s="348">
        <v>3.2889999999999998E-3</v>
      </c>
      <c r="F46" s="349">
        <v>5.5859999999999998E-3</v>
      </c>
    </row>
    <row r="47" spans="1:6" ht="12" thickBot="1">
      <c r="A47" s="347">
        <v>41725</v>
      </c>
      <c r="B47" s="348">
        <v>1.5250000000000001E-3</v>
      </c>
      <c r="C47" s="348">
        <v>1.9675000000000001E-3</v>
      </c>
      <c r="D47" s="348">
        <v>2.336E-3</v>
      </c>
      <c r="E47" s="348">
        <v>3.29E-3</v>
      </c>
      <c r="F47" s="349">
        <v>5.6160000000000003E-3</v>
      </c>
    </row>
    <row r="48" spans="1:6" ht="12" thickBot="1">
      <c r="A48" s="347">
        <v>41724</v>
      </c>
      <c r="B48" s="348">
        <v>1.5299999999999999E-3</v>
      </c>
      <c r="C48" s="348">
        <v>1.936E-3</v>
      </c>
      <c r="D48" s="348">
        <v>2.3335000000000001E-3</v>
      </c>
      <c r="E48" s="348">
        <v>3.2950000000000002E-3</v>
      </c>
      <c r="F48" s="349">
        <v>5.6210000000000001E-3</v>
      </c>
    </row>
    <row r="49" spans="1:6" ht="12" thickBot="1">
      <c r="A49" s="347">
        <v>41723</v>
      </c>
      <c r="B49" s="348">
        <v>1.5375E-3</v>
      </c>
      <c r="C49" s="348">
        <v>1.9300000000000001E-3</v>
      </c>
      <c r="D49" s="348">
        <v>2.3435000000000001E-3</v>
      </c>
      <c r="E49" s="348">
        <v>3.2950000000000002E-3</v>
      </c>
      <c r="F49" s="349">
        <v>5.6160000000000003E-3</v>
      </c>
    </row>
    <row r="50" spans="1:6" ht="12" thickBot="1">
      <c r="A50" s="347">
        <v>41719</v>
      </c>
      <c r="B50" s="348">
        <v>1.5425E-3</v>
      </c>
      <c r="C50" s="348">
        <v>1.9675000000000001E-3</v>
      </c>
      <c r="D50" s="348">
        <v>2.3284999999999998E-3</v>
      </c>
      <c r="E50" s="348">
        <v>3.3149999999999998E-3</v>
      </c>
      <c r="F50" s="349">
        <v>5.6410000000000002E-3</v>
      </c>
    </row>
    <row r="51" spans="1:6" ht="12" thickBot="1">
      <c r="A51" s="347">
        <v>41718</v>
      </c>
      <c r="B51" s="348">
        <v>1.5449999999999999E-3</v>
      </c>
      <c r="C51" s="348">
        <v>1.9675000000000001E-3</v>
      </c>
      <c r="D51" s="348">
        <v>2.336E-3</v>
      </c>
      <c r="E51" s="348">
        <v>3.3E-3</v>
      </c>
      <c r="F51" s="349">
        <v>5.5999999999999999E-3</v>
      </c>
    </row>
    <row r="52" spans="1:6" ht="12" thickBot="1">
      <c r="A52" s="347">
        <v>41717</v>
      </c>
      <c r="B52" s="348">
        <v>1.5755000000000001E-3</v>
      </c>
      <c r="C52" s="348">
        <v>2E-3</v>
      </c>
      <c r="D52" s="348">
        <v>2.3384999999999999E-3</v>
      </c>
      <c r="E52" s="348">
        <v>3.297E-3</v>
      </c>
      <c r="F52" s="349">
        <v>5.555E-3</v>
      </c>
    </row>
    <row r="53" spans="1:6" ht="12" thickBot="1">
      <c r="A53" s="347">
        <v>41716</v>
      </c>
      <c r="B53" s="348">
        <v>1.5675000000000001E-3</v>
      </c>
      <c r="C53" s="348">
        <v>2.0070000000000001E-3</v>
      </c>
      <c r="D53" s="348">
        <v>2.3484999999999999E-3</v>
      </c>
      <c r="E53" s="348">
        <v>3.3400000000000001E-3</v>
      </c>
      <c r="F53" s="349">
        <v>5.5719999999999997E-3</v>
      </c>
    </row>
    <row r="54" spans="1:6" ht="12" thickBot="1">
      <c r="A54" s="347">
        <v>41715</v>
      </c>
      <c r="B54" s="348">
        <v>1.562E-3</v>
      </c>
      <c r="C54" s="348">
        <v>2.0019999999999999E-3</v>
      </c>
      <c r="D54" s="348">
        <v>2.3444999999999998E-3</v>
      </c>
      <c r="E54" s="348">
        <v>3.339E-3</v>
      </c>
      <c r="F54" s="349">
        <v>5.5710000000000004E-3</v>
      </c>
    </row>
    <row r="55" spans="1:6" ht="12" thickBot="1">
      <c r="A55" s="347">
        <v>41712</v>
      </c>
      <c r="B55" s="348">
        <v>1.5644999999999999E-3</v>
      </c>
      <c r="C55" s="348">
        <v>2.0075000000000002E-3</v>
      </c>
      <c r="D55" s="348">
        <v>2.3484999999999999E-3</v>
      </c>
      <c r="E55" s="348">
        <v>3.3279999999999998E-3</v>
      </c>
      <c r="F55" s="349">
        <v>5.5700000000000003E-3</v>
      </c>
    </row>
    <row r="56" spans="1:6" ht="12" thickBot="1">
      <c r="A56" s="347">
        <v>41711</v>
      </c>
      <c r="B56" s="348">
        <v>1.5499999999999999E-3</v>
      </c>
      <c r="C56" s="348">
        <v>1.9854999999999999E-3</v>
      </c>
      <c r="D56" s="348">
        <v>2.3335000000000001E-3</v>
      </c>
      <c r="E56" s="348">
        <v>3.3180000000000002E-3</v>
      </c>
      <c r="F56" s="349">
        <v>5.5700000000000003E-3</v>
      </c>
    </row>
    <row r="57" spans="1:6" ht="12" thickBot="1">
      <c r="A57" s="347">
        <v>41710</v>
      </c>
      <c r="B57" s="348">
        <v>1.555E-3</v>
      </c>
      <c r="C57" s="348">
        <v>1.9924999999999999E-3</v>
      </c>
      <c r="D57" s="348">
        <v>2.3410000000000002E-3</v>
      </c>
      <c r="E57" s="348">
        <v>3.3050000000000002E-3</v>
      </c>
      <c r="F57" s="349">
        <v>5.5519999999999996E-3</v>
      </c>
    </row>
    <row r="58" spans="1:6" ht="12" thickBot="1">
      <c r="A58" s="347">
        <v>41709</v>
      </c>
      <c r="B58" s="348">
        <v>1.5579999999999999E-3</v>
      </c>
      <c r="C58" s="348">
        <v>1.9854999999999999E-3</v>
      </c>
      <c r="D58" s="348">
        <v>2.333E-3</v>
      </c>
      <c r="E58" s="348">
        <v>3.31E-3</v>
      </c>
      <c r="F58" s="349">
        <v>5.5519999999999996E-3</v>
      </c>
    </row>
    <row r="59" spans="1:6" ht="12" thickBot="1">
      <c r="A59" s="347">
        <v>41708</v>
      </c>
      <c r="B59" s="348">
        <v>1.5499999999999999E-3</v>
      </c>
      <c r="C59" s="348">
        <v>1.9924999999999999E-3</v>
      </c>
      <c r="D59" s="348">
        <v>2.3435000000000001E-3</v>
      </c>
      <c r="E59" s="348">
        <v>3.32E-3</v>
      </c>
      <c r="F59" s="349">
        <v>5.5519999999999996E-3</v>
      </c>
    </row>
    <row r="60" spans="1:6" ht="12" thickBot="1">
      <c r="A60" s="347">
        <v>41705</v>
      </c>
      <c r="B60" s="348">
        <v>1.565E-3</v>
      </c>
      <c r="C60" s="348">
        <v>1.9694999999999999E-3</v>
      </c>
      <c r="D60" s="348">
        <v>2.3565000000000001E-3</v>
      </c>
      <c r="E60" s="348">
        <v>3.3180000000000002E-3</v>
      </c>
      <c r="F60" s="349">
        <v>5.5199999999999997E-3</v>
      </c>
    </row>
    <row r="61" spans="1:6" ht="12" thickBot="1">
      <c r="A61" s="347">
        <v>41704</v>
      </c>
      <c r="B61" s="348">
        <v>1.544E-3</v>
      </c>
      <c r="C61" s="348">
        <v>1.9550000000000001E-3</v>
      </c>
      <c r="D61" s="348">
        <v>2.3509999999999998E-3</v>
      </c>
      <c r="E61" s="348">
        <v>3.32E-3</v>
      </c>
      <c r="F61" s="349">
        <v>5.5199999999999997E-3</v>
      </c>
    </row>
    <row r="62" spans="1:6" ht="12" thickBot="1">
      <c r="A62" s="347">
        <v>41703</v>
      </c>
      <c r="B62" s="348">
        <v>1.5560000000000001E-3</v>
      </c>
      <c r="C62" s="348">
        <v>1.967E-3</v>
      </c>
      <c r="D62" s="348">
        <v>2.3440000000000002E-3</v>
      </c>
      <c r="E62" s="348">
        <v>3.3110000000000001E-3</v>
      </c>
      <c r="F62" s="349">
        <v>5.5059999999999996E-3</v>
      </c>
    </row>
    <row r="63" spans="1:6" ht="12" thickBot="1">
      <c r="A63" s="347">
        <v>41702</v>
      </c>
      <c r="B63" s="348">
        <v>1.565E-3</v>
      </c>
      <c r="C63" s="348">
        <v>1.9650000000000002E-3</v>
      </c>
      <c r="D63" s="348">
        <v>2.3535000000000001E-3</v>
      </c>
      <c r="E63" s="348">
        <v>3.3149999999999998E-3</v>
      </c>
      <c r="F63" s="349">
        <v>5.5199999999999997E-3</v>
      </c>
    </row>
    <row r="64" spans="1:6" ht="12" thickBot="1">
      <c r="A64" s="347">
        <v>41701</v>
      </c>
      <c r="B64" s="348">
        <v>1.5529999999999999E-3</v>
      </c>
      <c r="C64" s="348">
        <v>1.9605E-3</v>
      </c>
      <c r="D64" s="348">
        <v>2.3565000000000001E-3</v>
      </c>
      <c r="E64" s="348">
        <v>3.3050000000000002E-3</v>
      </c>
      <c r="F64" s="349">
        <v>5.5380000000000004E-3</v>
      </c>
    </row>
    <row r="65" spans="1:6" ht="12" thickBot="1">
      <c r="A65" s="347">
        <v>41698</v>
      </c>
      <c r="B65" s="348">
        <v>1.555E-3</v>
      </c>
      <c r="C65" s="348">
        <v>1.9750000000000002E-3</v>
      </c>
      <c r="D65" s="348">
        <v>2.3565000000000001E-3</v>
      </c>
      <c r="E65" s="348">
        <v>3.3050000000000002E-3</v>
      </c>
      <c r="F65" s="349">
        <v>5.5329999999999997E-3</v>
      </c>
    </row>
    <row r="66" spans="1:6" ht="12" thickBot="1">
      <c r="A66" s="347">
        <v>41697</v>
      </c>
      <c r="B66" s="348">
        <v>1.5449999999999999E-3</v>
      </c>
      <c r="C66" s="348">
        <v>1.9589999999999998E-3</v>
      </c>
      <c r="D66" s="348">
        <v>2.3609999999999998E-3</v>
      </c>
      <c r="E66" s="348">
        <v>3.3E-3</v>
      </c>
      <c r="F66" s="349">
        <v>5.5230000000000001E-3</v>
      </c>
    </row>
    <row r="67" spans="1:6" ht="12" thickBot="1">
      <c r="A67" s="347">
        <v>41696</v>
      </c>
      <c r="B67" s="348">
        <v>1.5449999999999999E-3</v>
      </c>
      <c r="C67" s="348">
        <v>1.9449999999999999E-3</v>
      </c>
      <c r="D67" s="348">
        <v>2.333E-3</v>
      </c>
      <c r="E67" s="348">
        <v>3.297E-3</v>
      </c>
      <c r="F67" s="349">
        <v>5.5050000000000003E-3</v>
      </c>
    </row>
    <row r="68" spans="1:6" ht="12" thickBot="1">
      <c r="A68" s="347">
        <v>41695</v>
      </c>
      <c r="B68" s="348">
        <v>1.5449999999999999E-3</v>
      </c>
      <c r="C68" s="348">
        <v>1.9400000000000001E-3</v>
      </c>
      <c r="D68" s="348">
        <v>2.336E-3</v>
      </c>
      <c r="E68" s="348">
        <v>3.3050000000000002E-3</v>
      </c>
      <c r="F68" s="349">
        <v>5.5329999999999997E-3</v>
      </c>
    </row>
    <row r="69" spans="1:6" ht="12" thickBot="1">
      <c r="A69" s="347">
        <v>41694</v>
      </c>
      <c r="B69" s="348">
        <v>1.5449999999999999E-3</v>
      </c>
      <c r="C69" s="348">
        <v>1.9469999999999999E-3</v>
      </c>
      <c r="D69" s="348">
        <v>2.3435000000000001E-3</v>
      </c>
      <c r="E69" s="348">
        <v>3.3050000000000002E-3</v>
      </c>
      <c r="F69" s="349">
        <v>5.5329999999999997E-3</v>
      </c>
    </row>
    <row r="70" spans="1:6" ht="12" thickBot="1">
      <c r="A70" s="347">
        <v>41691</v>
      </c>
      <c r="B70" s="348">
        <v>1.555E-3</v>
      </c>
      <c r="C70" s="348">
        <v>1.9594999999999999E-3</v>
      </c>
      <c r="D70" s="348">
        <v>2.3484999999999999E-3</v>
      </c>
      <c r="E70" s="348">
        <v>3.3050000000000002E-3</v>
      </c>
      <c r="F70" s="349">
        <v>5.5529999999999998E-3</v>
      </c>
    </row>
    <row r="71" spans="1:6" ht="12" thickBot="1">
      <c r="A71" s="347">
        <v>41690</v>
      </c>
      <c r="B71" s="348">
        <v>1.555E-3</v>
      </c>
      <c r="C71" s="348">
        <v>1.9694999999999999E-3</v>
      </c>
      <c r="D71" s="348">
        <v>2.356E-3</v>
      </c>
      <c r="E71" s="348">
        <v>3.2950000000000002E-3</v>
      </c>
      <c r="F71" s="349">
        <v>5.5380000000000004E-3</v>
      </c>
    </row>
    <row r="72" spans="1:6" ht="12" thickBot="1">
      <c r="A72" s="347">
        <v>41689</v>
      </c>
      <c r="B72" s="348">
        <v>1.5449999999999999E-3</v>
      </c>
      <c r="C72" s="348">
        <v>1.9425E-3</v>
      </c>
      <c r="D72" s="348">
        <v>2.336E-3</v>
      </c>
      <c r="E72" s="348">
        <v>3.29E-3</v>
      </c>
      <c r="F72" s="349">
        <v>5.5329999999999997E-3</v>
      </c>
    </row>
    <row r="73" spans="1:6" ht="12" thickBot="1">
      <c r="A73" s="347">
        <v>41688</v>
      </c>
      <c r="B73" s="348">
        <v>1.5399999999999999E-3</v>
      </c>
      <c r="C73" s="348">
        <v>1.9419999999999999E-3</v>
      </c>
      <c r="D73" s="348">
        <v>2.3454999999999999E-3</v>
      </c>
      <c r="E73" s="348">
        <v>3.297E-3</v>
      </c>
      <c r="F73" s="349">
        <v>5.5329999999999997E-3</v>
      </c>
    </row>
    <row r="74" spans="1:6" ht="12" thickBot="1">
      <c r="A74" s="347">
        <v>41687</v>
      </c>
      <c r="B74" s="348">
        <v>1.5349999999999999E-3</v>
      </c>
      <c r="C74" s="348">
        <v>1.9449999999999999E-3</v>
      </c>
      <c r="D74" s="348">
        <v>2.3509999999999998E-3</v>
      </c>
      <c r="E74" s="348">
        <v>3.3E-3</v>
      </c>
      <c r="F74" s="349">
        <v>5.5230000000000001E-3</v>
      </c>
    </row>
    <row r="75" spans="1:6" ht="12" thickBot="1">
      <c r="A75" s="347">
        <v>41684</v>
      </c>
      <c r="B75" s="348">
        <v>1.5449999999999999E-3</v>
      </c>
      <c r="C75" s="348">
        <v>1.9880000000000002E-3</v>
      </c>
      <c r="D75" s="348">
        <v>2.3584999999999999E-3</v>
      </c>
      <c r="E75" s="348">
        <v>3.29E-3</v>
      </c>
      <c r="F75" s="349">
        <v>5.5079999999999999E-3</v>
      </c>
    </row>
    <row r="76" spans="1:6" ht="12" thickBot="1">
      <c r="A76" s="347">
        <v>41683</v>
      </c>
      <c r="B76" s="348">
        <v>1.5449999999999999E-3</v>
      </c>
      <c r="C76" s="348">
        <v>1.9710000000000001E-3</v>
      </c>
      <c r="D76" s="348">
        <v>2.3584999999999999E-3</v>
      </c>
      <c r="E76" s="348">
        <v>3.31E-3</v>
      </c>
      <c r="F76" s="349">
        <v>5.5230000000000001E-3</v>
      </c>
    </row>
    <row r="77" spans="1:6" ht="12" thickBot="1">
      <c r="A77" s="347">
        <v>41682</v>
      </c>
      <c r="B77" s="348">
        <v>1.5349999999999999E-3</v>
      </c>
      <c r="C77" s="348">
        <v>1.9735E-3</v>
      </c>
      <c r="D77" s="348">
        <v>2.3609999999999998E-3</v>
      </c>
      <c r="E77" s="348">
        <v>3.31E-3</v>
      </c>
      <c r="F77" s="349">
        <v>5.5380000000000004E-3</v>
      </c>
    </row>
    <row r="78" spans="1:6" ht="12" thickBot="1">
      <c r="A78" s="347">
        <v>41681</v>
      </c>
      <c r="B78" s="348">
        <v>1.5425E-3</v>
      </c>
      <c r="C78" s="348">
        <v>1.9759999999999999E-3</v>
      </c>
      <c r="D78" s="348">
        <v>2.366E-3</v>
      </c>
      <c r="E78" s="348">
        <v>3.32E-3</v>
      </c>
      <c r="F78" s="349">
        <v>5.5329999999999997E-3</v>
      </c>
    </row>
    <row r="79" spans="1:6" ht="12" thickBot="1">
      <c r="A79" s="347">
        <v>41680</v>
      </c>
      <c r="B79" s="348">
        <v>1.5475E-3</v>
      </c>
      <c r="C79" s="348">
        <v>1.9550000000000001E-3</v>
      </c>
      <c r="D79" s="348">
        <v>2.3384999999999999E-3</v>
      </c>
      <c r="E79" s="348">
        <v>3.2910000000000001E-3</v>
      </c>
      <c r="F79" s="349">
        <v>5.509E-3</v>
      </c>
    </row>
    <row r="80" spans="1:6" ht="12" thickBot="1">
      <c r="A80" s="347">
        <v>41677</v>
      </c>
      <c r="B80" s="348">
        <v>1.555E-3</v>
      </c>
      <c r="C80" s="348">
        <v>1.9659999999999999E-3</v>
      </c>
      <c r="D80" s="348">
        <v>2.3384999999999999E-3</v>
      </c>
      <c r="E80" s="348">
        <v>3.3110000000000001E-3</v>
      </c>
      <c r="F80" s="349">
        <v>5.5840000000000004E-3</v>
      </c>
    </row>
    <row r="81" spans="1:6" ht="12" thickBot="1">
      <c r="A81" s="347">
        <v>41676</v>
      </c>
      <c r="B81" s="348">
        <v>1.565E-3</v>
      </c>
      <c r="C81" s="348">
        <v>1.9910000000000001E-3</v>
      </c>
      <c r="D81" s="348">
        <v>2.3684999999999999E-3</v>
      </c>
      <c r="E81" s="348">
        <v>3.3310000000000002E-3</v>
      </c>
      <c r="F81" s="349">
        <v>5.5789999999999998E-3</v>
      </c>
    </row>
    <row r="82" spans="1:6" ht="12" thickBot="1">
      <c r="A82" s="347">
        <v>41675</v>
      </c>
      <c r="B82" s="348">
        <v>1.575E-3</v>
      </c>
      <c r="C82" s="348">
        <v>1.9849999999999998E-3</v>
      </c>
      <c r="D82" s="348">
        <v>2.3635000000000001E-3</v>
      </c>
      <c r="E82" s="348">
        <v>3.3300000000000001E-3</v>
      </c>
      <c r="F82" s="349">
        <v>5.594E-3</v>
      </c>
    </row>
    <row r="83" spans="1:6" ht="12" thickBot="1">
      <c r="A83" s="347">
        <v>41674</v>
      </c>
      <c r="B83" s="348">
        <v>1.575E-3</v>
      </c>
      <c r="C83" s="348">
        <v>2E-3</v>
      </c>
      <c r="D83" s="348">
        <v>2.3644999999999998E-3</v>
      </c>
      <c r="E83" s="348">
        <v>3.333E-3</v>
      </c>
      <c r="F83" s="349">
        <v>5.6169999999999996E-3</v>
      </c>
    </row>
    <row r="84" spans="1:6" ht="12" thickBot="1">
      <c r="A84" s="347">
        <v>41673</v>
      </c>
      <c r="B84" s="348">
        <v>1.5709999999999999E-3</v>
      </c>
      <c r="C84" s="348">
        <v>1.9975000000000001E-3</v>
      </c>
      <c r="D84" s="348">
        <v>2.356E-3</v>
      </c>
      <c r="E84" s="348">
        <v>3.3349999999999999E-3</v>
      </c>
      <c r="F84" s="349">
        <v>5.6290000000000003E-3</v>
      </c>
    </row>
    <row r="85" spans="1:6" ht="12" thickBot="1">
      <c r="A85" s="347">
        <v>41670</v>
      </c>
      <c r="B85" s="348">
        <v>1.565E-3</v>
      </c>
      <c r="C85" s="348">
        <v>1.9905000000000001E-3</v>
      </c>
      <c r="D85" s="348">
        <v>2.366E-3</v>
      </c>
      <c r="E85" s="348">
        <v>3.3630000000000001E-3</v>
      </c>
      <c r="F85" s="349">
        <v>5.6540000000000002E-3</v>
      </c>
    </row>
    <row r="86" spans="1:6" ht="12" thickBot="1">
      <c r="A86" s="347">
        <v>41669</v>
      </c>
      <c r="B86" s="348">
        <v>1.585E-3</v>
      </c>
      <c r="C86" s="348">
        <v>2.0040000000000001E-3</v>
      </c>
      <c r="D86" s="348">
        <v>2.3760000000000001E-3</v>
      </c>
      <c r="E86" s="348">
        <v>3.3700000000000002E-3</v>
      </c>
      <c r="F86" s="349">
        <v>5.6940000000000003E-3</v>
      </c>
    </row>
    <row r="87" spans="1:6" ht="12" thickBot="1">
      <c r="A87" s="347">
        <v>41668</v>
      </c>
      <c r="B87" s="348">
        <v>1.5950000000000001E-3</v>
      </c>
      <c r="C87" s="348">
        <v>1.9865E-3</v>
      </c>
      <c r="D87" s="348">
        <v>2.356E-3</v>
      </c>
      <c r="E87" s="348">
        <v>3.3349999999999999E-3</v>
      </c>
      <c r="F87" s="349">
        <v>5.7039999999999999E-3</v>
      </c>
    </row>
    <row r="88" spans="1:6" ht="12" thickBot="1">
      <c r="A88" s="347">
        <v>41667</v>
      </c>
      <c r="B88" s="348">
        <v>1.5900000000000001E-3</v>
      </c>
      <c r="C88" s="348">
        <v>1.9915000000000002E-3</v>
      </c>
      <c r="D88" s="348">
        <v>2.3609999999999998E-3</v>
      </c>
      <c r="E88" s="348">
        <v>3.32E-3</v>
      </c>
      <c r="F88" s="349">
        <v>5.7099999999999998E-3</v>
      </c>
    </row>
    <row r="89" spans="1:6" ht="12" thickBot="1">
      <c r="A89" s="347">
        <v>41666</v>
      </c>
      <c r="B89" s="348">
        <v>1.585E-3</v>
      </c>
      <c r="C89" s="348">
        <v>2.0049999999999998E-3</v>
      </c>
      <c r="D89" s="348">
        <v>2.3609999999999998E-3</v>
      </c>
      <c r="E89" s="348">
        <v>3.3249999999999998E-3</v>
      </c>
      <c r="F89" s="349">
        <v>5.7099999999999998E-3</v>
      </c>
    </row>
    <row r="90" spans="1:6" ht="12" thickBot="1">
      <c r="A90" s="347">
        <v>41663</v>
      </c>
      <c r="B90" s="348">
        <v>1.6119999999999999E-3</v>
      </c>
      <c r="C90" s="348">
        <v>2.0325E-3</v>
      </c>
      <c r="D90" s="348">
        <v>2.3535000000000001E-3</v>
      </c>
      <c r="E90" s="348">
        <v>3.3349999999999999E-3</v>
      </c>
      <c r="F90" s="349">
        <v>5.7210000000000004E-3</v>
      </c>
    </row>
    <row r="91" spans="1:6" ht="12" thickBot="1">
      <c r="A91" s="347">
        <v>41662</v>
      </c>
      <c r="B91" s="348">
        <v>1.58E-3</v>
      </c>
      <c r="C91" s="348">
        <v>2.0435000000000002E-3</v>
      </c>
      <c r="D91" s="348">
        <v>2.3860000000000001E-3</v>
      </c>
      <c r="E91" s="348">
        <v>3.3500000000000001E-3</v>
      </c>
      <c r="F91" s="349">
        <v>5.7250000000000001E-3</v>
      </c>
    </row>
    <row r="92" spans="1:6" ht="12" thickBot="1">
      <c r="A92" s="347">
        <v>41661</v>
      </c>
      <c r="B92" s="348">
        <v>1.58E-3</v>
      </c>
      <c r="C92" s="348">
        <v>2.0435000000000002E-3</v>
      </c>
      <c r="D92" s="348">
        <v>2.3709999999999998E-3</v>
      </c>
      <c r="E92" s="348">
        <v>3.3409999999999998E-3</v>
      </c>
      <c r="F92" s="349">
        <v>5.7109999999999999E-3</v>
      </c>
    </row>
    <row r="93" spans="1:6" ht="12" thickBot="1">
      <c r="A93" s="347">
        <v>41660</v>
      </c>
      <c r="B93" s="348">
        <v>1.57E-3</v>
      </c>
      <c r="C93" s="348">
        <v>2.0235000000000001E-3</v>
      </c>
      <c r="D93" s="348">
        <v>2.366E-3</v>
      </c>
      <c r="E93" s="348">
        <v>3.3409999999999998E-3</v>
      </c>
      <c r="F93" s="349">
        <v>5.7260000000000002E-3</v>
      </c>
    </row>
    <row r="94" spans="1:6" ht="12" thickBot="1">
      <c r="A94" s="347">
        <v>41659</v>
      </c>
      <c r="B94" s="348">
        <v>1.57E-3</v>
      </c>
      <c r="C94" s="348">
        <v>2.0209999999999998E-3</v>
      </c>
      <c r="D94" s="348">
        <v>2.3709999999999998E-3</v>
      </c>
      <c r="E94" s="348">
        <v>3.3409999999999998E-3</v>
      </c>
      <c r="F94" s="349">
        <v>5.7210000000000004E-3</v>
      </c>
    </row>
    <row r="95" spans="1:6" ht="12" thickBot="1">
      <c r="A95" s="347">
        <v>41656</v>
      </c>
      <c r="B95" s="348">
        <v>1.57E-3</v>
      </c>
      <c r="C95" s="348">
        <v>2.0230000000000001E-3</v>
      </c>
      <c r="D95" s="348">
        <v>2.366E-3</v>
      </c>
      <c r="E95" s="348">
        <v>3.346E-3</v>
      </c>
      <c r="F95" s="349">
        <v>5.7210000000000004E-3</v>
      </c>
    </row>
    <row r="96" spans="1:6" ht="12" thickBot="1">
      <c r="A96" s="347">
        <v>41655</v>
      </c>
      <c r="B96" s="348">
        <v>1.57E-3</v>
      </c>
      <c r="C96" s="348">
        <v>2.013E-3</v>
      </c>
      <c r="D96" s="348">
        <v>2.3635000000000001E-3</v>
      </c>
      <c r="E96" s="348">
        <v>3.346E-3</v>
      </c>
      <c r="F96" s="349">
        <v>5.7159999999999997E-3</v>
      </c>
    </row>
    <row r="97" spans="1:6" ht="12" thickBot="1">
      <c r="A97" s="347">
        <v>41654</v>
      </c>
      <c r="B97" s="348">
        <v>1.5870000000000001E-3</v>
      </c>
      <c r="C97" s="348">
        <v>2.0300000000000001E-3</v>
      </c>
      <c r="D97" s="348">
        <v>2.3785E-3</v>
      </c>
      <c r="E97" s="348">
        <v>3.356E-3</v>
      </c>
      <c r="F97" s="349">
        <v>5.7159999999999997E-3</v>
      </c>
    </row>
    <row r="98" spans="1:6" ht="12" thickBot="1">
      <c r="A98" s="347">
        <v>41653</v>
      </c>
      <c r="B98" s="348">
        <v>1.5900000000000001E-3</v>
      </c>
      <c r="C98" s="348">
        <v>2.055E-3</v>
      </c>
      <c r="D98" s="348">
        <v>2.3674999999999998E-3</v>
      </c>
      <c r="E98" s="348">
        <v>3.3549999999999999E-3</v>
      </c>
      <c r="F98" s="349">
        <v>5.6810000000000003E-3</v>
      </c>
    </row>
    <row r="99" spans="1:6" ht="12" thickBot="1">
      <c r="A99" s="347">
        <v>41652</v>
      </c>
      <c r="B99" s="348">
        <v>1.6000000000000001E-3</v>
      </c>
      <c r="C99" s="348">
        <v>2.0774999999999999E-3</v>
      </c>
      <c r="D99" s="348">
        <v>2.3890000000000001E-3</v>
      </c>
      <c r="E99" s="348">
        <v>3.3839999999999999E-3</v>
      </c>
      <c r="F99" s="349">
        <v>5.7359999999999998E-3</v>
      </c>
    </row>
    <row r="100" spans="1:6" ht="12" thickBot="1">
      <c r="A100" s="347">
        <v>41649</v>
      </c>
      <c r="B100" s="348">
        <v>1.604E-3</v>
      </c>
      <c r="C100" s="348">
        <v>2.0864999999999998E-3</v>
      </c>
      <c r="D100" s="348">
        <v>2.4164999999999998E-3</v>
      </c>
      <c r="E100" s="348">
        <v>3.444E-3</v>
      </c>
      <c r="F100" s="349">
        <v>5.8259999999999996E-3</v>
      </c>
    </row>
    <row r="101" spans="1:6" ht="12" thickBot="1">
      <c r="A101" s="347">
        <v>41648</v>
      </c>
      <c r="B101" s="348">
        <v>1.603E-3</v>
      </c>
      <c r="C101" s="348">
        <v>2.0830000000000002E-3</v>
      </c>
      <c r="D101" s="348">
        <v>2.4164999999999998E-3</v>
      </c>
      <c r="E101" s="348">
        <v>3.4390000000000002E-3</v>
      </c>
      <c r="F101" s="349">
        <v>5.8459999999999996E-3</v>
      </c>
    </row>
    <row r="102" spans="1:6" ht="12" thickBot="1">
      <c r="A102" s="347">
        <v>41647</v>
      </c>
      <c r="B102" s="348">
        <v>1.6100000000000001E-3</v>
      </c>
      <c r="C102" s="348">
        <v>2.075E-3</v>
      </c>
      <c r="D102" s="348">
        <v>2.4039999999999999E-3</v>
      </c>
      <c r="E102" s="348">
        <v>3.4520000000000002E-3</v>
      </c>
      <c r="F102" s="349">
        <v>5.8560000000000001E-3</v>
      </c>
    </row>
    <row r="103" spans="1:6" ht="12" thickBot="1">
      <c r="A103" s="347">
        <v>41646</v>
      </c>
      <c r="B103" s="348">
        <v>1.6149999999999999E-3</v>
      </c>
      <c r="C103" s="348">
        <v>2.0820000000000001E-3</v>
      </c>
      <c r="D103" s="348">
        <v>2.421E-3</v>
      </c>
      <c r="E103" s="348">
        <v>3.447E-3</v>
      </c>
      <c r="F103" s="349">
        <v>5.8659999999999997E-3</v>
      </c>
    </row>
    <row r="104" spans="1:6" ht="12" thickBot="1">
      <c r="A104" s="347">
        <v>41642</v>
      </c>
      <c r="B104" s="348">
        <v>1.647E-3</v>
      </c>
      <c r="C104" s="348">
        <v>2.0994999999999998E-3</v>
      </c>
      <c r="D104" s="348">
        <v>2.3985E-3</v>
      </c>
      <c r="E104" s="348">
        <v>3.4520000000000002E-3</v>
      </c>
      <c r="F104" s="349">
        <v>5.8459999999999996E-3</v>
      </c>
    </row>
    <row r="105" spans="1:6" ht="12" thickBot="1">
      <c r="A105" s="350">
        <v>41641</v>
      </c>
      <c r="B105" s="351">
        <v>1.683E-3</v>
      </c>
      <c r="C105" s="351">
        <v>2.1250000000000002E-3</v>
      </c>
      <c r="D105" s="351">
        <v>2.4285000000000001E-3</v>
      </c>
      <c r="E105" s="351">
        <v>3.4640000000000001E-3</v>
      </c>
      <c r="F105" s="352">
        <v>5.8259999999999996E-3</v>
      </c>
    </row>
    <row r="106" spans="1:6">
      <c r="A106" s="341">
        <v>2013</v>
      </c>
      <c r="B106" s="342"/>
      <c r="C106" s="342"/>
      <c r="D106" s="342"/>
      <c r="E106" s="342"/>
      <c r="F106" s="342"/>
    </row>
    <row r="107" spans="1:6" ht="12" thickBot="1">
      <c r="A107" s="343"/>
      <c r="B107" s="688"/>
      <c r="C107" s="689"/>
      <c r="D107" s="689"/>
      <c r="E107" s="689"/>
      <c r="F107" s="690"/>
    </row>
    <row r="108" spans="1:6" ht="23.25" thickBot="1">
      <c r="A108" s="344" t="s">
        <v>319</v>
      </c>
      <c r="B108" s="345" t="s">
        <v>323</v>
      </c>
      <c r="C108" s="345" t="s">
        <v>324</v>
      </c>
      <c r="D108" s="345" t="s">
        <v>325</v>
      </c>
      <c r="E108" s="345" t="s">
        <v>326</v>
      </c>
      <c r="F108" s="346" t="s">
        <v>327</v>
      </c>
    </row>
    <row r="109" spans="1:6" ht="12" thickBot="1">
      <c r="A109" s="347">
        <v>41639</v>
      </c>
      <c r="B109" s="348">
        <v>1.6770000000000001E-3</v>
      </c>
      <c r="C109" s="348">
        <v>2.1275000000000001E-3</v>
      </c>
      <c r="D109" s="348">
        <v>2.4610000000000001E-3</v>
      </c>
      <c r="E109" s="348">
        <v>3.48E-3</v>
      </c>
      <c r="F109" s="349">
        <v>5.8310000000000002E-3</v>
      </c>
    </row>
    <row r="110" spans="1:6" ht="12" thickBot="1">
      <c r="A110" s="347">
        <v>41638</v>
      </c>
      <c r="B110" s="348">
        <v>1.702E-3</v>
      </c>
      <c r="C110" s="348">
        <v>2.1275000000000001E-3</v>
      </c>
      <c r="D110" s="348">
        <v>2.4659999999999999E-3</v>
      </c>
      <c r="E110" s="348">
        <v>3.4849999999999998E-3</v>
      </c>
      <c r="F110" s="349">
        <v>5.8310000000000002E-3</v>
      </c>
    </row>
    <row r="111" spans="1:6" ht="12" thickBot="1">
      <c r="A111" s="347">
        <v>41635</v>
      </c>
      <c r="B111" s="348">
        <v>1.6900000000000001E-3</v>
      </c>
      <c r="C111" s="348">
        <v>2.1205E-3</v>
      </c>
      <c r="D111" s="348">
        <v>2.4659999999999999E-3</v>
      </c>
      <c r="E111" s="348">
        <v>3.49E-3</v>
      </c>
      <c r="F111" s="349">
        <v>5.8310000000000002E-3</v>
      </c>
    </row>
    <row r="112" spans="1:6" ht="12" thickBot="1">
      <c r="A112" s="347">
        <v>41634</v>
      </c>
      <c r="B112" s="348">
        <v>1.67E-3</v>
      </c>
      <c r="C112" s="348">
        <v>2.1280000000000001E-3</v>
      </c>
      <c r="D112" s="348">
        <v>2.4685000000000002E-3</v>
      </c>
      <c r="E112" s="348">
        <v>3.4940000000000001E-3</v>
      </c>
      <c r="F112" s="349">
        <v>5.836E-3</v>
      </c>
    </row>
    <row r="113" spans="1:6" ht="12" thickBot="1">
      <c r="A113" s="347">
        <v>41632</v>
      </c>
      <c r="B113" s="348">
        <v>1.67E-3</v>
      </c>
      <c r="C113" s="348">
        <v>2.1280000000000001E-3</v>
      </c>
      <c r="D113" s="348">
        <v>2.4685000000000002E-3</v>
      </c>
      <c r="E113" s="348">
        <v>3.4940000000000001E-3</v>
      </c>
      <c r="F113" s="349">
        <v>5.836E-3</v>
      </c>
    </row>
    <row r="114" spans="1:6" ht="12" thickBot="1">
      <c r="A114" s="347">
        <v>41631</v>
      </c>
      <c r="B114" s="348">
        <v>1.6459999999999999E-3</v>
      </c>
      <c r="C114" s="348">
        <v>2.1275000000000001E-3</v>
      </c>
      <c r="D114" s="348">
        <v>2.4585000000000002E-3</v>
      </c>
      <c r="E114" s="348">
        <v>3.4940000000000001E-3</v>
      </c>
      <c r="F114" s="349">
        <v>5.836E-3</v>
      </c>
    </row>
    <row r="115" spans="1:6" ht="12" thickBot="1">
      <c r="A115" s="347">
        <v>41628</v>
      </c>
      <c r="B115" s="348">
        <v>1.64E-3</v>
      </c>
      <c r="C115" s="348">
        <v>2.1524999999999999E-3</v>
      </c>
      <c r="D115" s="348">
        <v>2.4835E-3</v>
      </c>
      <c r="E115" s="348">
        <v>3.5040000000000002E-3</v>
      </c>
      <c r="F115" s="349">
        <v>5.8409999999999998E-3</v>
      </c>
    </row>
    <row r="116" spans="1:6" ht="12" thickBot="1">
      <c r="A116" s="347">
        <v>41627</v>
      </c>
      <c r="B116" s="348">
        <v>1.645E-3</v>
      </c>
      <c r="C116" s="348">
        <v>2.1450000000000002E-3</v>
      </c>
      <c r="D116" s="348">
        <v>2.4585000000000002E-3</v>
      </c>
      <c r="E116" s="348">
        <v>3.4789999999999999E-3</v>
      </c>
      <c r="F116" s="349">
        <v>5.8060000000000004E-3</v>
      </c>
    </row>
    <row r="117" spans="1:6" ht="12" thickBot="1">
      <c r="A117" s="347">
        <v>41626</v>
      </c>
      <c r="B117" s="348">
        <v>1.668E-3</v>
      </c>
      <c r="C117" s="348">
        <v>2.1405E-3</v>
      </c>
      <c r="D117" s="348">
        <v>2.4510000000000001E-3</v>
      </c>
      <c r="E117" s="348">
        <v>3.4689999999999999E-3</v>
      </c>
      <c r="F117" s="349">
        <v>5.7809999999999997E-3</v>
      </c>
    </row>
    <row r="118" spans="1:6" ht="12" thickBot="1">
      <c r="A118" s="347">
        <v>41625</v>
      </c>
      <c r="B118" s="348">
        <v>1.663E-3</v>
      </c>
      <c r="C118" s="348">
        <v>2.1324999999999998E-3</v>
      </c>
      <c r="D118" s="348">
        <v>2.4434999999999999E-3</v>
      </c>
      <c r="E118" s="348">
        <v>3.4789999999999999E-3</v>
      </c>
      <c r="F118" s="349">
        <v>5.8060000000000004E-3</v>
      </c>
    </row>
    <row r="119" spans="1:6" ht="12" thickBot="1">
      <c r="A119" s="347">
        <v>41624</v>
      </c>
      <c r="B119" s="348">
        <v>1.65E-3</v>
      </c>
      <c r="C119" s="348">
        <v>2.1324999999999998E-3</v>
      </c>
      <c r="D119" s="348">
        <v>2.4285000000000001E-3</v>
      </c>
      <c r="E119" s="348">
        <v>3.454E-3</v>
      </c>
      <c r="F119" s="349">
        <v>5.7959999999999999E-3</v>
      </c>
    </row>
    <row r="120" spans="1:6" ht="12" thickBot="1">
      <c r="A120" s="347">
        <v>41621</v>
      </c>
      <c r="B120" s="348">
        <v>1.64E-3</v>
      </c>
      <c r="C120" s="348">
        <v>2.1375000000000001E-3</v>
      </c>
      <c r="D120" s="348">
        <v>2.4385000000000001E-3</v>
      </c>
      <c r="E120" s="348">
        <v>3.454E-3</v>
      </c>
      <c r="F120" s="349">
        <v>5.8060000000000004E-3</v>
      </c>
    </row>
    <row r="121" spans="1:6" ht="12" thickBot="1">
      <c r="A121" s="347">
        <v>41620</v>
      </c>
      <c r="B121" s="348">
        <v>1.6659999999999999E-3</v>
      </c>
      <c r="C121" s="348">
        <v>2.14E-3</v>
      </c>
      <c r="D121" s="348">
        <v>2.4285000000000001E-3</v>
      </c>
      <c r="E121" s="348">
        <v>3.441E-3</v>
      </c>
      <c r="F121" s="349">
        <v>5.7629999999999999E-3</v>
      </c>
    </row>
    <row r="122" spans="1:6" ht="12" thickBot="1">
      <c r="A122" s="347">
        <v>41619</v>
      </c>
      <c r="B122" s="348">
        <v>1.6735000000000001E-3</v>
      </c>
      <c r="C122" s="348">
        <v>2.14E-3</v>
      </c>
      <c r="D122" s="348">
        <v>2.4385000000000001E-3</v>
      </c>
      <c r="E122" s="348">
        <v>3.4380000000000001E-3</v>
      </c>
      <c r="F122" s="349">
        <v>5.7429999999999998E-3</v>
      </c>
    </row>
    <row r="123" spans="1:6" ht="12" thickBot="1">
      <c r="A123" s="347">
        <v>41618</v>
      </c>
      <c r="B123" s="348">
        <v>1.6934999999999999E-3</v>
      </c>
      <c r="C123" s="348">
        <v>2.15E-3</v>
      </c>
      <c r="D123" s="348">
        <v>2.4185000000000001E-3</v>
      </c>
      <c r="E123" s="348">
        <v>3.4399999999999999E-3</v>
      </c>
      <c r="F123" s="349">
        <v>5.7330000000000002E-3</v>
      </c>
    </row>
    <row r="124" spans="1:6" ht="12" thickBot="1">
      <c r="A124" s="347">
        <v>41617</v>
      </c>
      <c r="B124" s="348">
        <v>1.7060000000000001E-3</v>
      </c>
      <c r="C124" s="348">
        <v>2.1275000000000001E-3</v>
      </c>
      <c r="D124" s="348">
        <v>2.4260000000000002E-3</v>
      </c>
      <c r="E124" s="348">
        <v>3.4199999999999999E-3</v>
      </c>
      <c r="F124" s="349">
        <v>5.7359999999999998E-3</v>
      </c>
    </row>
    <row r="125" spans="1:6" ht="12" thickBot="1">
      <c r="A125" s="347">
        <v>41614</v>
      </c>
      <c r="B125" s="348">
        <v>1.6949999999999999E-3</v>
      </c>
      <c r="C125" s="348">
        <v>2.1150000000000001E-3</v>
      </c>
      <c r="D125" s="348">
        <v>2.4085000000000001E-3</v>
      </c>
      <c r="E125" s="348">
        <v>3.4450000000000001E-3</v>
      </c>
      <c r="F125" s="349">
        <v>5.7670000000000004E-3</v>
      </c>
    </row>
    <row r="126" spans="1:6" ht="12" thickBot="1">
      <c r="A126" s="347">
        <v>41613</v>
      </c>
      <c r="B126" s="348">
        <v>1.6785000000000001E-3</v>
      </c>
      <c r="C126" s="348">
        <v>2.0999999999999999E-3</v>
      </c>
      <c r="D126" s="348">
        <v>2.4160000000000002E-3</v>
      </c>
      <c r="E126" s="348">
        <v>3.46E-3</v>
      </c>
      <c r="F126" s="349">
        <v>5.7720000000000002E-3</v>
      </c>
    </row>
    <row r="127" spans="1:6" ht="12" thickBot="1">
      <c r="A127" s="347">
        <v>41612</v>
      </c>
      <c r="B127" s="348">
        <v>1.6850000000000001E-3</v>
      </c>
      <c r="C127" s="348">
        <v>2.0999999999999999E-3</v>
      </c>
      <c r="D127" s="348">
        <v>2.4185000000000001E-3</v>
      </c>
      <c r="E127" s="348">
        <v>3.4450000000000001E-3</v>
      </c>
      <c r="F127" s="349">
        <v>5.7670000000000004E-3</v>
      </c>
    </row>
    <row r="128" spans="1:6" ht="12" thickBot="1">
      <c r="A128" s="347">
        <v>41611</v>
      </c>
      <c r="B128" s="348">
        <v>1.6750000000000001E-3</v>
      </c>
      <c r="C128" s="348">
        <v>2.0975E-3</v>
      </c>
      <c r="D128" s="348">
        <v>2.4130000000000002E-3</v>
      </c>
      <c r="E128" s="348">
        <v>3.4450000000000001E-3</v>
      </c>
      <c r="F128" s="349">
        <v>5.757E-3</v>
      </c>
    </row>
    <row r="129" spans="1:6" ht="12" thickBot="1">
      <c r="A129" s="347">
        <v>41610</v>
      </c>
      <c r="B129" s="348">
        <v>1.6825E-3</v>
      </c>
      <c r="C129" s="348">
        <v>2.1050000000000001E-3</v>
      </c>
      <c r="D129" s="348">
        <v>2.3885E-3</v>
      </c>
      <c r="E129" s="348">
        <v>3.4629999999999999E-3</v>
      </c>
      <c r="F129" s="349">
        <v>5.77E-3</v>
      </c>
    </row>
    <row r="130" spans="1:6" ht="12" thickBot="1">
      <c r="A130" s="347">
        <v>41607</v>
      </c>
      <c r="B130" s="348">
        <v>1.6825E-3</v>
      </c>
      <c r="C130" s="348">
        <v>2.0699999999999998E-3</v>
      </c>
      <c r="D130" s="348">
        <v>2.3909999999999999E-3</v>
      </c>
      <c r="E130" s="348">
        <v>3.4680000000000002E-3</v>
      </c>
      <c r="F130" s="349">
        <v>5.7800000000000004E-3</v>
      </c>
    </row>
    <row r="131" spans="1:6" ht="12" thickBot="1">
      <c r="A131" s="347">
        <v>41606</v>
      </c>
      <c r="B131" s="348">
        <v>1.6875E-3</v>
      </c>
      <c r="C131" s="348">
        <v>2.065E-3</v>
      </c>
      <c r="D131" s="348">
        <v>2.3909999999999999E-3</v>
      </c>
      <c r="E131" s="348">
        <v>3.4550000000000002E-3</v>
      </c>
      <c r="F131" s="349">
        <v>5.7800000000000004E-3</v>
      </c>
    </row>
    <row r="132" spans="1:6" ht="12" thickBot="1">
      <c r="A132" s="347">
        <v>41605</v>
      </c>
      <c r="B132" s="348">
        <v>1.65E-3</v>
      </c>
      <c r="C132" s="348">
        <v>2.0504999999999998E-3</v>
      </c>
      <c r="D132" s="348">
        <v>2.3760000000000001E-3</v>
      </c>
      <c r="E132" s="348">
        <v>3.46E-3</v>
      </c>
      <c r="F132" s="349">
        <v>5.7809999999999997E-3</v>
      </c>
    </row>
    <row r="133" spans="1:6" ht="12" thickBot="1">
      <c r="A133" s="347">
        <v>41604</v>
      </c>
      <c r="B133" s="348">
        <v>1.64E-3</v>
      </c>
      <c r="C133" s="348">
        <v>2.0500000000000002E-3</v>
      </c>
      <c r="D133" s="348">
        <v>2.366E-3</v>
      </c>
      <c r="E133" s="348">
        <v>3.441E-3</v>
      </c>
      <c r="F133" s="349">
        <v>5.7559999999999998E-3</v>
      </c>
    </row>
    <row r="134" spans="1:6" ht="12" thickBot="1">
      <c r="A134" s="347">
        <v>41603</v>
      </c>
      <c r="B134" s="348">
        <v>1.64E-3</v>
      </c>
      <c r="C134" s="348">
        <v>2.0474999999999998E-3</v>
      </c>
      <c r="D134" s="348">
        <v>2.3584999999999999E-3</v>
      </c>
      <c r="E134" s="348">
        <v>3.4489999999999998E-3</v>
      </c>
      <c r="F134" s="349">
        <v>5.7359999999999998E-3</v>
      </c>
    </row>
    <row r="135" spans="1:6" ht="12" thickBot="1">
      <c r="A135" s="347">
        <v>41600</v>
      </c>
      <c r="B135" s="348">
        <v>1.655E-3</v>
      </c>
      <c r="C135" s="348">
        <v>2.0615E-3</v>
      </c>
      <c r="D135" s="348">
        <v>2.366E-3</v>
      </c>
      <c r="E135" s="348">
        <v>3.4589999999999998E-3</v>
      </c>
      <c r="F135" s="349">
        <v>5.7409999999999996E-3</v>
      </c>
    </row>
    <row r="136" spans="1:6" ht="12" thickBot="1">
      <c r="A136" s="347">
        <v>41599</v>
      </c>
      <c r="B136" s="348">
        <v>1.66E-3</v>
      </c>
      <c r="C136" s="348">
        <v>2.0715E-3</v>
      </c>
      <c r="D136" s="348">
        <v>2.3760000000000001E-3</v>
      </c>
      <c r="E136" s="348">
        <v>3.4689999999999999E-3</v>
      </c>
      <c r="F136" s="349">
        <v>5.7559999999999998E-3</v>
      </c>
    </row>
    <row r="137" spans="1:6" ht="12" thickBot="1">
      <c r="A137" s="347">
        <v>41598</v>
      </c>
      <c r="B137" s="348">
        <v>1.665E-3</v>
      </c>
      <c r="C137" s="348">
        <v>2.0825000000000001E-3</v>
      </c>
      <c r="D137" s="348">
        <v>2.3809999999999999E-3</v>
      </c>
      <c r="E137" s="348">
        <v>3.4989999999999999E-3</v>
      </c>
      <c r="F137" s="349">
        <v>5.8409999999999998E-3</v>
      </c>
    </row>
    <row r="138" spans="1:6" ht="12" thickBot="1">
      <c r="A138" s="347">
        <v>41597</v>
      </c>
      <c r="B138" s="348">
        <v>1.67E-3</v>
      </c>
      <c r="C138" s="348">
        <v>2.0939999999999999E-3</v>
      </c>
      <c r="D138" s="348">
        <v>2.3909999999999999E-3</v>
      </c>
      <c r="E138" s="348">
        <v>3.519E-3</v>
      </c>
      <c r="F138" s="349">
        <v>5.8459999999999996E-3</v>
      </c>
    </row>
    <row r="139" spans="1:6" ht="12" thickBot="1">
      <c r="A139" s="347">
        <v>41596</v>
      </c>
      <c r="B139" s="348">
        <v>1.6800000000000001E-3</v>
      </c>
      <c r="C139" s="348">
        <v>2.0839999999999999E-3</v>
      </c>
      <c r="D139" s="348">
        <v>2.3735000000000002E-3</v>
      </c>
      <c r="E139" s="348">
        <v>3.5140000000000002E-3</v>
      </c>
      <c r="F139" s="349">
        <v>5.8510000000000003E-3</v>
      </c>
    </row>
    <row r="140" spans="1:6" ht="12" thickBot="1">
      <c r="A140" s="347">
        <v>41593</v>
      </c>
      <c r="B140" s="348">
        <v>1.6750000000000001E-3</v>
      </c>
      <c r="C140" s="348">
        <v>2.0699999999999998E-3</v>
      </c>
      <c r="D140" s="348">
        <v>2.3809999999999999E-3</v>
      </c>
      <c r="E140" s="348">
        <v>3.5140000000000002E-3</v>
      </c>
      <c r="F140" s="349">
        <v>5.8409999999999998E-3</v>
      </c>
    </row>
    <row r="141" spans="1:6" ht="12" thickBot="1">
      <c r="A141" s="347">
        <v>41592</v>
      </c>
      <c r="B141" s="348">
        <v>1.6750000000000001E-3</v>
      </c>
      <c r="C141" s="348">
        <v>2.0699999999999998E-3</v>
      </c>
      <c r="D141" s="348">
        <v>2.3844999999999999E-3</v>
      </c>
      <c r="E141" s="348">
        <v>3.5349999999999999E-3</v>
      </c>
      <c r="F141" s="349">
        <v>5.8809999999999999E-3</v>
      </c>
    </row>
    <row r="142" spans="1:6" ht="12" thickBot="1">
      <c r="A142" s="347">
        <v>41591</v>
      </c>
      <c r="B142" s="348">
        <v>1.6770000000000001E-3</v>
      </c>
      <c r="C142" s="348">
        <v>2.0725000000000001E-3</v>
      </c>
      <c r="D142" s="348">
        <v>2.4060000000000002E-3</v>
      </c>
      <c r="E142" s="348">
        <v>3.5539999999999999E-3</v>
      </c>
      <c r="F142" s="349">
        <v>5.9160000000000003E-3</v>
      </c>
    </row>
    <row r="143" spans="1:6" ht="12" thickBot="1">
      <c r="A143" s="347">
        <v>41590</v>
      </c>
      <c r="B143" s="348">
        <v>1.6850000000000001E-3</v>
      </c>
      <c r="C143" s="348">
        <v>2.0755000000000001E-3</v>
      </c>
      <c r="D143" s="348">
        <v>2.3925000000000001E-3</v>
      </c>
      <c r="E143" s="348">
        <v>3.5485E-3</v>
      </c>
      <c r="F143" s="349">
        <v>5.9049999999999997E-3</v>
      </c>
    </row>
    <row r="144" spans="1:6" ht="12" thickBot="1">
      <c r="A144" s="347">
        <v>41586</v>
      </c>
      <c r="B144" s="348">
        <v>1.6850000000000001E-3</v>
      </c>
      <c r="C144" s="348">
        <v>2.0774999999999999E-3</v>
      </c>
      <c r="D144" s="348">
        <v>2.3939999999999999E-3</v>
      </c>
      <c r="E144" s="348">
        <v>3.545E-3</v>
      </c>
      <c r="F144" s="349">
        <v>5.9474999999999997E-3</v>
      </c>
    </row>
    <row r="145" spans="1:6" ht="12" thickBot="1">
      <c r="A145" s="347">
        <v>41585</v>
      </c>
      <c r="B145" s="348">
        <v>1.6750000000000001E-3</v>
      </c>
      <c r="C145" s="348">
        <v>2.0795000000000002E-3</v>
      </c>
      <c r="D145" s="348">
        <v>2.3890000000000001E-3</v>
      </c>
      <c r="E145" s="348">
        <v>3.5425000000000001E-3</v>
      </c>
      <c r="F145" s="349">
        <v>5.9699999999999996E-3</v>
      </c>
    </row>
    <row r="146" spans="1:6" ht="12" thickBot="1">
      <c r="A146" s="347">
        <v>41584</v>
      </c>
      <c r="B146" s="348">
        <v>1.6850000000000001E-3</v>
      </c>
      <c r="C146" s="348">
        <v>2.0895000000000002E-3</v>
      </c>
      <c r="D146" s="348">
        <v>2.3865000000000002E-3</v>
      </c>
      <c r="E146" s="348">
        <v>3.5374999999999998E-3</v>
      </c>
      <c r="F146" s="349">
        <v>5.9750000000000003E-3</v>
      </c>
    </row>
    <row r="147" spans="1:6" ht="12" thickBot="1">
      <c r="A147" s="347">
        <v>41583</v>
      </c>
      <c r="B147" s="348">
        <v>1.6850000000000001E-3</v>
      </c>
      <c r="C147" s="348">
        <v>2.0885000000000001E-3</v>
      </c>
      <c r="D147" s="348">
        <v>2.3770000000000002E-3</v>
      </c>
      <c r="E147" s="348">
        <v>3.516E-3</v>
      </c>
      <c r="F147" s="349">
        <v>5.9610000000000002E-3</v>
      </c>
    </row>
    <row r="148" spans="1:6" ht="12" thickBot="1">
      <c r="A148" s="347">
        <v>41579</v>
      </c>
      <c r="B148" s="348">
        <v>1.6850000000000001E-3</v>
      </c>
      <c r="C148" s="348">
        <v>2.0990000000000002E-3</v>
      </c>
      <c r="D148" s="348">
        <v>2.3774999999999998E-3</v>
      </c>
      <c r="E148" s="348">
        <v>3.5349999999999999E-3</v>
      </c>
      <c r="F148" s="349">
        <v>6.0159999999999996E-3</v>
      </c>
    </row>
    <row r="149" spans="1:6" ht="12" thickBot="1">
      <c r="A149" s="347">
        <v>41578</v>
      </c>
      <c r="B149" s="348">
        <v>1.6800000000000001E-3</v>
      </c>
      <c r="C149" s="348">
        <v>2.1159999999999998E-3</v>
      </c>
      <c r="D149" s="348">
        <v>2.4199999999999998E-3</v>
      </c>
      <c r="E149" s="348">
        <v>3.5490000000000001E-3</v>
      </c>
      <c r="F149" s="349">
        <v>6.0260000000000001E-3</v>
      </c>
    </row>
    <row r="150" spans="1:6" ht="12" thickBot="1">
      <c r="A150" s="347">
        <v>41577</v>
      </c>
      <c r="B150" s="348">
        <v>1.6800000000000001E-3</v>
      </c>
      <c r="C150" s="348">
        <v>2.114E-3</v>
      </c>
      <c r="D150" s="348">
        <v>2.4190000000000001E-3</v>
      </c>
      <c r="E150" s="348">
        <v>3.5490000000000001E-3</v>
      </c>
      <c r="F150" s="349">
        <v>6.0359999999999997E-3</v>
      </c>
    </row>
    <row r="151" spans="1:6" ht="12" thickBot="1">
      <c r="A151" s="347">
        <v>41576</v>
      </c>
      <c r="B151" s="348">
        <v>1.6800000000000001E-3</v>
      </c>
      <c r="C151" s="348">
        <v>2.0925000000000002E-3</v>
      </c>
      <c r="D151" s="348">
        <v>2.3744999999999999E-3</v>
      </c>
      <c r="E151" s="348">
        <v>3.5539999999999999E-3</v>
      </c>
      <c r="F151" s="349">
        <v>6.051E-3</v>
      </c>
    </row>
    <row r="152" spans="1:6" ht="12" thickBot="1">
      <c r="A152" s="347">
        <v>41575</v>
      </c>
      <c r="B152" s="348">
        <v>1.681E-3</v>
      </c>
      <c r="C152" s="348">
        <v>2.0834999999999998E-3</v>
      </c>
      <c r="D152" s="348">
        <v>2.3584999999999999E-3</v>
      </c>
      <c r="E152" s="348">
        <v>3.5379999999999999E-3</v>
      </c>
      <c r="F152" s="349">
        <v>6.0559999999999998E-3</v>
      </c>
    </row>
    <row r="153" spans="1:6" ht="12" thickBot="1">
      <c r="A153" s="347">
        <v>41572</v>
      </c>
      <c r="B153" s="348">
        <v>1.686E-3</v>
      </c>
      <c r="C153" s="348">
        <v>2.0899999999999998E-3</v>
      </c>
      <c r="D153" s="348">
        <v>2.3684999999999999E-3</v>
      </c>
      <c r="E153" s="348">
        <v>3.539E-3</v>
      </c>
      <c r="F153" s="349">
        <v>6.0569999999999999E-3</v>
      </c>
    </row>
    <row r="154" spans="1:6" ht="12" thickBot="1">
      <c r="A154" s="347">
        <v>41571</v>
      </c>
      <c r="B154" s="348">
        <v>1.7099999999999999E-3</v>
      </c>
      <c r="C154" s="348">
        <v>2.0960000000000002E-3</v>
      </c>
      <c r="D154" s="348">
        <v>2.3809999999999999E-3</v>
      </c>
      <c r="E154" s="348">
        <v>3.5620000000000001E-3</v>
      </c>
      <c r="F154" s="349">
        <v>6.0660000000000002E-3</v>
      </c>
    </row>
    <row r="155" spans="1:6" ht="12" thickBot="1">
      <c r="A155" s="347">
        <v>41570</v>
      </c>
      <c r="B155" s="348">
        <v>1.702E-3</v>
      </c>
      <c r="C155" s="348">
        <v>2.0975E-3</v>
      </c>
      <c r="D155" s="348">
        <v>2.3835000000000002E-3</v>
      </c>
      <c r="E155" s="348">
        <v>3.5569999999999998E-3</v>
      </c>
      <c r="F155" s="349">
        <v>6.0860000000000003E-3</v>
      </c>
    </row>
    <row r="156" spans="1:6" ht="12" thickBot="1">
      <c r="A156" s="347">
        <v>41569</v>
      </c>
      <c r="B156" s="348">
        <v>1.6999999999999999E-3</v>
      </c>
      <c r="C156" s="348">
        <v>2.0975E-3</v>
      </c>
      <c r="D156" s="348">
        <v>2.3835000000000002E-3</v>
      </c>
      <c r="E156" s="348">
        <v>3.5839999999999999E-3</v>
      </c>
      <c r="F156" s="349">
        <v>6.1260000000000004E-3</v>
      </c>
    </row>
    <row r="157" spans="1:6" ht="12" thickBot="1">
      <c r="A157" s="347">
        <v>41568</v>
      </c>
      <c r="B157" s="348">
        <v>1.6999999999999999E-3</v>
      </c>
      <c r="C157" s="348">
        <v>2.0999999999999999E-3</v>
      </c>
      <c r="D157" s="348">
        <v>2.3860000000000001E-3</v>
      </c>
      <c r="E157" s="348">
        <v>3.5839999999999999E-3</v>
      </c>
      <c r="F157" s="349">
        <v>6.1310000000000002E-3</v>
      </c>
    </row>
    <row r="158" spans="1:6" ht="12" thickBot="1">
      <c r="A158" s="347">
        <v>41565</v>
      </c>
      <c r="B158" s="348">
        <v>1.72E-3</v>
      </c>
      <c r="C158" s="348">
        <v>2.1075E-3</v>
      </c>
      <c r="D158" s="348">
        <v>2.4055000000000001E-3</v>
      </c>
      <c r="E158" s="348">
        <v>3.5990000000000002E-3</v>
      </c>
      <c r="F158" s="349">
        <v>6.1409999999999998E-3</v>
      </c>
    </row>
    <row r="159" spans="1:6" ht="12" thickBot="1">
      <c r="A159" s="347">
        <v>41564</v>
      </c>
      <c r="B159" s="348">
        <v>1.725E-3</v>
      </c>
      <c r="C159" s="348">
        <v>2.1250000000000002E-3</v>
      </c>
      <c r="D159" s="348">
        <v>2.4204999999999999E-3</v>
      </c>
      <c r="E159" s="348">
        <v>3.594E-3</v>
      </c>
      <c r="F159" s="349">
        <v>6.2009999999999999E-3</v>
      </c>
    </row>
    <row r="160" spans="1:6" ht="12" thickBot="1">
      <c r="A160" s="347">
        <v>41563</v>
      </c>
      <c r="B160" s="348">
        <v>1.755E-3</v>
      </c>
      <c r="C160" s="348">
        <v>2.1624999999999999E-3</v>
      </c>
      <c r="D160" s="348">
        <v>2.4605E-3</v>
      </c>
      <c r="E160" s="348">
        <v>3.6440000000000001E-3</v>
      </c>
      <c r="F160" s="349">
        <v>6.2960000000000004E-3</v>
      </c>
    </row>
    <row r="161" spans="1:6" ht="12" thickBot="1">
      <c r="A161" s="347">
        <v>41562</v>
      </c>
      <c r="B161" s="348">
        <v>1.7374999999999999E-3</v>
      </c>
      <c r="C161" s="348">
        <v>2.1375000000000001E-3</v>
      </c>
      <c r="D161" s="348">
        <v>2.4355000000000002E-3</v>
      </c>
      <c r="E161" s="348">
        <v>3.6340000000000001E-3</v>
      </c>
      <c r="F161" s="349">
        <v>6.2909999999999997E-3</v>
      </c>
    </row>
    <row r="162" spans="1:6" ht="12" thickBot="1">
      <c r="A162" s="347">
        <v>41558</v>
      </c>
      <c r="B162" s="348">
        <v>1.74E-3</v>
      </c>
      <c r="C162" s="348">
        <v>2.1524999999999999E-3</v>
      </c>
      <c r="D162" s="348">
        <v>2.4359999999999998E-3</v>
      </c>
      <c r="E162" s="348">
        <v>3.6340000000000001E-3</v>
      </c>
      <c r="F162" s="349">
        <v>6.2760000000000003E-3</v>
      </c>
    </row>
    <row r="163" spans="1:6" ht="12" thickBot="1">
      <c r="A163" s="347">
        <v>41557</v>
      </c>
      <c r="B163" s="348">
        <v>1.74E-3</v>
      </c>
      <c r="C163" s="348">
        <v>2.1450000000000002E-3</v>
      </c>
      <c r="D163" s="348">
        <v>2.431E-3</v>
      </c>
      <c r="E163" s="348">
        <v>3.6614999999999998E-3</v>
      </c>
      <c r="F163" s="349">
        <v>6.2709999999999997E-3</v>
      </c>
    </row>
    <row r="164" spans="1:6" ht="12" thickBot="1">
      <c r="A164" s="347">
        <v>41556</v>
      </c>
      <c r="B164" s="348">
        <v>1.7725E-3</v>
      </c>
      <c r="C164" s="348">
        <v>2.1725E-3</v>
      </c>
      <c r="D164" s="348">
        <v>2.4559999999999998E-3</v>
      </c>
      <c r="E164" s="348">
        <v>3.6865000000000001E-3</v>
      </c>
      <c r="F164" s="349">
        <v>6.3109999999999998E-3</v>
      </c>
    </row>
    <row r="165" spans="1:6" ht="12" thickBot="1">
      <c r="A165" s="347">
        <v>41555</v>
      </c>
      <c r="B165" s="348">
        <v>1.74E-3</v>
      </c>
      <c r="C165" s="348">
        <v>2.1549999999999998E-3</v>
      </c>
      <c r="D165" s="348">
        <v>2.4359999999999998E-3</v>
      </c>
      <c r="E165" s="348">
        <v>3.6614999999999998E-3</v>
      </c>
      <c r="F165" s="349">
        <v>6.2335000000000003E-3</v>
      </c>
    </row>
    <row r="166" spans="1:6" ht="12" thickBot="1">
      <c r="A166" s="347">
        <v>41554</v>
      </c>
      <c r="B166" s="348">
        <v>1.738E-3</v>
      </c>
      <c r="C166" s="348">
        <v>2.14E-3</v>
      </c>
      <c r="D166" s="348">
        <v>2.4334999999999999E-3</v>
      </c>
      <c r="E166" s="348">
        <v>3.6575000000000002E-3</v>
      </c>
      <c r="F166" s="349">
        <v>6.2084999999999996E-3</v>
      </c>
    </row>
    <row r="167" spans="1:6" ht="12" thickBot="1">
      <c r="A167" s="347">
        <v>41551</v>
      </c>
      <c r="B167" s="348">
        <v>1.7329999999999999E-3</v>
      </c>
      <c r="C167" s="348">
        <v>2.1299999999999999E-3</v>
      </c>
      <c r="D167" s="348">
        <v>2.4285000000000001E-3</v>
      </c>
      <c r="E167" s="348">
        <v>3.65E-3</v>
      </c>
      <c r="F167" s="349">
        <v>6.1859999999999997E-3</v>
      </c>
    </row>
    <row r="168" spans="1:6" ht="12" thickBot="1">
      <c r="A168" s="347">
        <v>41550</v>
      </c>
      <c r="B168" s="348">
        <v>1.743E-3</v>
      </c>
      <c r="C168" s="348">
        <v>2.1324999999999998E-3</v>
      </c>
      <c r="D168" s="348">
        <v>2.4285000000000001E-3</v>
      </c>
      <c r="E168" s="348">
        <v>3.6549999999999998E-3</v>
      </c>
      <c r="F168" s="349">
        <v>6.2265000000000003E-3</v>
      </c>
    </row>
    <row r="169" spans="1:6" ht="12" thickBot="1">
      <c r="A169" s="347">
        <v>41549</v>
      </c>
      <c r="B169" s="348">
        <v>1.7574999999999999E-3</v>
      </c>
      <c r="C169" s="348">
        <v>2.1450000000000002E-3</v>
      </c>
      <c r="D169" s="348">
        <v>2.4434999999999999E-3</v>
      </c>
      <c r="E169" s="348">
        <v>3.6675000000000002E-3</v>
      </c>
      <c r="F169" s="349">
        <v>6.2315000000000001E-3</v>
      </c>
    </row>
    <row r="170" spans="1:6" ht="12" thickBot="1">
      <c r="A170" s="347">
        <v>41548</v>
      </c>
      <c r="B170" s="348">
        <v>1.7799999999999999E-3</v>
      </c>
      <c r="C170" s="348">
        <v>2.16E-3</v>
      </c>
      <c r="D170" s="348">
        <v>2.4585000000000002E-3</v>
      </c>
      <c r="E170" s="348">
        <v>3.6749999999999999E-3</v>
      </c>
      <c r="F170" s="349">
        <v>6.2665000000000004E-3</v>
      </c>
    </row>
    <row r="171" spans="1:6" ht="12" thickBot="1">
      <c r="A171" s="347">
        <v>41547</v>
      </c>
      <c r="B171" s="348">
        <v>1.7884999999999999E-3</v>
      </c>
      <c r="C171" s="348">
        <v>2.1649999999999998E-3</v>
      </c>
      <c r="D171" s="348">
        <v>2.4884999999999998E-3</v>
      </c>
      <c r="E171" s="348">
        <v>3.6849999999999999E-3</v>
      </c>
      <c r="F171" s="349">
        <v>6.2940000000000001E-3</v>
      </c>
    </row>
    <row r="172" spans="1:6" ht="12" thickBot="1">
      <c r="A172" s="347">
        <v>41544</v>
      </c>
      <c r="B172" s="348">
        <v>1.7964999999999999E-3</v>
      </c>
      <c r="C172" s="348">
        <v>2.1649999999999998E-3</v>
      </c>
      <c r="D172" s="348">
        <v>2.4835E-3</v>
      </c>
      <c r="E172" s="348">
        <v>3.6649999999999999E-3</v>
      </c>
      <c r="F172" s="349">
        <v>6.2610000000000001E-3</v>
      </c>
    </row>
    <row r="173" spans="1:6" ht="12" thickBot="1">
      <c r="A173" s="347">
        <v>41543</v>
      </c>
      <c r="B173" s="348">
        <v>1.7905E-3</v>
      </c>
      <c r="C173" s="348">
        <v>2.1800000000000001E-3</v>
      </c>
      <c r="D173" s="348">
        <v>2.4810000000000001E-3</v>
      </c>
      <c r="E173" s="348">
        <v>3.6749999999999999E-3</v>
      </c>
      <c r="F173" s="349">
        <v>6.3109999999999998E-3</v>
      </c>
    </row>
    <row r="174" spans="1:6" ht="12" thickBot="1">
      <c r="A174" s="347">
        <v>41542</v>
      </c>
      <c r="B174" s="348">
        <v>1.7905E-3</v>
      </c>
      <c r="C174" s="348">
        <v>2.1800000000000001E-3</v>
      </c>
      <c r="D174" s="348">
        <v>2.4759999999999999E-3</v>
      </c>
      <c r="E174" s="348">
        <v>3.6849999999999999E-3</v>
      </c>
      <c r="F174" s="349">
        <v>6.3309999999999998E-3</v>
      </c>
    </row>
    <row r="175" spans="1:6" ht="12" thickBot="1">
      <c r="A175" s="347">
        <v>41541</v>
      </c>
      <c r="B175" s="348">
        <v>1.7979999999999999E-3</v>
      </c>
      <c r="C175" s="348">
        <v>2.1900000000000001E-3</v>
      </c>
      <c r="D175" s="348">
        <v>2.5019999999999999E-3</v>
      </c>
      <c r="E175" s="348">
        <v>3.6949999999999999E-3</v>
      </c>
      <c r="F175" s="349">
        <v>6.3509999999999999E-3</v>
      </c>
    </row>
    <row r="176" spans="1:6" ht="12" thickBot="1">
      <c r="A176" s="347">
        <v>41540</v>
      </c>
      <c r="B176" s="348">
        <v>1.7884999999999999E-3</v>
      </c>
      <c r="C176" s="348">
        <v>2.1875000000000002E-3</v>
      </c>
      <c r="D176" s="348">
        <v>2.506E-3</v>
      </c>
      <c r="E176" s="348">
        <v>3.725E-3</v>
      </c>
      <c r="F176" s="349">
        <v>6.3759999999999997E-3</v>
      </c>
    </row>
    <row r="177" spans="1:6" ht="12" thickBot="1">
      <c r="A177" s="347">
        <v>41537</v>
      </c>
      <c r="B177" s="348">
        <v>1.7949999999999999E-3</v>
      </c>
      <c r="C177" s="348">
        <v>2.1825E-3</v>
      </c>
      <c r="D177" s="348">
        <v>2.496E-3</v>
      </c>
      <c r="E177" s="348">
        <v>3.7339999999999999E-3</v>
      </c>
      <c r="F177" s="349">
        <v>6.3860000000000002E-3</v>
      </c>
    </row>
    <row r="178" spans="1:6" ht="12" thickBot="1">
      <c r="A178" s="347">
        <v>41536</v>
      </c>
      <c r="B178" s="348">
        <v>1.7925E-3</v>
      </c>
      <c r="C178" s="348">
        <v>2.1800000000000001E-3</v>
      </c>
      <c r="D178" s="348">
        <v>2.5019999999999999E-3</v>
      </c>
      <c r="E178" s="348">
        <v>3.7439999999999999E-3</v>
      </c>
      <c r="F178" s="349">
        <v>6.3860000000000002E-3</v>
      </c>
    </row>
    <row r="179" spans="1:6" ht="12" thickBot="1">
      <c r="A179" s="347">
        <v>41535</v>
      </c>
      <c r="B179" s="348">
        <v>1.8E-3</v>
      </c>
      <c r="C179" s="348">
        <v>2.2049999999999999E-3</v>
      </c>
      <c r="D179" s="348">
        <v>2.5244999999999998E-3</v>
      </c>
      <c r="E179" s="348">
        <v>3.7889999999999998E-3</v>
      </c>
      <c r="F179" s="349">
        <v>6.5009999999999998E-3</v>
      </c>
    </row>
    <row r="180" spans="1:6" ht="12" thickBot="1">
      <c r="A180" s="347">
        <v>41534</v>
      </c>
      <c r="B180" s="348">
        <v>1.805E-3</v>
      </c>
      <c r="C180" s="348">
        <v>2.2049999999999999E-3</v>
      </c>
      <c r="D180" s="348">
        <v>2.5195E-3</v>
      </c>
      <c r="E180" s="348">
        <v>3.764E-3</v>
      </c>
      <c r="F180" s="349">
        <v>6.5160000000000001E-3</v>
      </c>
    </row>
    <row r="181" spans="1:6" ht="12" thickBot="1">
      <c r="A181" s="347">
        <v>41533</v>
      </c>
      <c r="B181" s="348">
        <v>1.7925E-3</v>
      </c>
      <c r="C181" s="348">
        <v>2.215E-3</v>
      </c>
      <c r="D181" s="348">
        <v>2.5184999999999999E-3</v>
      </c>
      <c r="E181" s="348">
        <v>3.7989999999999999E-3</v>
      </c>
      <c r="F181" s="349">
        <v>6.561E-3</v>
      </c>
    </row>
    <row r="182" spans="1:6" ht="12" thickBot="1">
      <c r="A182" s="347">
        <v>41530</v>
      </c>
      <c r="B182" s="348">
        <v>1.802E-3</v>
      </c>
      <c r="C182" s="348">
        <v>2.2246000000000002E-3</v>
      </c>
      <c r="D182" s="348">
        <v>2.539E-3</v>
      </c>
      <c r="E182" s="348">
        <v>3.8340000000000002E-3</v>
      </c>
      <c r="F182" s="349">
        <v>6.6360000000000004E-3</v>
      </c>
    </row>
    <row r="183" spans="1:6" ht="12" thickBot="1">
      <c r="A183" s="347">
        <v>41529</v>
      </c>
      <c r="B183" s="348">
        <v>1.823E-3</v>
      </c>
      <c r="C183" s="348">
        <v>2.2346000000000002E-3</v>
      </c>
      <c r="D183" s="348">
        <v>2.5439999999999998E-3</v>
      </c>
      <c r="E183" s="348">
        <v>3.8440000000000002E-3</v>
      </c>
      <c r="F183" s="349">
        <v>6.6360000000000004E-3</v>
      </c>
    </row>
    <row r="184" spans="1:6" ht="12" thickBot="1">
      <c r="A184" s="347">
        <v>41528</v>
      </c>
      <c r="B184" s="348">
        <v>1.8240000000000001E-3</v>
      </c>
      <c r="C184" s="348">
        <v>2.2396E-3</v>
      </c>
      <c r="D184" s="348">
        <v>2.5439999999999998E-3</v>
      </c>
      <c r="E184" s="348">
        <v>3.8639999999999998E-3</v>
      </c>
      <c r="F184" s="349">
        <v>6.6509999999999998E-3</v>
      </c>
    </row>
    <row r="185" spans="1:6" ht="12" thickBot="1">
      <c r="A185" s="347">
        <v>41527</v>
      </c>
      <c r="B185" s="348">
        <v>1.8140000000000001E-3</v>
      </c>
      <c r="C185" s="348">
        <v>2.2445999999999998E-3</v>
      </c>
      <c r="D185" s="348">
        <v>2.5590000000000001E-3</v>
      </c>
      <c r="E185" s="348">
        <v>3.8739999999999998E-3</v>
      </c>
      <c r="F185" s="349">
        <v>6.6559999999999996E-3</v>
      </c>
    </row>
    <row r="186" spans="1:6" ht="12" thickBot="1">
      <c r="A186" s="347">
        <v>41526</v>
      </c>
      <c r="B186" s="348">
        <v>1.8190000000000001E-3</v>
      </c>
      <c r="C186" s="348">
        <v>2.2445999999999998E-3</v>
      </c>
      <c r="D186" s="348">
        <v>2.5590000000000001E-3</v>
      </c>
      <c r="E186" s="348">
        <v>3.8739999999999998E-3</v>
      </c>
      <c r="F186" s="349">
        <v>6.6559999999999996E-3</v>
      </c>
    </row>
    <row r="187" spans="1:6" ht="12" thickBot="1">
      <c r="A187" s="347">
        <v>41523</v>
      </c>
      <c r="B187" s="348">
        <v>1.8190000000000001E-3</v>
      </c>
      <c r="C187" s="348">
        <v>2.2445999999999998E-3</v>
      </c>
      <c r="D187" s="348">
        <v>2.5639999999999999E-3</v>
      </c>
      <c r="E187" s="348">
        <v>3.9065000000000003E-3</v>
      </c>
      <c r="F187" s="349">
        <v>6.7510000000000001E-3</v>
      </c>
    </row>
    <row r="188" spans="1:6" ht="12" thickBot="1">
      <c r="A188" s="347">
        <v>41522</v>
      </c>
      <c r="B188" s="348">
        <v>1.8190000000000001E-3</v>
      </c>
      <c r="C188" s="348">
        <v>2.2445999999999998E-3</v>
      </c>
      <c r="D188" s="348">
        <v>2.581E-3</v>
      </c>
      <c r="E188" s="348">
        <v>3.9205000000000004E-3</v>
      </c>
      <c r="F188" s="349">
        <v>6.7510000000000001E-3</v>
      </c>
    </row>
    <row r="189" spans="1:6" ht="12" thickBot="1">
      <c r="A189" s="347">
        <v>41521</v>
      </c>
      <c r="B189" s="348">
        <v>1.817E-3</v>
      </c>
      <c r="C189" s="348">
        <v>2.2445999999999998E-3</v>
      </c>
      <c r="D189" s="348">
        <v>2.5899999999999999E-3</v>
      </c>
      <c r="E189" s="348">
        <v>3.9240000000000004E-3</v>
      </c>
      <c r="F189" s="349">
        <v>6.6810000000000003E-3</v>
      </c>
    </row>
    <row r="190" spans="1:6" ht="12" thickBot="1">
      <c r="A190" s="347">
        <v>41520</v>
      </c>
      <c r="B190" s="348">
        <v>1.8205999999999999E-3</v>
      </c>
      <c r="C190" s="348">
        <v>2.2522000000000002E-3</v>
      </c>
      <c r="D190" s="348">
        <v>2.5950000000000001E-3</v>
      </c>
      <c r="E190" s="348">
        <v>3.9350000000000001E-3</v>
      </c>
      <c r="F190" s="349">
        <v>6.6909999999999999E-3</v>
      </c>
    </row>
    <row r="191" spans="1:6" ht="12" thickBot="1">
      <c r="A191" s="347">
        <v>41519</v>
      </c>
      <c r="B191" s="348">
        <v>1.8255999999999999E-3</v>
      </c>
      <c r="C191" s="348">
        <v>2.2522000000000002E-3</v>
      </c>
      <c r="D191" s="348">
        <v>2.5950000000000001E-3</v>
      </c>
      <c r="E191" s="348">
        <v>3.9350000000000001E-3</v>
      </c>
      <c r="F191" s="349">
        <v>6.6810000000000003E-3</v>
      </c>
    </row>
    <row r="192" spans="1:6" ht="12" thickBot="1">
      <c r="A192" s="347">
        <v>41516</v>
      </c>
      <c r="B192" s="348">
        <v>1.8205999999999999E-3</v>
      </c>
      <c r="C192" s="348">
        <v>2.2522000000000002E-3</v>
      </c>
      <c r="D192" s="348">
        <v>2.5950000000000001E-3</v>
      </c>
      <c r="E192" s="348">
        <v>3.9300000000000003E-3</v>
      </c>
      <c r="F192" s="349">
        <v>6.6709999999999998E-3</v>
      </c>
    </row>
    <row r="193" spans="1:6" ht="12" thickBot="1">
      <c r="A193" s="347">
        <v>41515</v>
      </c>
      <c r="B193" s="348">
        <v>1.8255999999999999E-3</v>
      </c>
      <c r="C193" s="348">
        <v>2.2572E-3</v>
      </c>
      <c r="D193" s="348">
        <v>2.6120000000000002E-3</v>
      </c>
      <c r="E193" s="348">
        <v>3.9300000000000003E-3</v>
      </c>
      <c r="F193" s="349">
        <v>6.6709999999999998E-3</v>
      </c>
    </row>
    <row r="194" spans="1:6" ht="12" thickBot="1">
      <c r="A194" s="347">
        <v>41514</v>
      </c>
      <c r="B194" s="348">
        <v>1.8205999999999999E-3</v>
      </c>
      <c r="C194" s="348">
        <v>2.2572E-3</v>
      </c>
      <c r="D194" s="348">
        <v>2.6050000000000001E-3</v>
      </c>
      <c r="E194" s="348">
        <v>3.9300000000000003E-3</v>
      </c>
      <c r="F194" s="349">
        <v>6.6759999999999996E-3</v>
      </c>
    </row>
    <row r="195" spans="1:6" ht="12" thickBot="1">
      <c r="A195" s="347">
        <v>41513</v>
      </c>
      <c r="B195" s="348">
        <v>1.8255999999999999E-3</v>
      </c>
      <c r="C195" s="348">
        <v>2.2572E-3</v>
      </c>
      <c r="D195" s="348">
        <v>2.594E-3</v>
      </c>
      <c r="E195" s="348">
        <v>3.9350000000000001E-3</v>
      </c>
      <c r="F195" s="349">
        <v>6.6810000000000003E-3</v>
      </c>
    </row>
    <row r="196" spans="1:6" ht="12" thickBot="1">
      <c r="A196" s="347">
        <v>41512</v>
      </c>
      <c r="B196" s="348">
        <v>1.8406E-3</v>
      </c>
      <c r="C196" s="348">
        <v>2.2572E-3</v>
      </c>
      <c r="D196" s="348">
        <v>2.6210000000000001E-3</v>
      </c>
      <c r="E196" s="348">
        <v>3.96E-3</v>
      </c>
      <c r="F196" s="349">
        <v>6.7559999999999999E-3</v>
      </c>
    </row>
    <row r="197" spans="1:6" ht="12" thickBot="1">
      <c r="A197" s="347">
        <v>41509</v>
      </c>
      <c r="B197" s="348">
        <v>1.8406E-3</v>
      </c>
      <c r="C197" s="348">
        <v>2.2572E-3</v>
      </c>
      <c r="D197" s="348">
        <v>2.6210000000000001E-3</v>
      </c>
      <c r="E197" s="348">
        <v>3.96E-3</v>
      </c>
      <c r="F197" s="349">
        <v>6.7559999999999999E-3</v>
      </c>
    </row>
    <row r="198" spans="1:6" ht="12" thickBot="1">
      <c r="A198" s="347">
        <v>41508</v>
      </c>
      <c r="B198" s="348">
        <v>1.8406E-3</v>
      </c>
      <c r="C198" s="348">
        <v>2.2572E-3</v>
      </c>
      <c r="D198" s="348">
        <v>2.6210000000000001E-3</v>
      </c>
      <c r="E198" s="348">
        <v>3.9649999999999998E-3</v>
      </c>
      <c r="F198" s="349">
        <v>6.731E-3</v>
      </c>
    </row>
    <row r="199" spans="1:6" ht="12" thickBot="1">
      <c r="A199" s="347">
        <v>41507</v>
      </c>
      <c r="B199" s="348">
        <v>1.8335999999999999E-3</v>
      </c>
      <c r="C199" s="348">
        <v>2.2572E-3</v>
      </c>
      <c r="D199" s="348">
        <v>2.6210000000000001E-3</v>
      </c>
      <c r="E199" s="348">
        <v>3.9449999999999997E-3</v>
      </c>
      <c r="F199" s="349">
        <v>6.6610000000000003E-3</v>
      </c>
    </row>
    <row r="200" spans="1:6" ht="12" thickBot="1">
      <c r="A200" s="347">
        <v>41506</v>
      </c>
      <c r="B200" s="348">
        <v>1.8286000000000001E-3</v>
      </c>
      <c r="C200" s="348">
        <v>2.2522000000000002E-3</v>
      </c>
      <c r="D200" s="348">
        <v>2.6210000000000001E-3</v>
      </c>
      <c r="E200" s="348">
        <v>3.9449999999999997E-3</v>
      </c>
      <c r="F200" s="349">
        <v>6.6709999999999998E-3</v>
      </c>
    </row>
    <row r="201" spans="1:6" ht="12" thickBot="1">
      <c r="A201" s="347">
        <v>41502</v>
      </c>
      <c r="B201" s="348">
        <v>1.8406E-3</v>
      </c>
      <c r="C201" s="348">
        <v>2.2621999999999998E-3</v>
      </c>
      <c r="D201" s="348">
        <v>2.6410000000000001E-3</v>
      </c>
      <c r="E201" s="348">
        <v>3.9449999999999997E-3</v>
      </c>
      <c r="F201" s="349">
        <v>6.6759999999999996E-3</v>
      </c>
    </row>
    <row r="202" spans="1:6" ht="12" thickBot="1">
      <c r="A202" s="347">
        <v>41501</v>
      </c>
      <c r="B202" s="348">
        <v>1.8406E-3</v>
      </c>
      <c r="C202" s="348">
        <v>2.2621999999999998E-3</v>
      </c>
      <c r="D202" s="348">
        <v>2.6319999999999998E-3</v>
      </c>
      <c r="E202" s="348">
        <v>3.9449999999999997E-3</v>
      </c>
      <c r="F202" s="349">
        <v>6.6759999999999996E-3</v>
      </c>
    </row>
    <row r="203" spans="1:6" ht="12" thickBot="1">
      <c r="A203" s="347">
        <v>41500</v>
      </c>
      <c r="B203" s="348">
        <v>1.8406E-3</v>
      </c>
      <c r="C203" s="348">
        <v>2.2621999999999998E-3</v>
      </c>
      <c r="D203" s="348">
        <v>2.6319999999999998E-3</v>
      </c>
      <c r="E203" s="348">
        <v>3.9550000000000002E-3</v>
      </c>
      <c r="F203" s="349">
        <v>6.6759999999999996E-3</v>
      </c>
    </row>
    <row r="204" spans="1:6" ht="12" thickBot="1">
      <c r="A204" s="347">
        <v>41499</v>
      </c>
      <c r="B204" s="348">
        <v>1.8406E-3</v>
      </c>
      <c r="C204" s="348">
        <v>2.2621999999999998E-3</v>
      </c>
      <c r="D204" s="348">
        <v>2.6419999999999998E-3</v>
      </c>
      <c r="E204" s="348">
        <v>3.9550000000000002E-3</v>
      </c>
      <c r="F204" s="349">
        <v>6.646E-3</v>
      </c>
    </row>
    <row r="205" spans="1:6" ht="12" thickBot="1">
      <c r="A205" s="347">
        <v>41498</v>
      </c>
      <c r="B205" s="348">
        <v>1.8456E-3</v>
      </c>
      <c r="C205" s="348">
        <v>2.2672E-3</v>
      </c>
      <c r="D205" s="348">
        <v>2.647E-3</v>
      </c>
      <c r="E205" s="348">
        <v>3.9550000000000002E-3</v>
      </c>
      <c r="F205" s="349">
        <v>6.6509999999999998E-3</v>
      </c>
    </row>
    <row r="206" spans="1:6" ht="12" thickBot="1">
      <c r="A206" s="347">
        <v>41495</v>
      </c>
      <c r="B206" s="348">
        <v>1.8456E-3</v>
      </c>
      <c r="C206" s="348">
        <v>2.2672E-3</v>
      </c>
      <c r="D206" s="348">
        <v>2.647E-3</v>
      </c>
      <c r="E206" s="348">
        <v>3.9449999999999997E-3</v>
      </c>
      <c r="F206" s="349">
        <v>6.6489000000000001E-3</v>
      </c>
    </row>
    <row r="207" spans="1:6" ht="12" thickBot="1">
      <c r="A207" s="347">
        <v>41494</v>
      </c>
      <c r="B207" s="348">
        <v>1.8503E-3</v>
      </c>
      <c r="C207" s="348">
        <v>2.2699E-3</v>
      </c>
      <c r="D207" s="348">
        <v>2.647E-3</v>
      </c>
      <c r="E207" s="348">
        <v>3.9500000000000004E-3</v>
      </c>
      <c r="F207" s="349">
        <v>6.6489000000000001E-3</v>
      </c>
    </row>
    <row r="208" spans="1:6" ht="12" thickBot="1">
      <c r="A208" s="347">
        <v>41492</v>
      </c>
      <c r="B208" s="348">
        <v>1.8503E-3</v>
      </c>
      <c r="C208" s="348">
        <v>2.2699E-3</v>
      </c>
      <c r="D208" s="348">
        <v>2.6640000000000001E-3</v>
      </c>
      <c r="E208" s="348">
        <v>3.9550000000000002E-3</v>
      </c>
      <c r="F208" s="349">
        <v>6.6538999999999999E-3</v>
      </c>
    </row>
    <row r="209" spans="1:6" ht="12" thickBot="1">
      <c r="A209" s="347">
        <v>41491</v>
      </c>
      <c r="B209" s="348">
        <v>1.8603000000000001E-3</v>
      </c>
      <c r="C209" s="348">
        <v>2.2699E-3</v>
      </c>
      <c r="D209" s="348">
        <v>2.6540000000000001E-3</v>
      </c>
      <c r="E209" s="348">
        <v>3.9550000000000002E-3</v>
      </c>
      <c r="F209" s="349">
        <v>6.6639000000000004E-3</v>
      </c>
    </row>
    <row r="210" spans="1:6" ht="12" thickBot="1">
      <c r="A210" s="347">
        <v>41488</v>
      </c>
      <c r="B210" s="348">
        <v>1.8592999999999999E-3</v>
      </c>
      <c r="C210" s="348">
        <v>2.2788999999999999E-3</v>
      </c>
      <c r="D210" s="348">
        <v>2.666E-3</v>
      </c>
      <c r="E210" s="348">
        <v>3.9649999999999998E-3</v>
      </c>
      <c r="F210" s="349">
        <v>6.7419000000000003E-3</v>
      </c>
    </row>
    <row r="211" spans="1:6" ht="12" thickBot="1">
      <c r="A211" s="347">
        <v>41487</v>
      </c>
      <c r="B211" s="348">
        <v>1.8592999999999999E-3</v>
      </c>
      <c r="C211" s="348">
        <v>2.2788999999999999E-3</v>
      </c>
      <c r="D211" s="348">
        <v>2.6559999999999999E-3</v>
      </c>
      <c r="E211" s="348">
        <v>3.9699999999999996E-3</v>
      </c>
      <c r="F211" s="349">
        <v>6.7318999999999999E-3</v>
      </c>
    </row>
    <row r="212" spans="1:6" ht="12" thickBot="1">
      <c r="A212" s="347">
        <v>41486</v>
      </c>
      <c r="B212" s="348">
        <v>1.8672999999999999E-3</v>
      </c>
      <c r="C212" s="348">
        <v>2.2788999999999999E-3</v>
      </c>
      <c r="D212" s="348">
        <v>2.6559999999999999E-3</v>
      </c>
      <c r="E212" s="348">
        <v>3.9649999999999998E-3</v>
      </c>
      <c r="F212" s="349">
        <v>6.7318999999999999E-3</v>
      </c>
    </row>
    <row r="213" spans="1:6" ht="12" thickBot="1">
      <c r="A213" s="347">
        <v>41485</v>
      </c>
      <c r="B213" s="348">
        <v>1.8722999999999999E-3</v>
      </c>
      <c r="C213" s="348">
        <v>2.2748999999999998E-3</v>
      </c>
      <c r="D213" s="348">
        <v>2.65E-3</v>
      </c>
      <c r="E213" s="348">
        <v>3.9699999999999996E-3</v>
      </c>
      <c r="F213" s="349">
        <v>6.7318999999999999E-3</v>
      </c>
    </row>
    <row r="214" spans="1:6" ht="12" thickBot="1">
      <c r="A214" s="347">
        <v>41484</v>
      </c>
      <c r="B214" s="348">
        <v>1.8642999999999999E-3</v>
      </c>
      <c r="C214" s="348">
        <v>2.2748999999999998E-3</v>
      </c>
      <c r="D214" s="348">
        <v>2.66E-3</v>
      </c>
      <c r="E214" s="348">
        <v>3.9550000000000002E-3</v>
      </c>
      <c r="F214" s="349">
        <v>6.7318999999999999E-3</v>
      </c>
    </row>
    <row r="215" spans="1:6" ht="12" thickBot="1">
      <c r="A215" s="347">
        <v>41481</v>
      </c>
      <c r="B215" s="348">
        <v>1.8642999999999999E-3</v>
      </c>
      <c r="C215" s="348">
        <v>2.2748999999999998E-3</v>
      </c>
      <c r="D215" s="348">
        <v>2.65E-3</v>
      </c>
      <c r="E215" s="348">
        <v>3.9550000000000002E-3</v>
      </c>
      <c r="F215" s="349">
        <v>6.7368999999999997E-3</v>
      </c>
    </row>
    <row r="216" spans="1:6" ht="12" thickBot="1">
      <c r="A216" s="347">
        <v>41480</v>
      </c>
      <c r="B216" s="348">
        <v>1.8642999999999999E-3</v>
      </c>
      <c r="C216" s="348">
        <v>2.2889E-3</v>
      </c>
      <c r="D216" s="348">
        <v>2.6380000000000002E-3</v>
      </c>
      <c r="E216" s="348">
        <v>3.9649999999999998E-3</v>
      </c>
      <c r="F216" s="349">
        <v>6.7593999999999996E-3</v>
      </c>
    </row>
    <row r="217" spans="1:6" ht="12" thickBot="1">
      <c r="A217" s="347">
        <v>41479</v>
      </c>
      <c r="B217" s="348">
        <v>1.8933000000000001E-3</v>
      </c>
      <c r="C217" s="348">
        <v>2.2889E-3</v>
      </c>
      <c r="D217" s="348">
        <v>2.643E-3</v>
      </c>
      <c r="E217" s="348">
        <v>3.9649999999999998E-3</v>
      </c>
      <c r="F217" s="349">
        <v>6.7543999999999998E-3</v>
      </c>
    </row>
    <row r="218" spans="1:6" ht="12" thickBot="1">
      <c r="A218" s="347">
        <v>41478</v>
      </c>
      <c r="B218" s="348">
        <v>1.9002999999999999E-3</v>
      </c>
      <c r="C218" s="348">
        <v>2.3048999999999999E-3</v>
      </c>
      <c r="D218" s="348">
        <v>2.6589999999999999E-3</v>
      </c>
      <c r="E218" s="348">
        <v>3.9649999999999998E-3</v>
      </c>
      <c r="F218" s="349">
        <v>6.7593999999999996E-3</v>
      </c>
    </row>
    <row r="219" spans="1:6" ht="12" thickBot="1">
      <c r="A219" s="347">
        <v>41477</v>
      </c>
      <c r="B219" s="348">
        <v>1.9053E-3</v>
      </c>
      <c r="C219" s="348">
        <v>2.2929000000000001E-3</v>
      </c>
      <c r="D219" s="348">
        <v>2.647E-3</v>
      </c>
      <c r="E219" s="348">
        <v>3.9649999999999998E-3</v>
      </c>
      <c r="F219" s="349">
        <v>6.8094000000000002E-3</v>
      </c>
    </row>
    <row r="220" spans="1:6" ht="12" thickBot="1">
      <c r="A220" s="347">
        <v>41474</v>
      </c>
      <c r="B220" s="348">
        <v>1.9103E-3</v>
      </c>
      <c r="C220" s="348">
        <v>2.3108999999999998E-3</v>
      </c>
      <c r="D220" s="348">
        <v>2.647E-3</v>
      </c>
      <c r="E220" s="348">
        <v>3.9750000000000002E-3</v>
      </c>
      <c r="F220" s="349">
        <v>6.8094000000000002E-3</v>
      </c>
    </row>
    <row r="221" spans="1:6" ht="12" thickBot="1">
      <c r="A221" s="347">
        <v>41473</v>
      </c>
      <c r="B221" s="348">
        <v>1.9153E-3</v>
      </c>
      <c r="C221" s="348">
        <v>2.3159000000000001E-3</v>
      </c>
      <c r="D221" s="348">
        <v>2.6619999999999999E-3</v>
      </c>
      <c r="E221" s="348">
        <v>3.98E-3</v>
      </c>
      <c r="F221" s="349">
        <v>6.8094000000000002E-3</v>
      </c>
    </row>
    <row r="222" spans="1:6" ht="12" thickBot="1">
      <c r="A222" s="347">
        <v>41472</v>
      </c>
      <c r="B222" s="348">
        <v>1.9153E-3</v>
      </c>
      <c r="C222" s="348">
        <v>2.3134000000000002E-3</v>
      </c>
      <c r="D222" s="348">
        <v>2.6619999999999999E-3</v>
      </c>
      <c r="E222" s="348">
        <v>4.0000000000000001E-3</v>
      </c>
      <c r="F222" s="349">
        <v>6.8418999999999997E-3</v>
      </c>
    </row>
    <row r="223" spans="1:6" ht="12" thickBot="1">
      <c r="A223" s="347">
        <v>41471</v>
      </c>
      <c r="B223" s="348">
        <v>1.9053E-3</v>
      </c>
      <c r="C223" s="348">
        <v>2.3134000000000002E-3</v>
      </c>
      <c r="D223" s="348">
        <v>2.6619999999999999E-3</v>
      </c>
      <c r="E223" s="348">
        <v>4.0200000000000001E-3</v>
      </c>
      <c r="F223" s="349">
        <v>6.8719000000000002E-3</v>
      </c>
    </row>
    <row r="224" spans="1:6" ht="12" thickBot="1">
      <c r="A224" s="347">
        <v>41470</v>
      </c>
      <c r="B224" s="348">
        <v>1.9193000000000001E-3</v>
      </c>
      <c r="C224" s="348">
        <v>2.3303999999999998E-3</v>
      </c>
      <c r="D224" s="348">
        <v>2.676E-3</v>
      </c>
      <c r="E224" s="348">
        <v>4.0350000000000004E-3</v>
      </c>
      <c r="F224" s="349">
        <v>6.8985000000000001E-3</v>
      </c>
    </row>
    <row r="225" spans="1:6" ht="12" thickBot="1">
      <c r="A225" s="347">
        <v>41467</v>
      </c>
      <c r="B225" s="348">
        <v>1.9193000000000001E-3</v>
      </c>
      <c r="C225" s="348">
        <v>2.3303999999999998E-3</v>
      </c>
      <c r="D225" s="348">
        <v>2.676E-3</v>
      </c>
      <c r="E225" s="348">
        <v>4.0200000000000001E-3</v>
      </c>
      <c r="F225" s="349">
        <v>6.8585E-3</v>
      </c>
    </row>
    <row r="226" spans="1:6" ht="12" thickBot="1">
      <c r="A226" s="347">
        <v>41466</v>
      </c>
      <c r="B226" s="348">
        <v>1.9103E-3</v>
      </c>
      <c r="C226" s="348">
        <v>2.3354000000000001E-3</v>
      </c>
      <c r="D226" s="348">
        <v>2.6809999999999998E-3</v>
      </c>
      <c r="E226" s="348">
        <v>4.0400000000000002E-3</v>
      </c>
      <c r="F226" s="349">
        <v>6.8834999999999999E-3</v>
      </c>
    </row>
    <row r="227" spans="1:6" ht="12" thickBot="1">
      <c r="A227" s="347">
        <v>41465</v>
      </c>
      <c r="B227" s="348">
        <v>1.9212999999999999E-3</v>
      </c>
      <c r="C227" s="348">
        <v>2.3503999999999999E-3</v>
      </c>
      <c r="D227" s="348">
        <v>2.6909999999999998E-3</v>
      </c>
      <c r="E227" s="348">
        <v>4.084E-3</v>
      </c>
      <c r="F227" s="349">
        <v>6.9365E-3</v>
      </c>
    </row>
    <row r="228" spans="1:6" ht="12" thickBot="1">
      <c r="A228" s="347">
        <v>41464</v>
      </c>
      <c r="B228" s="348">
        <v>1.9276E-3</v>
      </c>
      <c r="C228" s="348">
        <v>2.3603999999999999E-3</v>
      </c>
      <c r="D228" s="348">
        <v>2.6909999999999998E-3</v>
      </c>
      <c r="E228" s="348">
        <v>4.084E-3</v>
      </c>
      <c r="F228" s="349">
        <v>6.9164999999999999E-3</v>
      </c>
    </row>
    <row r="229" spans="1:6" ht="12" thickBot="1">
      <c r="A229" s="347">
        <v>41463</v>
      </c>
      <c r="B229" s="348">
        <v>1.9277999999999999E-3</v>
      </c>
      <c r="C229" s="348">
        <v>2.3554000000000001E-3</v>
      </c>
      <c r="D229" s="348">
        <v>2.686E-3</v>
      </c>
      <c r="E229" s="348">
        <v>4.104E-3</v>
      </c>
      <c r="F229" s="349">
        <v>6.9414999999999998E-3</v>
      </c>
    </row>
    <row r="230" spans="1:6" ht="12" thickBot="1">
      <c r="A230" s="347">
        <v>41460</v>
      </c>
      <c r="B230" s="348">
        <v>1.9478E-3</v>
      </c>
      <c r="C230" s="348">
        <v>2.3684000000000001E-3</v>
      </c>
      <c r="D230" s="348">
        <v>2.699E-3</v>
      </c>
      <c r="E230" s="348">
        <v>4.0990000000000002E-3</v>
      </c>
      <c r="F230" s="349">
        <v>6.8964999999999999E-3</v>
      </c>
    </row>
    <row r="231" spans="1:6" ht="12" thickBot="1">
      <c r="A231" s="347">
        <v>41459</v>
      </c>
      <c r="B231" s="348">
        <v>1.9478E-3</v>
      </c>
      <c r="C231" s="348">
        <v>2.3733999999999999E-3</v>
      </c>
      <c r="D231" s="348">
        <v>2.709E-3</v>
      </c>
      <c r="E231" s="348">
        <v>4.1440000000000001E-3</v>
      </c>
      <c r="F231" s="349">
        <v>6.9164999999999999E-3</v>
      </c>
    </row>
    <row r="232" spans="1:6" ht="12" thickBot="1">
      <c r="A232" s="347">
        <v>41458</v>
      </c>
      <c r="B232" s="348">
        <v>1.9478E-3</v>
      </c>
      <c r="C232" s="348">
        <v>2.3763999999999999E-3</v>
      </c>
      <c r="D232" s="348">
        <v>2.7390000000000001E-3</v>
      </c>
      <c r="E232" s="348">
        <v>4.1450999999999997E-3</v>
      </c>
      <c r="F232" s="349">
        <v>6.9065000000000003E-3</v>
      </c>
    </row>
    <row r="233" spans="1:6" ht="12" thickBot="1">
      <c r="A233" s="347">
        <v>41457</v>
      </c>
      <c r="B233" s="348">
        <v>1.9528E-3</v>
      </c>
      <c r="C233" s="348">
        <v>2.3663999999999998E-3</v>
      </c>
      <c r="D233" s="348">
        <v>2.7290000000000001E-3</v>
      </c>
      <c r="E233" s="348">
        <v>4.1289999999999999E-3</v>
      </c>
      <c r="F233" s="349">
        <v>6.8814999999999996E-3</v>
      </c>
    </row>
    <row r="234" spans="1:6" ht="12" thickBot="1">
      <c r="A234" s="347">
        <v>41453</v>
      </c>
      <c r="B234" s="348">
        <v>1.9465000000000001E-3</v>
      </c>
      <c r="C234" s="348">
        <v>2.3555999999999998E-3</v>
      </c>
      <c r="D234" s="348">
        <v>2.7309999999999999E-3</v>
      </c>
      <c r="E234" s="348">
        <v>4.1339999999999997E-3</v>
      </c>
      <c r="F234" s="349">
        <v>6.8564999999999997E-3</v>
      </c>
    </row>
    <row r="235" spans="1:6" ht="12" thickBot="1">
      <c r="A235" s="347">
        <v>41452</v>
      </c>
      <c r="B235" s="348">
        <v>1.9505E-3</v>
      </c>
      <c r="C235" s="348">
        <v>2.3616000000000002E-3</v>
      </c>
      <c r="D235" s="348">
        <v>2.7399999999999998E-3</v>
      </c>
      <c r="E235" s="348">
        <v>4.1679999999999998E-3</v>
      </c>
      <c r="F235" s="349">
        <v>6.9065000000000003E-3</v>
      </c>
    </row>
    <row r="236" spans="1:6" ht="12" thickBot="1">
      <c r="A236" s="347">
        <v>41451</v>
      </c>
      <c r="B236" s="348">
        <v>1.9534999999999999E-3</v>
      </c>
      <c r="C236" s="348">
        <v>2.3636E-3</v>
      </c>
      <c r="D236" s="348">
        <v>2.7560000000000002E-3</v>
      </c>
      <c r="E236" s="348">
        <v>4.2190999999999999E-3</v>
      </c>
      <c r="F236" s="349">
        <v>6.9765000000000001E-3</v>
      </c>
    </row>
    <row r="237" spans="1:6" ht="12" thickBot="1">
      <c r="A237" s="347">
        <v>41450</v>
      </c>
      <c r="B237" s="348">
        <v>1.9434999999999999E-3</v>
      </c>
      <c r="C237" s="348">
        <v>2.3536E-3</v>
      </c>
      <c r="D237" s="348">
        <v>2.761E-3</v>
      </c>
      <c r="E237" s="348">
        <v>4.2341000000000002E-3</v>
      </c>
      <c r="F237" s="349">
        <v>7.0115000000000004E-3</v>
      </c>
    </row>
    <row r="238" spans="1:6" ht="12" thickBot="1">
      <c r="A238" s="347">
        <v>41449</v>
      </c>
      <c r="B238" s="348">
        <v>1.9534999999999999E-3</v>
      </c>
      <c r="C238" s="348">
        <v>2.3536E-3</v>
      </c>
      <c r="D238" s="348">
        <v>2.7675E-3</v>
      </c>
      <c r="E238" s="348">
        <v>4.2541000000000002E-3</v>
      </c>
      <c r="F238" s="349">
        <v>7.0315000000000004E-3</v>
      </c>
    </row>
    <row r="239" spans="1:6" ht="12" thickBot="1">
      <c r="A239" s="347">
        <v>41446</v>
      </c>
      <c r="B239" s="348">
        <v>1.9300000000000001E-3</v>
      </c>
      <c r="C239" s="348">
        <v>2.3280000000000002E-3</v>
      </c>
      <c r="D239" s="348">
        <v>2.7274999999999999E-3</v>
      </c>
      <c r="E239" s="348">
        <v>4.1380000000000002E-3</v>
      </c>
      <c r="F239" s="349">
        <v>6.8294999999999996E-3</v>
      </c>
    </row>
    <row r="240" spans="1:6" ht="12" thickBot="1">
      <c r="A240" s="347">
        <v>41445</v>
      </c>
      <c r="B240" s="348">
        <v>1.9300000000000001E-3</v>
      </c>
      <c r="C240" s="348">
        <v>2.3210000000000001E-3</v>
      </c>
      <c r="D240" s="348">
        <v>2.7255000000000001E-3</v>
      </c>
      <c r="E240" s="348">
        <v>4.1326000000000002E-3</v>
      </c>
      <c r="F240" s="349">
        <v>6.8044999999999998E-3</v>
      </c>
    </row>
    <row r="241" spans="1:6" ht="12" thickBot="1">
      <c r="A241" s="347">
        <v>41444</v>
      </c>
      <c r="B241" s="348">
        <v>1.916E-3</v>
      </c>
      <c r="C241" s="348">
        <v>2.2896000000000001E-3</v>
      </c>
      <c r="D241" s="348">
        <v>2.7174999999999999E-3</v>
      </c>
      <c r="E241" s="348">
        <v>4.0926000000000001E-3</v>
      </c>
      <c r="F241" s="349">
        <v>6.6810000000000003E-3</v>
      </c>
    </row>
    <row r="242" spans="1:6" ht="12" thickBot="1">
      <c r="A242" s="347">
        <v>41443</v>
      </c>
      <c r="B242" s="348">
        <v>1.916E-3</v>
      </c>
      <c r="C242" s="348">
        <v>2.3046E-3</v>
      </c>
      <c r="D242" s="348">
        <v>2.7225000000000001E-3</v>
      </c>
      <c r="E242" s="348">
        <v>4.0926000000000001E-3</v>
      </c>
      <c r="F242" s="349">
        <v>6.6810000000000003E-3</v>
      </c>
    </row>
    <row r="243" spans="1:6" ht="12" thickBot="1">
      <c r="A243" s="347">
        <v>41442</v>
      </c>
      <c r="B243" s="348">
        <v>1.916E-3</v>
      </c>
      <c r="C243" s="348">
        <v>2.3046E-3</v>
      </c>
      <c r="D243" s="348">
        <v>2.7325000000000001E-3</v>
      </c>
      <c r="E243" s="348">
        <v>4.1126000000000001E-3</v>
      </c>
      <c r="F243" s="349">
        <v>6.6810000000000003E-3</v>
      </c>
    </row>
    <row r="244" spans="1:6" ht="12" thickBot="1">
      <c r="A244" s="347">
        <v>41439</v>
      </c>
      <c r="B244" s="348">
        <v>1.9250000000000001E-3</v>
      </c>
      <c r="C244" s="348">
        <v>2.3026000000000001E-3</v>
      </c>
      <c r="D244" s="348">
        <v>2.7274999999999999E-3</v>
      </c>
      <c r="E244" s="348">
        <v>4.1126000000000001E-3</v>
      </c>
      <c r="F244" s="349">
        <v>6.6909999999999999E-3</v>
      </c>
    </row>
    <row r="245" spans="1:6" ht="12" thickBot="1">
      <c r="A245" s="347">
        <v>41438</v>
      </c>
      <c r="B245" s="348">
        <v>1.9250000000000001E-3</v>
      </c>
      <c r="C245" s="348">
        <v>2.3075999999999999E-3</v>
      </c>
      <c r="D245" s="348">
        <v>2.7325000000000001E-3</v>
      </c>
      <c r="E245" s="348">
        <v>4.1476000000000004E-3</v>
      </c>
      <c r="F245" s="349">
        <v>6.7869999999999996E-3</v>
      </c>
    </row>
    <row r="246" spans="1:6" ht="12" thickBot="1">
      <c r="A246" s="347">
        <v>41437</v>
      </c>
      <c r="B246" s="348">
        <v>1.9250000000000001E-3</v>
      </c>
      <c r="C246" s="348">
        <v>2.2975999999999999E-3</v>
      </c>
      <c r="D246" s="348">
        <v>2.7325000000000001E-3</v>
      </c>
      <c r="E246" s="348">
        <v>4.1376E-3</v>
      </c>
      <c r="F246" s="349">
        <v>6.8320000000000004E-3</v>
      </c>
    </row>
    <row r="247" spans="1:6" ht="12" thickBot="1">
      <c r="A247" s="347">
        <v>41436</v>
      </c>
      <c r="B247" s="348">
        <v>1.9250000000000001E-3</v>
      </c>
      <c r="C247" s="348">
        <v>2.2875999999999999E-3</v>
      </c>
      <c r="D247" s="348">
        <v>2.7225000000000001E-3</v>
      </c>
      <c r="E247" s="348">
        <v>4.1126000000000001E-3</v>
      </c>
      <c r="F247" s="349">
        <v>6.8469999999999998E-3</v>
      </c>
    </row>
    <row r="248" spans="1:6" ht="12" thickBot="1">
      <c r="A248" s="347">
        <v>41432</v>
      </c>
      <c r="B248" s="348">
        <v>1.9238E-3</v>
      </c>
      <c r="C248" s="348">
        <v>2.3026000000000001E-3</v>
      </c>
      <c r="D248" s="348">
        <v>2.7515E-3</v>
      </c>
      <c r="E248" s="348">
        <v>4.0975999999999999E-3</v>
      </c>
      <c r="F248" s="349">
        <v>6.8519999999999996E-3</v>
      </c>
    </row>
    <row r="249" spans="1:6" ht="12" thickBot="1">
      <c r="A249" s="347">
        <v>41431</v>
      </c>
      <c r="B249" s="348">
        <v>1.9288E-3</v>
      </c>
      <c r="C249" s="348">
        <v>2.2986E-3</v>
      </c>
      <c r="D249" s="348">
        <v>2.7425000000000001E-3</v>
      </c>
      <c r="E249" s="348">
        <v>4.1025999999999996E-3</v>
      </c>
      <c r="F249" s="349">
        <v>6.8519999999999996E-3</v>
      </c>
    </row>
    <row r="250" spans="1:6" ht="12" thickBot="1">
      <c r="A250" s="347">
        <v>41430</v>
      </c>
      <c r="B250" s="348">
        <v>1.9327999999999999E-3</v>
      </c>
      <c r="C250" s="348">
        <v>2.3016E-3</v>
      </c>
      <c r="D250" s="348">
        <v>2.7445E-3</v>
      </c>
      <c r="E250" s="348">
        <v>4.1276000000000004E-3</v>
      </c>
      <c r="F250" s="349">
        <v>6.862E-3</v>
      </c>
    </row>
    <row r="251" spans="1:6" ht="12" thickBot="1">
      <c r="A251" s="347">
        <v>41429</v>
      </c>
      <c r="B251" s="348">
        <v>1.9327999999999999E-3</v>
      </c>
      <c r="C251" s="348">
        <v>2.2966000000000002E-3</v>
      </c>
      <c r="D251" s="348">
        <v>2.7395000000000002E-3</v>
      </c>
      <c r="E251" s="348">
        <v>4.1175999999999999E-3</v>
      </c>
      <c r="F251" s="349">
        <v>6.8719999999999996E-3</v>
      </c>
    </row>
    <row r="252" spans="1:6" ht="12" thickBot="1">
      <c r="A252" s="347">
        <v>41425</v>
      </c>
      <c r="B252" s="348">
        <v>1.9428E-3</v>
      </c>
      <c r="C252" s="348">
        <v>2.2836000000000002E-3</v>
      </c>
      <c r="D252" s="348">
        <v>2.7525000000000002E-3</v>
      </c>
      <c r="E252" s="348">
        <v>4.1425999999999998E-3</v>
      </c>
      <c r="F252" s="349">
        <v>6.8919999999999997E-3</v>
      </c>
    </row>
    <row r="253" spans="1:6" ht="12" thickBot="1">
      <c r="A253" s="347">
        <v>41424</v>
      </c>
      <c r="B253" s="348">
        <v>1.9377999999999999E-3</v>
      </c>
      <c r="C253" s="348">
        <v>2.3050000000000002E-3</v>
      </c>
      <c r="D253" s="348">
        <v>2.7464999999999998E-3</v>
      </c>
      <c r="E253" s="348">
        <v>4.1625999999999998E-3</v>
      </c>
      <c r="F253" s="349">
        <v>6.8799999999999998E-3</v>
      </c>
    </row>
    <row r="254" spans="1:6" ht="12" thickBot="1">
      <c r="A254" s="347">
        <v>41423</v>
      </c>
      <c r="B254" s="348">
        <v>1.9377999999999999E-3</v>
      </c>
      <c r="C254" s="348">
        <v>2.31E-3</v>
      </c>
      <c r="D254" s="348">
        <v>2.7575E-3</v>
      </c>
      <c r="E254" s="348">
        <v>4.1625999999999998E-3</v>
      </c>
      <c r="F254" s="349">
        <v>6.9069999999999999E-3</v>
      </c>
    </row>
    <row r="255" spans="1:6" ht="12" thickBot="1">
      <c r="A255" s="347">
        <v>41422</v>
      </c>
      <c r="B255" s="348">
        <v>1.9277999999999999E-3</v>
      </c>
      <c r="C255" s="348">
        <v>2.2950000000000002E-3</v>
      </c>
      <c r="D255" s="348">
        <v>2.7274999999999999E-3</v>
      </c>
      <c r="E255" s="348">
        <v>4.1526000000000002E-3</v>
      </c>
      <c r="F255" s="349">
        <v>6.8399999999999997E-3</v>
      </c>
    </row>
    <row r="256" spans="1:6" ht="12" thickBot="1">
      <c r="A256" s="347">
        <v>41421</v>
      </c>
      <c r="B256" s="348">
        <v>1.9327999999999999E-3</v>
      </c>
      <c r="C256" s="348">
        <v>2.3050000000000002E-3</v>
      </c>
      <c r="D256" s="348">
        <v>2.7274999999999999E-3</v>
      </c>
      <c r="E256" s="348">
        <v>4.1739999999999998E-3</v>
      </c>
      <c r="F256" s="349">
        <v>6.8589000000000002E-3</v>
      </c>
    </row>
    <row r="257" spans="1:6" ht="12" thickBot="1">
      <c r="A257" s="347">
        <v>41418</v>
      </c>
      <c r="B257" s="348">
        <v>1.9327999999999999E-3</v>
      </c>
      <c r="C257" s="348">
        <v>2.3050000000000002E-3</v>
      </c>
      <c r="D257" s="348">
        <v>2.7274999999999999E-3</v>
      </c>
      <c r="E257" s="348">
        <v>4.1739999999999998E-3</v>
      </c>
      <c r="F257" s="349">
        <v>6.8589000000000002E-3</v>
      </c>
    </row>
    <row r="258" spans="1:6" ht="12" thickBot="1">
      <c r="A258" s="347">
        <v>41417</v>
      </c>
      <c r="B258" s="348">
        <v>1.9327999999999999E-3</v>
      </c>
      <c r="C258" s="348">
        <v>2.3050000000000002E-3</v>
      </c>
      <c r="D258" s="348">
        <v>2.7274999999999999E-3</v>
      </c>
      <c r="E258" s="348">
        <v>4.1739999999999998E-3</v>
      </c>
      <c r="F258" s="349">
        <v>6.8589000000000002E-3</v>
      </c>
    </row>
    <row r="259" spans="1:6" ht="12" thickBot="1">
      <c r="A259" s="347">
        <v>41416</v>
      </c>
      <c r="B259" s="348">
        <v>1.9528E-3</v>
      </c>
      <c r="C259" s="348">
        <v>2.31E-3</v>
      </c>
      <c r="D259" s="348">
        <v>2.7374999999999999E-3</v>
      </c>
      <c r="E259" s="348">
        <v>4.1840000000000002E-3</v>
      </c>
      <c r="F259" s="349">
        <v>6.8589000000000002E-3</v>
      </c>
    </row>
    <row r="260" spans="1:6" ht="12" thickBot="1">
      <c r="A260" s="347">
        <v>41415</v>
      </c>
      <c r="B260" s="348">
        <v>1.9627999999999998E-3</v>
      </c>
      <c r="C260" s="348">
        <v>2.32E-3</v>
      </c>
      <c r="D260" s="348">
        <v>2.7409999999999999E-3</v>
      </c>
      <c r="E260" s="348">
        <v>4.1840000000000002E-3</v>
      </c>
      <c r="F260" s="349">
        <v>6.8589000000000002E-3</v>
      </c>
    </row>
    <row r="261" spans="1:6" ht="12" thickBot="1">
      <c r="A261" s="347">
        <v>41414</v>
      </c>
      <c r="B261" s="348">
        <v>1.9618000000000001E-3</v>
      </c>
      <c r="C261" s="348">
        <v>2.3349999999999998E-3</v>
      </c>
      <c r="D261" s="348">
        <v>2.7309999999999999E-3</v>
      </c>
      <c r="E261" s="348">
        <v>4.1840000000000002E-3</v>
      </c>
      <c r="F261" s="349">
        <v>6.8738999999999996E-3</v>
      </c>
    </row>
    <row r="262" spans="1:6" ht="12" thickBot="1">
      <c r="A262" s="347">
        <v>41411</v>
      </c>
      <c r="B262" s="348">
        <v>1.9678E-3</v>
      </c>
      <c r="C262" s="348">
        <v>2.3349999999999998E-3</v>
      </c>
      <c r="D262" s="348">
        <v>2.7360000000000002E-3</v>
      </c>
      <c r="E262" s="348">
        <v>4.1939999999999998E-3</v>
      </c>
      <c r="F262" s="349">
        <v>6.8839000000000001E-3</v>
      </c>
    </row>
    <row r="263" spans="1:6" ht="12" thickBot="1">
      <c r="A263" s="347">
        <v>41410</v>
      </c>
      <c r="B263" s="348">
        <v>1.9819999999999998E-3</v>
      </c>
      <c r="C263" s="348">
        <v>2.3449999999999999E-3</v>
      </c>
      <c r="D263" s="348">
        <v>2.7409999999999999E-3</v>
      </c>
      <c r="E263" s="348">
        <v>4.1989999999999996E-3</v>
      </c>
      <c r="F263" s="349">
        <v>6.8989000000000003E-3</v>
      </c>
    </row>
    <row r="264" spans="1:6" ht="12" thickBot="1">
      <c r="A264" s="347">
        <v>41409</v>
      </c>
      <c r="B264" s="348">
        <v>1.9819999999999998E-3</v>
      </c>
      <c r="C264" s="348">
        <v>2.3500000000000001E-3</v>
      </c>
      <c r="D264" s="348">
        <v>2.7409999999999999E-3</v>
      </c>
      <c r="E264" s="348">
        <v>4.2090000000000001E-3</v>
      </c>
      <c r="F264" s="349">
        <v>6.8989000000000003E-3</v>
      </c>
    </row>
    <row r="265" spans="1:6" ht="12" thickBot="1">
      <c r="A265" s="347">
        <v>41408</v>
      </c>
      <c r="B265" s="348">
        <v>1.9819999999999998E-3</v>
      </c>
      <c r="C265" s="348">
        <v>2.3500000000000001E-3</v>
      </c>
      <c r="D265" s="348">
        <v>2.7409999999999999E-3</v>
      </c>
      <c r="E265" s="348">
        <v>4.2339999999999999E-3</v>
      </c>
      <c r="F265" s="349">
        <v>6.9509999999999997E-3</v>
      </c>
    </row>
    <row r="266" spans="1:6" ht="12" thickBot="1">
      <c r="A266" s="347">
        <v>41404</v>
      </c>
      <c r="B266" s="348">
        <v>1.9919999999999998E-3</v>
      </c>
      <c r="C266" s="348">
        <v>2.3739999999999998E-3</v>
      </c>
      <c r="D266" s="348">
        <v>2.751E-3</v>
      </c>
      <c r="E266" s="348">
        <v>4.2640000000000004E-3</v>
      </c>
      <c r="F266" s="349">
        <v>7.0109999999999999E-3</v>
      </c>
    </row>
    <row r="267" spans="1:6" ht="12" thickBot="1">
      <c r="A267" s="347">
        <v>41403</v>
      </c>
      <c r="B267" s="348">
        <v>1.9919999999999998E-3</v>
      </c>
      <c r="C267" s="348">
        <v>2.3739999999999998E-3</v>
      </c>
      <c r="D267" s="348">
        <v>2.751E-3</v>
      </c>
      <c r="E267" s="348">
        <v>4.274E-3</v>
      </c>
      <c r="F267" s="349">
        <v>7.0210000000000003E-3</v>
      </c>
    </row>
    <row r="268" spans="1:6" ht="12" thickBot="1">
      <c r="A268" s="347">
        <v>41402</v>
      </c>
      <c r="B268" s="348">
        <v>1.9919999999999998E-3</v>
      </c>
      <c r="C268" s="348">
        <v>2.3739999999999998E-3</v>
      </c>
      <c r="D268" s="348">
        <v>2.751E-3</v>
      </c>
      <c r="E268" s="348">
        <v>4.2839999999999996E-3</v>
      </c>
      <c r="F268" s="349">
        <v>7.0309999999999999E-3</v>
      </c>
    </row>
    <row r="269" spans="1:6" ht="12" thickBot="1">
      <c r="A269" s="347">
        <v>41401</v>
      </c>
      <c r="B269" s="348">
        <v>1.9919999999999998E-3</v>
      </c>
      <c r="C269" s="348">
        <v>2.3739999999999998E-3</v>
      </c>
      <c r="D269" s="348">
        <v>2.751E-3</v>
      </c>
      <c r="E269" s="348">
        <v>4.2839999999999996E-3</v>
      </c>
      <c r="F269" s="349">
        <v>7.0309999999999999E-3</v>
      </c>
    </row>
    <row r="270" spans="1:6" ht="12" thickBot="1">
      <c r="A270" s="347">
        <v>41400</v>
      </c>
      <c r="B270" s="348">
        <v>1.9819999999999998E-3</v>
      </c>
      <c r="C270" s="348">
        <v>2.3739999999999998E-3</v>
      </c>
      <c r="D270" s="348">
        <v>2.751E-3</v>
      </c>
      <c r="E270" s="348">
        <v>4.254E-3</v>
      </c>
      <c r="F270" s="349">
        <v>7.0210000000000003E-3</v>
      </c>
    </row>
    <row r="271" spans="1:6" ht="12" thickBot="1">
      <c r="A271" s="347">
        <v>41397</v>
      </c>
      <c r="B271" s="348">
        <v>1.9819999999999998E-3</v>
      </c>
      <c r="C271" s="348">
        <v>2.3739999999999998E-3</v>
      </c>
      <c r="D271" s="348">
        <v>2.751E-3</v>
      </c>
      <c r="E271" s="348">
        <v>4.254E-3</v>
      </c>
      <c r="F271" s="349">
        <v>7.0210000000000003E-3</v>
      </c>
    </row>
    <row r="272" spans="1:6" ht="12" thickBot="1">
      <c r="A272" s="347">
        <v>41396</v>
      </c>
      <c r="B272" s="348">
        <v>1.9819999999999998E-3</v>
      </c>
      <c r="C272" s="348">
        <v>2.3739999999999998E-3</v>
      </c>
      <c r="D272" s="348">
        <v>2.7309999999999999E-3</v>
      </c>
      <c r="E272" s="348">
        <v>4.254E-3</v>
      </c>
      <c r="F272" s="349">
        <v>7.0309999999999999E-3</v>
      </c>
    </row>
    <row r="273" spans="1:6" ht="12" thickBot="1">
      <c r="A273" s="347">
        <v>41394</v>
      </c>
      <c r="B273" s="348">
        <v>1.9819999999999998E-3</v>
      </c>
      <c r="C273" s="348">
        <v>2.3779999999999999E-3</v>
      </c>
      <c r="D273" s="348">
        <v>2.7309999999999999E-3</v>
      </c>
      <c r="E273" s="348">
        <v>4.254E-3</v>
      </c>
      <c r="F273" s="349">
        <v>7.045E-3</v>
      </c>
    </row>
    <row r="274" spans="1:6" ht="12" thickBot="1">
      <c r="A274" s="347">
        <v>41393</v>
      </c>
      <c r="B274" s="348">
        <v>1.9819999999999998E-3</v>
      </c>
      <c r="C274" s="348">
        <v>2.3930000000000002E-3</v>
      </c>
      <c r="D274" s="348">
        <v>2.7409999999999999E-3</v>
      </c>
      <c r="E274" s="348">
        <v>4.2989999999999999E-3</v>
      </c>
      <c r="F274" s="349">
        <v>7.0850000000000002E-3</v>
      </c>
    </row>
    <row r="275" spans="1:6" ht="12" thickBot="1">
      <c r="A275" s="347">
        <v>41390</v>
      </c>
      <c r="B275" s="348">
        <v>1.9819999999999998E-3</v>
      </c>
      <c r="C275" s="348">
        <v>2.398E-3</v>
      </c>
      <c r="D275" s="348">
        <v>2.7560000000000002E-3</v>
      </c>
      <c r="E275" s="348">
        <v>4.3039999999999997E-3</v>
      </c>
      <c r="F275" s="349">
        <v>7.1050000000000002E-3</v>
      </c>
    </row>
    <row r="276" spans="1:6" ht="12" thickBot="1">
      <c r="A276" s="347">
        <v>41389</v>
      </c>
      <c r="B276" s="348">
        <v>1.9819999999999998E-3</v>
      </c>
      <c r="C276" s="348">
        <v>2.398E-3</v>
      </c>
      <c r="D276" s="348">
        <v>2.7560000000000002E-3</v>
      </c>
      <c r="E276" s="348">
        <v>4.3039999999999997E-3</v>
      </c>
      <c r="F276" s="349">
        <v>7.11E-3</v>
      </c>
    </row>
    <row r="277" spans="1:6" ht="12" thickBot="1">
      <c r="A277" s="347">
        <v>41388</v>
      </c>
      <c r="B277" s="348">
        <v>1.9819999999999998E-3</v>
      </c>
      <c r="C277" s="348">
        <v>2.398E-3</v>
      </c>
      <c r="D277" s="348">
        <v>2.7560000000000002E-3</v>
      </c>
      <c r="E277" s="348">
        <v>4.3140000000000001E-3</v>
      </c>
      <c r="F277" s="349">
        <v>7.1199999999999996E-3</v>
      </c>
    </row>
    <row r="278" spans="1:6" ht="12" thickBot="1">
      <c r="A278" s="347">
        <v>41387</v>
      </c>
      <c r="B278" s="348">
        <v>2.0019999999999999E-3</v>
      </c>
      <c r="C278" s="348">
        <v>2.398E-3</v>
      </c>
      <c r="D278" s="348">
        <v>2.7560000000000002E-3</v>
      </c>
      <c r="E278" s="348">
        <v>4.3140000000000001E-3</v>
      </c>
      <c r="F278" s="349">
        <v>7.11E-3</v>
      </c>
    </row>
    <row r="279" spans="1:6" ht="12" thickBot="1">
      <c r="A279" s="347">
        <v>41386</v>
      </c>
      <c r="B279" s="348">
        <v>1.9919999999999998E-3</v>
      </c>
      <c r="C279" s="348">
        <v>2.398E-3</v>
      </c>
      <c r="D279" s="348">
        <v>2.751E-3</v>
      </c>
      <c r="E279" s="348">
        <v>4.3290000000000004E-3</v>
      </c>
      <c r="F279" s="349">
        <v>7.1549999999999999E-3</v>
      </c>
    </row>
    <row r="280" spans="1:6" ht="12" thickBot="1">
      <c r="A280" s="347">
        <v>41383</v>
      </c>
      <c r="B280" s="348">
        <v>1.9919999999999998E-3</v>
      </c>
      <c r="C280" s="348">
        <v>2.398E-3</v>
      </c>
      <c r="D280" s="348">
        <v>2.761E-3</v>
      </c>
      <c r="E280" s="348">
        <v>4.3340000000000002E-3</v>
      </c>
      <c r="F280" s="349">
        <v>7.1500000000000001E-3</v>
      </c>
    </row>
    <row r="281" spans="1:6" ht="12" thickBot="1">
      <c r="A281" s="347">
        <v>41382</v>
      </c>
      <c r="B281" s="348">
        <v>1.9919999999999998E-3</v>
      </c>
      <c r="C281" s="348">
        <v>2.398E-3</v>
      </c>
      <c r="D281" s="348">
        <v>2.761E-3</v>
      </c>
      <c r="E281" s="348">
        <v>4.3290000000000004E-3</v>
      </c>
      <c r="F281" s="349">
        <v>7.1500000000000001E-3</v>
      </c>
    </row>
    <row r="282" spans="1:6" ht="12" thickBot="1">
      <c r="A282" s="347">
        <v>41381</v>
      </c>
      <c r="B282" s="348">
        <v>1.9919999999999998E-3</v>
      </c>
      <c r="C282" s="348">
        <v>2.398E-3</v>
      </c>
      <c r="D282" s="348">
        <v>2.761E-3</v>
      </c>
      <c r="E282" s="348">
        <v>4.3290000000000004E-3</v>
      </c>
      <c r="F282" s="349">
        <v>7.1500000000000001E-3</v>
      </c>
    </row>
    <row r="283" spans="1:6" ht="12" thickBot="1">
      <c r="A283" s="347">
        <v>41380</v>
      </c>
      <c r="B283" s="348">
        <v>2.0019999999999999E-3</v>
      </c>
      <c r="C283" s="348">
        <v>2.4030000000000002E-3</v>
      </c>
      <c r="D283" s="348">
        <v>2.771E-3</v>
      </c>
      <c r="E283" s="348">
        <v>4.3639999999999998E-3</v>
      </c>
      <c r="F283" s="349">
        <v>7.175E-3</v>
      </c>
    </row>
    <row r="284" spans="1:6" ht="12" thickBot="1">
      <c r="A284" s="347">
        <v>41379</v>
      </c>
      <c r="B284" s="348">
        <v>1.9970000000000001E-3</v>
      </c>
      <c r="C284" s="348">
        <v>2.4030000000000002E-3</v>
      </c>
      <c r="D284" s="348">
        <v>2.7759999999999998E-3</v>
      </c>
      <c r="E284" s="348">
        <v>4.3790000000000001E-3</v>
      </c>
      <c r="F284" s="349">
        <v>7.1900000000000002E-3</v>
      </c>
    </row>
    <row r="285" spans="1:6" ht="12" thickBot="1">
      <c r="A285" s="347">
        <v>41376</v>
      </c>
      <c r="B285" s="348">
        <v>1.9970000000000001E-3</v>
      </c>
      <c r="C285" s="348">
        <v>2.4030000000000002E-3</v>
      </c>
      <c r="D285" s="348">
        <v>2.7759999999999998E-3</v>
      </c>
      <c r="E285" s="348">
        <v>4.3790000000000001E-3</v>
      </c>
      <c r="F285" s="349">
        <v>7.1900000000000002E-3</v>
      </c>
    </row>
    <row r="286" spans="1:6" ht="12" thickBot="1">
      <c r="A286" s="347">
        <v>41375</v>
      </c>
      <c r="B286" s="348">
        <v>1.9870000000000001E-3</v>
      </c>
      <c r="C286" s="348">
        <v>2.4030000000000002E-3</v>
      </c>
      <c r="D286" s="348">
        <v>2.771E-3</v>
      </c>
      <c r="E286" s="348">
        <v>4.3889999999999997E-3</v>
      </c>
      <c r="F286" s="349">
        <v>7.1999999999999998E-3</v>
      </c>
    </row>
    <row r="287" spans="1:6" ht="12" thickBot="1">
      <c r="A287" s="347">
        <v>41374</v>
      </c>
      <c r="B287" s="348">
        <v>1.993E-3</v>
      </c>
      <c r="C287" s="348">
        <v>2.4030000000000002E-3</v>
      </c>
      <c r="D287" s="348">
        <v>2.771E-3</v>
      </c>
      <c r="E287" s="348">
        <v>4.3990000000000001E-3</v>
      </c>
      <c r="F287" s="349">
        <v>7.2100000000000003E-3</v>
      </c>
    </row>
    <row r="288" spans="1:6" ht="12" thickBot="1">
      <c r="A288" s="347">
        <v>41373</v>
      </c>
      <c r="B288" s="348">
        <v>1.993E-3</v>
      </c>
      <c r="C288" s="348">
        <v>2.4030000000000002E-3</v>
      </c>
      <c r="D288" s="348">
        <v>2.7810000000000001E-3</v>
      </c>
      <c r="E288" s="348">
        <v>4.4190000000000002E-3</v>
      </c>
      <c r="F288" s="349">
        <v>7.2100000000000003E-3</v>
      </c>
    </row>
    <row r="289" spans="1:6" ht="12" thickBot="1">
      <c r="A289" s="347">
        <v>41372</v>
      </c>
      <c r="B289" s="348">
        <v>2.003E-3</v>
      </c>
      <c r="C289" s="348">
        <v>2.4030000000000002E-3</v>
      </c>
      <c r="D289" s="348">
        <v>2.794E-3</v>
      </c>
      <c r="E289" s="348">
        <v>4.4190000000000002E-3</v>
      </c>
      <c r="F289" s="349">
        <v>7.2100000000000003E-3</v>
      </c>
    </row>
    <row r="290" spans="1:6" ht="12" thickBot="1">
      <c r="A290" s="347">
        <v>41369</v>
      </c>
      <c r="B290" s="348">
        <v>2.003E-3</v>
      </c>
      <c r="C290" s="348">
        <v>2.4030000000000002E-3</v>
      </c>
      <c r="D290" s="348">
        <v>2.794E-3</v>
      </c>
      <c r="E290" s="348">
        <v>4.4190000000000002E-3</v>
      </c>
      <c r="F290" s="349">
        <v>7.2100000000000003E-3</v>
      </c>
    </row>
    <row r="291" spans="1:6" ht="12" thickBot="1">
      <c r="A291" s="347">
        <v>41368</v>
      </c>
      <c r="B291" s="348">
        <v>2.003E-3</v>
      </c>
      <c r="C291" s="348">
        <v>2.4030000000000002E-3</v>
      </c>
      <c r="D291" s="348">
        <v>2.8040000000000001E-3</v>
      </c>
      <c r="E291" s="348">
        <v>4.424E-3</v>
      </c>
      <c r="F291" s="349">
        <v>7.2300000000000003E-3</v>
      </c>
    </row>
    <row r="292" spans="1:6" ht="12" thickBot="1">
      <c r="A292" s="347">
        <v>41367</v>
      </c>
      <c r="B292" s="348">
        <v>2.0170000000000001E-3</v>
      </c>
      <c r="C292" s="348">
        <v>2.415E-3</v>
      </c>
      <c r="D292" s="348">
        <v>2.8110000000000001E-3</v>
      </c>
      <c r="E292" s="348">
        <v>4.424E-3</v>
      </c>
      <c r="F292" s="349">
        <v>7.2500000000000004E-3</v>
      </c>
    </row>
    <row r="293" spans="1:6" ht="12" thickBot="1">
      <c r="A293" s="347">
        <v>41366</v>
      </c>
      <c r="B293" s="348">
        <v>2.0270000000000002E-3</v>
      </c>
      <c r="C293" s="348">
        <v>2.415E-3</v>
      </c>
      <c r="D293" s="348">
        <v>2.8210000000000002E-3</v>
      </c>
      <c r="E293" s="348">
        <v>4.4390000000000002E-3</v>
      </c>
      <c r="F293" s="349">
        <v>7.28E-3</v>
      </c>
    </row>
    <row r="294" spans="1:6" ht="12" thickBot="1">
      <c r="A294" s="347">
        <v>41365</v>
      </c>
      <c r="B294" s="348">
        <v>2.0370000000000002E-3</v>
      </c>
      <c r="C294" s="348">
        <v>2.4299999999999999E-3</v>
      </c>
      <c r="D294" s="348">
        <v>2.826E-3</v>
      </c>
      <c r="E294" s="348">
        <v>4.4489999999999998E-3</v>
      </c>
      <c r="F294" s="349">
        <v>7.3150000000000003E-3</v>
      </c>
    </row>
    <row r="295" spans="1:6" ht="12" thickBot="1">
      <c r="A295" s="347">
        <v>41361</v>
      </c>
      <c r="B295" s="348">
        <v>2.0370000000000002E-3</v>
      </c>
      <c r="C295" s="348">
        <v>2.4299999999999999E-3</v>
      </c>
      <c r="D295" s="348">
        <v>2.826E-3</v>
      </c>
      <c r="E295" s="348">
        <v>4.4489999999999998E-3</v>
      </c>
      <c r="F295" s="349">
        <v>7.3150000000000003E-3</v>
      </c>
    </row>
    <row r="296" spans="1:6" ht="12" thickBot="1">
      <c r="A296" s="347">
        <v>41360</v>
      </c>
      <c r="B296" s="348">
        <v>2.0370000000000002E-3</v>
      </c>
      <c r="C296" s="348">
        <v>2.4299999999999999E-3</v>
      </c>
      <c r="D296" s="348">
        <v>2.836E-3</v>
      </c>
      <c r="E296" s="348">
        <v>4.4489999999999998E-3</v>
      </c>
      <c r="F296" s="349">
        <v>7.3150000000000003E-3</v>
      </c>
    </row>
    <row r="297" spans="1:6" ht="12" thickBot="1">
      <c r="A297" s="347">
        <v>41359</v>
      </c>
      <c r="B297" s="348">
        <v>2.0370000000000002E-3</v>
      </c>
      <c r="C297" s="348">
        <v>2.4299999999999999E-3</v>
      </c>
      <c r="D297" s="348">
        <v>2.836E-3</v>
      </c>
      <c r="E297" s="348">
        <v>4.4590000000000003E-3</v>
      </c>
      <c r="F297" s="349">
        <v>7.3249999999999999E-3</v>
      </c>
    </row>
    <row r="298" spans="1:6" ht="12" thickBot="1">
      <c r="A298" s="347">
        <v>41355</v>
      </c>
      <c r="B298" s="348">
        <v>2.042E-3</v>
      </c>
      <c r="C298" s="348">
        <v>2.4350000000000001E-3</v>
      </c>
      <c r="D298" s="348">
        <v>2.846E-3</v>
      </c>
      <c r="E298" s="348">
        <v>4.4790000000000003E-3</v>
      </c>
      <c r="F298" s="349">
        <v>7.3749999999999996E-3</v>
      </c>
    </row>
    <row r="299" spans="1:6" ht="12" thickBot="1">
      <c r="A299" s="347">
        <v>41354</v>
      </c>
      <c r="B299" s="348">
        <v>2.042E-3</v>
      </c>
      <c r="C299" s="348">
        <v>2.4299999999999999E-3</v>
      </c>
      <c r="D299" s="348">
        <v>2.8410000000000002E-3</v>
      </c>
      <c r="E299" s="348">
        <v>4.4739999999999997E-3</v>
      </c>
      <c r="F299" s="349">
        <v>7.3550000000000004E-3</v>
      </c>
    </row>
    <row r="300" spans="1:6" ht="12" thickBot="1">
      <c r="A300" s="347">
        <v>41353</v>
      </c>
      <c r="B300" s="348">
        <v>2.0470000000000002E-3</v>
      </c>
      <c r="C300" s="348">
        <v>2.4299999999999999E-3</v>
      </c>
      <c r="D300" s="348">
        <v>2.8410000000000002E-3</v>
      </c>
      <c r="E300" s="348">
        <v>4.4790000000000003E-3</v>
      </c>
      <c r="F300" s="349">
        <v>7.3699999999999998E-3</v>
      </c>
    </row>
    <row r="301" spans="1:6" ht="12" thickBot="1">
      <c r="A301" s="347">
        <v>41352</v>
      </c>
      <c r="B301" s="348">
        <v>2.0370000000000002E-3</v>
      </c>
      <c r="C301" s="348">
        <v>2.4199999999999998E-3</v>
      </c>
      <c r="D301" s="348">
        <v>2.8210000000000002E-3</v>
      </c>
      <c r="E301" s="348">
        <v>4.4790000000000003E-3</v>
      </c>
      <c r="F301" s="349">
        <v>7.3499999999999998E-3</v>
      </c>
    </row>
    <row r="302" spans="1:6" ht="12" thickBot="1">
      <c r="A302" s="347">
        <v>41351</v>
      </c>
      <c r="B302" s="348">
        <v>2.032E-3</v>
      </c>
      <c r="C302" s="348">
        <v>2.415E-3</v>
      </c>
      <c r="D302" s="348">
        <v>2.8010000000000001E-3</v>
      </c>
      <c r="E302" s="348">
        <v>4.4539999999999996E-3</v>
      </c>
      <c r="F302" s="349">
        <v>7.3150000000000003E-3</v>
      </c>
    </row>
    <row r="303" spans="1:6" ht="12" thickBot="1">
      <c r="A303" s="347">
        <v>41348</v>
      </c>
      <c r="B303" s="348">
        <v>2.032E-3</v>
      </c>
      <c r="C303" s="348">
        <v>2.415E-3</v>
      </c>
      <c r="D303" s="348">
        <v>2.8010000000000001E-3</v>
      </c>
      <c r="E303" s="348">
        <v>4.4489999999999998E-3</v>
      </c>
      <c r="F303" s="349">
        <v>7.3099999999999997E-3</v>
      </c>
    </row>
    <row r="304" spans="1:6" ht="12" thickBot="1">
      <c r="A304" s="347">
        <v>41347</v>
      </c>
      <c r="B304" s="348">
        <v>2.032E-3</v>
      </c>
      <c r="C304" s="348">
        <v>2.415E-3</v>
      </c>
      <c r="D304" s="348">
        <v>2.8010000000000001E-3</v>
      </c>
      <c r="E304" s="348">
        <v>4.4489999999999998E-3</v>
      </c>
      <c r="F304" s="349">
        <v>7.2899999999999996E-3</v>
      </c>
    </row>
    <row r="305" spans="1:6" ht="12" thickBot="1">
      <c r="A305" s="347">
        <v>41346</v>
      </c>
      <c r="B305" s="348">
        <v>2.032E-3</v>
      </c>
      <c r="C305" s="348">
        <v>2.415E-3</v>
      </c>
      <c r="D305" s="348">
        <v>2.8010000000000001E-3</v>
      </c>
      <c r="E305" s="348">
        <v>4.4489999999999998E-3</v>
      </c>
      <c r="F305" s="349">
        <v>7.3000000000000001E-3</v>
      </c>
    </row>
    <row r="306" spans="1:6" ht="12" thickBot="1">
      <c r="A306" s="347">
        <v>41345</v>
      </c>
      <c r="B306" s="348">
        <v>2.032E-3</v>
      </c>
      <c r="C306" s="348">
        <v>2.415E-3</v>
      </c>
      <c r="D306" s="348">
        <v>2.8110000000000001E-3</v>
      </c>
      <c r="E306" s="348">
        <v>4.4590000000000003E-3</v>
      </c>
      <c r="F306" s="349">
        <v>7.3049999999999999E-3</v>
      </c>
    </row>
    <row r="307" spans="1:6" ht="12" thickBot="1">
      <c r="A307" s="347">
        <v>41344</v>
      </c>
      <c r="B307" s="348">
        <v>2.0219999999999999E-3</v>
      </c>
      <c r="C307" s="348">
        <v>2.405E-3</v>
      </c>
      <c r="D307" s="348">
        <v>2.8010000000000001E-3</v>
      </c>
      <c r="E307" s="348">
        <v>4.4689999999999999E-3</v>
      </c>
      <c r="F307" s="349">
        <v>7.3299999999999997E-3</v>
      </c>
    </row>
    <row r="308" spans="1:6" ht="12" thickBot="1">
      <c r="A308" s="347">
        <v>41341</v>
      </c>
      <c r="B308" s="348">
        <v>2.0219999999999999E-3</v>
      </c>
      <c r="C308" s="348">
        <v>2.405E-3</v>
      </c>
      <c r="D308" s="348">
        <v>2.8010000000000001E-3</v>
      </c>
      <c r="E308" s="348">
        <v>4.4739999999999997E-3</v>
      </c>
      <c r="F308" s="349">
        <v>7.3350000000000004E-3</v>
      </c>
    </row>
    <row r="309" spans="1:6" ht="12" thickBot="1">
      <c r="A309" s="347">
        <v>41340</v>
      </c>
      <c r="B309" s="348">
        <v>2.0219999999999999E-3</v>
      </c>
      <c r="C309" s="348">
        <v>2.405E-3</v>
      </c>
      <c r="D309" s="348">
        <v>2.8059999999999999E-3</v>
      </c>
      <c r="E309" s="348">
        <v>4.4939999999999997E-3</v>
      </c>
      <c r="F309" s="349">
        <v>7.365E-3</v>
      </c>
    </row>
    <row r="310" spans="1:6" ht="12" thickBot="1">
      <c r="A310" s="347">
        <v>41339</v>
      </c>
      <c r="B310" s="348">
        <v>2.0219999999999999E-3</v>
      </c>
      <c r="C310" s="348">
        <v>2.405E-3</v>
      </c>
      <c r="D310" s="348">
        <v>2.7959999999999999E-3</v>
      </c>
      <c r="E310" s="348">
        <v>4.4990000000000004E-3</v>
      </c>
      <c r="F310" s="349">
        <v>7.3850000000000001E-3</v>
      </c>
    </row>
    <row r="311" spans="1:6" ht="12" thickBot="1">
      <c r="A311" s="347">
        <v>41338</v>
      </c>
      <c r="B311" s="348">
        <v>2.032E-3</v>
      </c>
      <c r="C311" s="348">
        <v>2.415E-3</v>
      </c>
      <c r="D311" s="348">
        <v>2.8110000000000001E-3</v>
      </c>
      <c r="E311" s="348">
        <v>4.5240000000000002E-3</v>
      </c>
      <c r="F311" s="349">
        <v>7.43E-3</v>
      </c>
    </row>
    <row r="312" spans="1:6" ht="12" thickBot="1">
      <c r="A312" s="347">
        <v>41337</v>
      </c>
      <c r="B312" s="348">
        <v>2.052E-3</v>
      </c>
      <c r="C312" s="348">
        <v>2.4250000000000001E-3</v>
      </c>
      <c r="D312" s="348">
        <v>2.8310000000000002E-3</v>
      </c>
      <c r="E312" s="348">
        <v>4.5539999999999999E-3</v>
      </c>
      <c r="F312" s="349">
        <v>7.45E-3</v>
      </c>
    </row>
    <row r="313" spans="1:6" ht="12" thickBot="1">
      <c r="A313" s="347">
        <v>41334</v>
      </c>
      <c r="B313" s="348">
        <v>2.0370000000000002E-3</v>
      </c>
      <c r="C313" s="348">
        <v>2.415E-3</v>
      </c>
      <c r="D313" s="348">
        <v>2.8410000000000002E-3</v>
      </c>
      <c r="E313" s="348">
        <v>4.5640000000000003E-3</v>
      </c>
      <c r="F313" s="349">
        <v>7.4949999999999999E-3</v>
      </c>
    </row>
    <row r="314" spans="1:6" ht="12" thickBot="1">
      <c r="A314" s="347">
        <v>41333</v>
      </c>
      <c r="B314" s="348">
        <v>2.0370000000000002E-3</v>
      </c>
      <c r="C314" s="348">
        <v>2.4299999999999999E-3</v>
      </c>
      <c r="D314" s="348">
        <v>2.8709999999999999E-3</v>
      </c>
      <c r="E314" s="348">
        <v>4.5690000000000001E-3</v>
      </c>
      <c r="F314" s="349">
        <v>7.515E-3</v>
      </c>
    </row>
    <row r="315" spans="1:6" ht="12" thickBot="1">
      <c r="A315" s="347">
        <v>41332</v>
      </c>
      <c r="B315" s="348">
        <v>2.0370000000000002E-3</v>
      </c>
      <c r="C315" s="348">
        <v>2.4350000000000001E-3</v>
      </c>
      <c r="D315" s="348">
        <v>2.8709999999999999E-3</v>
      </c>
      <c r="E315" s="348">
        <v>4.5690000000000001E-3</v>
      </c>
      <c r="F315" s="349">
        <v>7.5249999999999996E-3</v>
      </c>
    </row>
    <row r="316" spans="1:6" ht="12" thickBot="1">
      <c r="A316" s="347">
        <v>41331</v>
      </c>
      <c r="B316" s="348">
        <v>2.0370000000000002E-3</v>
      </c>
      <c r="C316" s="348">
        <v>2.4299999999999999E-3</v>
      </c>
      <c r="D316" s="348">
        <v>2.8660000000000001E-3</v>
      </c>
      <c r="E316" s="348">
        <v>4.5690000000000001E-3</v>
      </c>
      <c r="F316" s="349">
        <v>7.5249999999999996E-3</v>
      </c>
    </row>
    <row r="317" spans="1:6" ht="12" thickBot="1">
      <c r="A317" s="347">
        <v>41330</v>
      </c>
      <c r="B317" s="348">
        <v>2.0270000000000002E-3</v>
      </c>
      <c r="C317" s="348">
        <v>2.4399999999999999E-3</v>
      </c>
      <c r="D317" s="348">
        <v>2.8660000000000001E-3</v>
      </c>
      <c r="E317" s="348">
        <v>4.5989999999999998E-3</v>
      </c>
      <c r="F317" s="349">
        <v>7.5449999999999996E-3</v>
      </c>
    </row>
    <row r="318" spans="1:6" ht="12" thickBot="1">
      <c r="A318" s="347">
        <v>41327</v>
      </c>
      <c r="B318" s="348">
        <v>2.0270000000000002E-3</v>
      </c>
      <c r="C318" s="348">
        <v>2.4499999999999999E-3</v>
      </c>
      <c r="D318" s="348">
        <v>2.8809999999999999E-3</v>
      </c>
      <c r="E318" s="348">
        <v>4.5989999999999998E-3</v>
      </c>
      <c r="F318" s="349">
        <v>7.5550000000000001E-3</v>
      </c>
    </row>
    <row r="319" spans="1:6" ht="12" thickBot="1">
      <c r="A319" s="347">
        <v>41326</v>
      </c>
      <c r="B319" s="348">
        <v>2.0170000000000001E-3</v>
      </c>
      <c r="C319" s="348">
        <v>2.4499999999999999E-3</v>
      </c>
      <c r="D319" s="348">
        <v>2.8809999999999999E-3</v>
      </c>
      <c r="E319" s="348">
        <v>4.614E-3</v>
      </c>
      <c r="F319" s="349">
        <v>7.5599999999999999E-3</v>
      </c>
    </row>
    <row r="320" spans="1:6" ht="12" thickBot="1">
      <c r="A320" s="347">
        <v>41325</v>
      </c>
      <c r="B320" s="348">
        <v>2.0170000000000001E-3</v>
      </c>
      <c r="C320" s="348">
        <v>2.4550000000000002E-3</v>
      </c>
      <c r="D320" s="348">
        <v>2.8909999999999999E-3</v>
      </c>
      <c r="E320" s="348">
        <v>4.6290000000000003E-3</v>
      </c>
      <c r="F320" s="349">
        <v>7.5849999999999997E-3</v>
      </c>
    </row>
    <row r="321" spans="1:6" ht="12" thickBot="1">
      <c r="A321" s="347">
        <v>41324</v>
      </c>
      <c r="B321" s="348">
        <v>2.0170000000000001E-3</v>
      </c>
      <c r="C321" s="348">
        <v>2.4550000000000002E-3</v>
      </c>
      <c r="D321" s="348">
        <v>2.8909999999999999E-3</v>
      </c>
      <c r="E321" s="348">
        <v>4.6290000000000003E-3</v>
      </c>
      <c r="F321" s="349">
        <v>7.5950000000000002E-3</v>
      </c>
    </row>
    <row r="322" spans="1:6" ht="12" thickBot="1">
      <c r="A322" s="347">
        <v>41323</v>
      </c>
      <c r="B322" s="348">
        <v>2.0070000000000001E-3</v>
      </c>
      <c r="C322" s="348">
        <v>2.4550000000000002E-3</v>
      </c>
      <c r="D322" s="348">
        <v>2.8909999999999999E-3</v>
      </c>
      <c r="E322" s="348">
        <v>4.6290000000000003E-3</v>
      </c>
      <c r="F322" s="349">
        <v>7.6E-3</v>
      </c>
    </row>
    <row r="323" spans="1:6" ht="12" thickBot="1">
      <c r="A323" s="347">
        <v>41320</v>
      </c>
      <c r="B323" s="348">
        <v>2.0219999999999999E-3</v>
      </c>
      <c r="C323" s="348">
        <v>2.4650000000000002E-3</v>
      </c>
      <c r="D323" s="348">
        <v>2.9009999999999999E-3</v>
      </c>
      <c r="E323" s="348">
        <v>4.6340000000000001E-3</v>
      </c>
      <c r="F323" s="349">
        <v>7.6E-3</v>
      </c>
    </row>
    <row r="324" spans="1:6" ht="12" thickBot="1">
      <c r="A324" s="347">
        <v>41319</v>
      </c>
      <c r="B324" s="348">
        <v>2.0170000000000001E-3</v>
      </c>
      <c r="C324" s="348">
        <v>2.47E-3</v>
      </c>
      <c r="D324" s="348">
        <v>2.9009999999999999E-3</v>
      </c>
      <c r="E324" s="348">
        <v>4.6490000000000004E-3</v>
      </c>
      <c r="F324" s="349">
        <v>7.6249999999999998E-3</v>
      </c>
    </row>
    <row r="325" spans="1:6" ht="12" thickBot="1">
      <c r="A325" s="347">
        <v>41318</v>
      </c>
      <c r="B325" s="348">
        <v>2.0119999999999999E-3</v>
      </c>
      <c r="C325" s="348">
        <v>2.4599999999999999E-3</v>
      </c>
      <c r="D325" s="348">
        <v>2.9009999999999999E-3</v>
      </c>
      <c r="E325" s="348">
        <v>4.6490000000000004E-3</v>
      </c>
      <c r="F325" s="349">
        <v>7.62E-3</v>
      </c>
    </row>
    <row r="326" spans="1:6" ht="12" thickBot="1">
      <c r="A326" s="347">
        <v>41317</v>
      </c>
      <c r="B326" s="348">
        <v>2.0119999999999999E-3</v>
      </c>
      <c r="C326" s="348">
        <v>2.4599999999999999E-3</v>
      </c>
      <c r="D326" s="348">
        <v>2.921E-3</v>
      </c>
      <c r="E326" s="348">
        <v>4.6589999999999999E-3</v>
      </c>
      <c r="F326" s="349">
        <v>7.6400000000000001E-3</v>
      </c>
    </row>
    <row r="327" spans="1:6" ht="12" thickBot="1">
      <c r="A327" s="347">
        <v>41316</v>
      </c>
      <c r="B327" s="348">
        <v>2.0219999999999999E-3</v>
      </c>
      <c r="C327" s="348">
        <v>2.4750000000000002E-3</v>
      </c>
      <c r="D327" s="348">
        <v>2.931E-3</v>
      </c>
      <c r="E327" s="348">
        <v>4.6490000000000004E-3</v>
      </c>
      <c r="F327" s="349">
        <v>7.6499999999999997E-3</v>
      </c>
    </row>
    <row r="328" spans="1:6" ht="12" thickBot="1">
      <c r="A328" s="347">
        <v>41313</v>
      </c>
      <c r="B328" s="348">
        <v>2.0019999999999999E-3</v>
      </c>
      <c r="C328" s="348">
        <v>2.4750000000000002E-3</v>
      </c>
      <c r="D328" s="348">
        <v>2.9199999999999999E-3</v>
      </c>
      <c r="E328" s="348">
        <v>4.6540000000000002E-3</v>
      </c>
      <c r="F328" s="349">
        <v>7.6600000000000001E-3</v>
      </c>
    </row>
    <row r="329" spans="1:6" ht="12" thickBot="1">
      <c r="A329" s="347">
        <v>41312</v>
      </c>
      <c r="B329" s="348">
        <v>1.9919999999999998E-3</v>
      </c>
      <c r="C329" s="348">
        <v>2.4599999999999999E-3</v>
      </c>
      <c r="D329" s="348">
        <v>2.9199999999999999E-3</v>
      </c>
      <c r="E329" s="348">
        <v>4.6690000000000004E-3</v>
      </c>
      <c r="F329" s="349">
        <v>7.6750000000000004E-3</v>
      </c>
    </row>
    <row r="330" spans="1:6" ht="12" thickBot="1">
      <c r="A330" s="347">
        <v>41311</v>
      </c>
      <c r="B330" s="348">
        <v>1.9919999999999998E-3</v>
      </c>
      <c r="C330" s="348">
        <v>2.4599999999999999E-3</v>
      </c>
      <c r="D330" s="348">
        <v>2.9299999999999999E-3</v>
      </c>
      <c r="E330" s="348">
        <v>4.679E-3</v>
      </c>
      <c r="F330" s="349">
        <v>7.6949999999999996E-3</v>
      </c>
    </row>
    <row r="331" spans="1:6" ht="12" thickBot="1">
      <c r="A331" s="347">
        <v>41310</v>
      </c>
      <c r="B331" s="348">
        <v>1.9919999999999998E-3</v>
      </c>
      <c r="C331" s="348">
        <v>2.4550000000000002E-3</v>
      </c>
      <c r="D331" s="348">
        <v>2.9550000000000002E-3</v>
      </c>
      <c r="E331" s="348">
        <v>4.6889999999999996E-3</v>
      </c>
      <c r="F331" s="349">
        <v>7.705E-3</v>
      </c>
    </row>
    <row r="332" spans="1:6" ht="12" thickBot="1">
      <c r="A332" s="347">
        <v>41309</v>
      </c>
      <c r="B332" s="348">
        <v>1.9819999999999998E-3</v>
      </c>
      <c r="C332" s="348">
        <v>2.4550000000000002E-3</v>
      </c>
      <c r="D332" s="348">
        <v>2.9550000000000002E-3</v>
      </c>
      <c r="E332" s="348">
        <v>4.6690000000000004E-3</v>
      </c>
      <c r="F332" s="349">
        <v>7.7299999999999999E-3</v>
      </c>
    </row>
    <row r="333" spans="1:6" ht="12" thickBot="1">
      <c r="A333" s="347">
        <v>41306</v>
      </c>
      <c r="B333" s="348">
        <v>1.9919999999999998E-3</v>
      </c>
      <c r="C333" s="348">
        <v>2.4650000000000002E-3</v>
      </c>
      <c r="D333" s="348">
        <v>2.9550000000000002E-3</v>
      </c>
      <c r="E333" s="348">
        <v>4.679E-3</v>
      </c>
      <c r="F333" s="349">
        <v>7.77E-3</v>
      </c>
    </row>
    <row r="334" spans="1:6" ht="12" thickBot="1">
      <c r="A334" s="347">
        <v>41305</v>
      </c>
      <c r="B334" s="348">
        <v>1.9970000000000001E-3</v>
      </c>
      <c r="C334" s="348">
        <v>2.4550000000000002E-3</v>
      </c>
      <c r="D334" s="348">
        <v>2.98E-3</v>
      </c>
      <c r="E334" s="348">
        <v>4.6839999999999998E-3</v>
      </c>
      <c r="F334" s="349">
        <v>7.8100000000000001E-3</v>
      </c>
    </row>
    <row r="335" spans="1:6" ht="12" thickBot="1">
      <c r="A335" s="347">
        <v>41304</v>
      </c>
      <c r="B335" s="348">
        <v>2.0170000000000001E-3</v>
      </c>
      <c r="C335" s="348">
        <v>2.4550000000000002E-3</v>
      </c>
      <c r="D335" s="348">
        <v>2.9849999999999998E-3</v>
      </c>
      <c r="E335" s="348">
        <v>4.7314999999999996E-3</v>
      </c>
      <c r="F335" s="349">
        <v>7.9050000000000006E-3</v>
      </c>
    </row>
    <row r="336" spans="1:6" ht="12" thickBot="1">
      <c r="A336" s="347">
        <v>41303</v>
      </c>
      <c r="B336" s="348">
        <v>2.0170000000000001E-3</v>
      </c>
      <c r="C336" s="348">
        <v>2.4650000000000002E-3</v>
      </c>
      <c r="D336" s="348">
        <v>3.0049999999999999E-3</v>
      </c>
      <c r="E336" s="348">
        <v>4.7574999999999996E-3</v>
      </c>
      <c r="F336" s="349">
        <v>7.9550000000000003E-3</v>
      </c>
    </row>
    <row r="337" spans="1:6" ht="12" thickBot="1">
      <c r="A337" s="347">
        <v>41302</v>
      </c>
      <c r="B337" s="348">
        <v>2.0270000000000002E-3</v>
      </c>
      <c r="C337" s="348">
        <v>2.4750000000000002E-3</v>
      </c>
      <c r="D337" s="348">
        <v>3.0149999999999999E-3</v>
      </c>
      <c r="E337" s="348">
        <v>4.7574999999999996E-3</v>
      </c>
      <c r="F337" s="349">
        <v>7.9749999999999995E-3</v>
      </c>
    </row>
    <row r="338" spans="1:6" ht="12" thickBot="1">
      <c r="A338" s="347">
        <v>41299</v>
      </c>
      <c r="B338" s="348">
        <v>2.0370000000000002E-3</v>
      </c>
      <c r="C338" s="348">
        <v>2.4849999999999998E-3</v>
      </c>
      <c r="D338" s="348">
        <v>3.0049999999999999E-3</v>
      </c>
      <c r="E338" s="348">
        <v>4.7650000000000001E-3</v>
      </c>
      <c r="F338" s="349">
        <v>7.9649999999999999E-3</v>
      </c>
    </row>
    <row r="339" spans="1:6" ht="12" thickBot="1">
      <c r="A339" s="347">
        <v>41298</v>
      </c>
      <c r="B339" s="348">
        <v>2.0370000000000002E-3</v>
      </c>
      <c r="C339" s="348">
        <v>2.4849999999999998E-3</v>
      </c>
      <c r="D339" s="348">
        <v>3.0049999999999999E-3</v>
      </c>
      <c r="E339" s="348">
        <v>4.7650000000000001E-3</v>
      </c>
      <c r="F339" s="349">
        <v>7.9850000000000008E-3</v>
      </c>
    </row>
    <row r="340" spans="1:6" ht="12" thickBot="1">
      <c r="A340" s="347">
        <v>41297</v>
      </c>
      <c r="B340" s="348">
        <v>2.0370000000000002E-3</v>
      </c>
      <c r="C340" s="348">
        <v>2.4949999999999998E-3</v>
      </c>
      <c r="D340" s="348">
        <v>3.0100000000000001E-3</v>
      </c>
      <c r="E340" s="348">
        <v>4.8050000000000002E-3</v>
      </c>
      <c r="F340" s="349">
        <v>8.0750000000000006E-3</v>
      </c>
    </row>
    <row r="341" spans="1:6" ht="12" thickBot="1">
      <c r="A341" s="347">
        <v>41296</v>
      </c>
      <c r="B341" s="348">
        <v>2.0470000000000002E-3</v>
      </c>
      <c r="C341" s="348">
        <v>2.4949999999999998E-3</v>
      </c>
      <c r="D341" s="348">
        <v>3.0200000000000001E-3</v>
      </c>
      <c r="E341" s="348">
        <v>4.8349999999999999E-3</v>
      </c>
      <c r="F341" s="349">
        <v>8.09E-3</v>
      </c>
    </row>
    <row r="342" spans="1:6" ht="12" thickBot="1">
      <c r="A342" s="347">
        <v>41295</v>
      </c>
      <c r="B342" s="348">
        <v>2.0470000000000002E-3</v>
      </c>
      <c r="C342" s="348">
        <v>2.4949999999999998E-3</v>
      </c>
      <c r="D342" s="348">
        <v>3.0200000000000001E-3</v>
      </c>
      <c r="E342" s="348">
        <v>4.8349999999999999E-3</v>
      </c>
      <c r="F342" s="349">
        <v>8.09E-3</v>
      </c>
    </row>
    <row r="343" spans="1:6" ht="12" thickBot="1">
      <c r="A343" s="347">
        <v>41292</v>
      </c>
      <c r="B343" s="348">
        <v>2.0470000000000002E-3</v>
      </c>
      <c r="C343" s="348">
        <v>2.4949999999999998E-3</v>
      </c>
      <c r="D343" s="348">
        <v>3.0200000000000001E-3</v>
      </c>
      <c r="E343" s="348">
        <v>4.8450000000000003E-3</v>
      </c>
      <c r="F343" s="349">
        <v>8.09E-3</v>
      </c>
    </row>
    <row r="344" spans="1:6" ht="12" thickBot="1">
      <c r="A344" s="347">
        <v>41291</v>
      </c>
      <c r="B344" s="348">
        <v>2.0470000000000002E-3</v>
      </c>
      <c r="C344" s="348">
        <v>2.5000000000000001E-3</v>
      </c>
      <c r="D344" s="348">
        <v>3.0200000000000001E-3</v>
      </c>
      <c r="E344" s="348">
        <v>4.8650000000000004E-3</v>
      </c>
      <c r="F344" s="349">
        <v>8.0999999999999996E-3</v>
      </c>
    </row>
    <row r="345" spans="1:6" ht="12" thickBot="1">
      <c r="A345" s="347">
        <v>41290</v>
      </c>
      <c r="B345" s="348">
        <v>2.0569999999999998E-3</v>
      </c>
      <c r="C345" s="348">
        <v>2.5000000000000001E-3</v>
      </c>
      <c r="D345" s="348">
        <v>3.0300000000000001E-3</v>
      </c>
      <c r="E345" s="348">
        <v>4.875E-3</v>
      </c>
      <c r="F345" s="349">
        <v>8.0949999999999998E-3</v>
      </c>
    </row>
    <row r="346" spans="1:6" ht="12" thickBot="1">
      <c r="A346" s="347">
        <v>41289</v>
      </c>
      <c r="B346" s="348">
        <v>2.0569999999999998E-3</v>
      </c>
      <c r="C346" s="348">
        <v>2.5000000000000001E-3</v>
      </c>
      <c r="D346" s="348">
        <v>3.0300000000000001E-3</v>
      </c>
      <c r="E346" s="348">
        <v>4.8999999999999998E-3</v>
      </c>
      <c r="F346" s="349">
        <v>8.1399999999999997E-3</v>
      </c>
    </row>
    <row r="347" spans="1:6" ht="12" thickBot="1">
      <c r="A347" s="347">
        <v>41288</v>
      </c>
      <c r="B347" s="348">
        <v>2.0569999999999998E-3</v>
      </c>
      <c r="C347" s="348">
        <v>2.5000000000000001E-3</v>
      </c>
      <c r="D347" s="348">
        <v>3.0400000000000002E-3</v>
      </c>
      <c r="E347" s="348">
        <v>4.9100000000000003E-3</v>
      </c>
      <c r="F347" s="349">
        <v>8.1899999999999994E-3</v>
      </c>
    </row>
    <row r="348" spans="1:6" ht="12" thickBot="1">
      <c r="A348" s="347">
        <v>41285</v>
      </c>
      <c r="B348" s="348">
        <v>2.0569999999999998E-3</v>
      </c>
      <c r="C348" s="348">
        <v>2.5100000000000001E-3</v>
      </c>
      <c r="D348" s="348">
        <v>3.0400000000000002E-3</v>
      </c>
      <c r="E348" s="348">
        <v>4.96E-3</v>
      </c>
      <c r="F348" s="349">
        <v>8.2100000000000003E-3</v>
      </c>
    </row>
    <row r="349" spans="1:6" ht="12" thickBot="1">
      <c r="A349" s="347">
        <v>41284</v>
      </c>
      <c r="B349" s="348">
        <v>2.0569999999999998E-3</v>
      </c>
      <c r="C349" s="348">
        <v>2.5100000000000001E-3</v>
      </c>
      <c r="D349" s="348">
        <v>3.0500000000000002E-3</v>
      </c>
      <c r="E349" s="348">
        <v>4.9800000000000001E-3</v>
      </c>
      <c r="F349" s="349">
        <v>8.2299999999999995E-3</v>
      </c>
    </row>
    <row r="350" spans="1:6" ht="12" thickBot="1">
      <c r="A350" s="347">
        <v>41283</v>
      </c>
      <c r="B350" s="348">
        <v>2.0669999999999998E-3</v>
      </c>
      <c r="C350" s="348">
        <v>2.5200000000000001E-3</v>
      </c>
      <c r="D350" s="348">
        <v>3.0500000000000002E-3</v>
      </c>
      <c r="E350" s="348">
        <v>5.0000000000000001E-3</v>
      </c>
      <c r="F350" s="349">
        <v>8.3400000000000002E-3</v>
      </c>
    </row>
    <row r="351" spans="1:6" ht="12" thickBot="1">
      <c r="A351" s="347">
        <v>41282</v>
      </c>
      <c r="B351" s="348">
        <v>2.0769999999999999E-3</v>
      </c>
      <c r="C351" s="348">
        <v>2.5200000000000001E-3</v>
      </c>
      <c r="D351" s="348">
        <v>3.0500000000000002E-3</v>
      </c>
      <c r="E351" s="348">
        <v>5.0025E-3</v>
      </c>
      <c r="F351" s="349">
        <v>8.345E-3</v>
      </c>
    </row>
    <row r="352" spans="1:6" ht="12" thickBot="1">
      <c r="A352" s="347">
        <v>41278</v>
      </c>
      <c r="B352" s="348">
        <v>2.0769999999999999E-3</v>
      </c>
      <c r="C352" s="348">
        <v>2.5249999999999999E-3</v>
      </c>
      <c r="D352" s="348">
        <v>3.0500000000000002E-3</v>
      </c>
      <c r="E352" s="348">
        <v>5.0124999999999996E-3</v>
      </c>
      <c r="F352" s="349">
        <v>8.3850000000000001E-3</v>
      </c>
    </row>
    <row r="353" spans="1:6" ht="12" thickBot="1">
      <c r="A353" s="347">
        <v>41277</v>
      </c>
      <c r="B353" s="348">
        <v>2.0769999999999999E-3</v>
      </c>
      <c r="C353" s="348">
        <v>2.5200000000000001E-3</v>
      </c>
      <c r="D353" s="348">
        <v>3.0500000000000002E-3</v>
      </c>
      <c r="E353" s="348">
        <v>5.0324999999999996E-3</v>
      </c>
      <c r="F353" s="349">
        <v>8.3949999999999997E-3</v>
      </c>
    </row>
    <row r="354" spans="1:6" ht="12" thickBot="1">
      <c r="A354" s="350">
        <v>41276</v>
      </c>
      <c r="B354" s="351">
        <v>2.0769999999999999E-3</v>
      </c>
      <c r="C354" s="351">
        <v>2.5249999999999999E-3</v>
      </c>
      <c r="D354" s="351">
        <v>3.0500000000000002E-3</v>
      </c>
      <c r="E354" s="351">
        <v>5.0625000000000002E-3</v>
      </c>
      <c r="F354" s="352">
        <v>8.4250000000000002E-3</v>
      </c>
    </row>
    <row r="355" spans="1:6">
      <c r="A355" s="341">
        <v>2012</v>
      </c>
      <c r="B355" s="342"/>
      <c r="C355" s="342"/>
      <c r="D355" s="342"/>
      <c r="E355" s="342"/>
      <c r="F355" s="342"/>
    </row>
    <row r="356" spans="1:6" ht="12" thickBot="1">
      <c r="A356" s="343"/>
      <c r="B356" s="688"/>
      <c r="C356" s="689"/>
      <c r="D356" s="689"/>
      <c r="E356" s="689"/>
      <c r="F356" s="690"/>
    </row>
    <row r="357" spans="1:6" ht="23.25" thickBot="1">
      <c r="A357" s="344" t="s">
        <v>319</v>
      </c>
      <c r="B357" s="345" t="s">
        <v>323</v>
      </c>
      <c r="C357" s="345" t="s">
        <v>324</v>
      </c>
      <c r="D357" s="345" t="s">
        <v>325</v>
      </c>
      <c r="E357" s="345" t="s">
        <v>326</v>
      </c>
      <c r="F357" s="346" t="s">
        <v>327</v>
      </c>
    </row>
    <row r="358" spans="1:6" ht="12" thickBot="1">
      <c r="A358" s="347">
        <v>41274</v>
      </c>
      <c r="B358" s="348">
        <v>2.0869999999999999E-3</v>
      </c>
      <c r="C358" s="348">
        <v>2.5349999999999999E-3</v>
      </c>
      <c r="D358" s="348">
        <v>3.0599999999999998E-3</v>
      </c>
      <c r="E358" s="348">
        <v>5.0825000000000002E-3</v>
      </c>
      <c r="F358" s="349">
        <v>8.4349999999999998E-3</v>
      </c>
    </row>
    <row r="359" spans="1:6" ht="12" thickBot="1">
      <c r="A359" s="347">
        <v>41271</v>
      </c>
      <c r="B359" s="348">
        <v>2.0969999999999999E-3</v>
      </c>
      <c r="C359" s="348">
        <v>2.5349999999999999E-3</v>
      </c>
      <c r="D359" s="348">
        <v>3.0799999999999998E-3</v>
      </c>
      <c r="E359" s="348">
        <v>5.0825000000000002E-3</v>
      </c>
      <c r="F359" s="349">
        <v>8.4349999999999998E-3</v>
      </c>
    </row>
    <row r="360" spans="1:6" ht="12" thickBot="1">
      <c r="A360" s="347">
        <v>41270</v>
      </c>
      <c r="B360" s="348">
        <v>2.117E-3</v>
      </c>
      <c r="C360" s="348">
        <v>2.5500000000000002E-3</v>
      </c>
      <c r="D360" s="348">
        <v>3.1099999999999999E-3</v>
      </c>
      <c r="E360" s="348">
        <v>5.1025000000000003E-3</v>
      </c>
      <c r="F360" s="349">
        <v>8.4349999999999998E-3</v>
      </c>
    </row>
    <row r="361" spans="1:6" ht="12" thickBot="1">
      <c r="A361" s="347">
        <v>41269</v>
      </c>
      <c r="B361" s="348">
        <v>2.0969999999999999E-3</v>
      </c>
      <c r="C361" s="348">
        <v>2.5400000000000002E-3</v>
      </c>
      <c r="D361" s="348">
        <v>3.0999999999999999E-3</v>
      </c>
      <c r="E361" s="348">
        <v>5.1025000000000003E-3</v>
      </c>
      <c r="F361" s="349">
        <v>8.43E-3</v>
      </c>
    </row>
    <row r="362" spans="1:6" ht="12" thickBot="1">
      <c r="A362" s="347">
        <v>41267</v>
      </c>
      <c r="B362" s="348">
        <v>2.0969999999999999E-3</v>
      </c>
      <c r="C362" s="348">
        <v>2.5400000000000002E-3</v>
      </c>
      <c r="D362" s="348">
        <v>3.0999999999999999E-3</v>
      </c>
      <c r="E362" s="348">
        <v>5.1025000000000003E-3</v>
      </c>
      <c r="F362" s="349">
        <v>8.43E-3</v>
      </c>
    </row>
    <row r="363" spans="1:6" ht="12" thickBot="1">
      <c r="A363" s="347">
        <v>41264</v>
      </c>
      <c r="B363" s="348">
        <v>2.0969999999999999E-3</v>
      </c>
      <c r="C363" s="348">
        <v>2.5400000000000002E-3</v>
      </c>
      <c r="D363" s="348">
        <v>3.0999999999999999E-3</v>
      </c>
      <c r="E363" s="348">
        <v>5.1025000000000003E-3</v>
      </c>
      <c r="F363" s="349">
        <v>8.43E-3</v>
      </c>
    </row>
    <row r="364" spans="1:6" ht="12" thickBot="1">
      <c r="A364" s="347">
        <v>41263</v>
      </c>
      <c r="B364" s="348">
        <v>2.1069999999999999E-3</v>
      </c>
      <c r="C364" s="348">
        <v>2.5400000000000002E-3</v>
      </c>
      <c r="D364" s="348">
        <v>3.0999999999999999E-3</v>
      </c>
      <c r="E364" s="348">
        <v>5.1025000000000003E-3</v>
      </c>
      <c r="F364" s="349">
        <v>8.43E-3</v>
      </c>
    </row>
    <row r="365" spans="1:6" ht="12" thickBot="1">
      <c r="A365" s="347">
        <v>41262</v>
      </c>
      <c r="B365" s="348">
        <v>2.1069999999999999E-3</v>
      </c>
      <c r="C365" s="348">
        <v>2.5349999999999999E-3</v>
      </c>
      <c r="D365" s="348">
        <v>3.0999999999999999E-3</v>
      </c>
      <c r="E365" s="348">
        <v>5.0974999999999996E-3</v>
      </c>
      <c r="F365" s="349">
        <v>8.43E-3</v>
      </c>
    </row>
    <row r="366" spans="1:6" ht="12" thickBot="1">
      <c r="A366" s="347">
        <v>41261</v>
      </c>
      <c r="B366" s="348">
        <v>2.1069999999999999E-3</v>
      </c>
      <c r="C366" s="348">
        <v>2.5300000000000001E-3</v>
      </c>
      <c r="D366" s="348">
        <v>3.0899999999999999E-3</v>
      </c>
      <c r="E366" s="348">
        <v>5.0850000000000001E-3</v>
      </c>
      <c r="F366" s="349">
        <v>8.4250000000000002E-3</v>
      </c>
    </row>
    <row r="367" spans="1:6" ht="12" thickBot="1">
      <c r="A367" s="347">
        <v>41260</v>
      </c>
      <c r="B367" s="348">
        <v>2.0999999999999999E-3</v>
      </c>
      <c r="C367" s="348">
        <v>2.5500000000000002E-3</v>
      </c>
      <c r="D367" s="348">
        <v>3.0899999999999999E-3</v>
      </c>
      <c r="E367" s="348">
        <v>5.0850000000000001E-3</v>
      </c>
      <c r="F367" s="349">
        <v>8.4250000000000002E-3</v>
      </c>
    </row>
    <row r="368" spans="1:6" ht="12" thickBot="1">
      <c r="A368" s="347">
        <v>41257</v>
      </c>
      <c r="B368" s="348">
        <v>2.0899999999999998E-3</v>
      </c>
      <c r="C368" s="348">
        <v>2.5500000000000002E-3</v>
      </c>
      <c r="D368" s="348">
        <v>3.0799999999999998E-3</v>
      </c>
      <c r="E368" s="348">
        <v>5.11E-3</v>
      </c>
      <c r="F368" s="349">
        <v>8.4399999999999996E-3</v>
      </c>
    </row>
    <row r="369" spans="1:6" ht="12" thickBot="1">
      <c r="A369" s="347">
        <v>41256</v>
      </c>
      <c r="B369" s="348">
        <v>2.0899999999999998E-3</v>
      </c>
      <c r="C369" s="348">
        <v>2.5500000000000002E-3</v>
      </c>
      <c r="D369" s="348">
        <v>3.0799999999999998E-3</v>
      </c>
      <c r="E369" s="348">
        <v>5.13E-3</v>
      </c>
      <c r="F369" s="349">
        <v>8.4600000000000005E-3</v>
      </c>
    </row>
    <row r="370" spans="1:6" ht="12" thickBot="1">
      <c r="A370" s="347">
        <v>41255</v>
      </c>
      <c r="B370" s="348">
        <v>2.0899999999999998E-3</v>
      </c>
      <c r="C370" s="348">
        <v>2.5500000000000002E-3</v>
      </c>
      <c r="D370" s="348">
        <v>3.0950000000000001E-3</v>
      </c>
      <c r="E370" s="348">
        <v>5.1450000000000003E-3</v>
      </c>
      <c r="F370" s="349">
        <v>8.4950000000000008E-3</v>
      </c>
    </row>
    <row r="371" spans="1:6" ht="12" thickBot="1">
      <c r="A371" s="347">
        <v>41254</v>
      </c>
      <c r="B371" s="348">
        <v>2.1099999999999999E-3</v>
      </c>
      <c r="C371" s="348">
        <v>2.5600000000000002E-3</v>
      </c>
      <c r="D371" s="348">
        <v>3.0950000000000001E-3</v>
      </c>
      <c r="E371" s="348">
        <v>5.1700000000000001E-3</v>
      </c>
      <c r="F371" s="349">
        <v>8.5199999999999998E-3</v>
      </c>
    </row>
    <row r="372" spans="1:6" ht="12" thickBot="1">
      <c r="A372" s="347">
        <v>41253</v>
      </c>
      <c r="B372" s="348">
        <v>2.1199999999999999E-3</v>
      </c>
      <c r="C372" s="348">
        <v>2.5600000000000002E-3</v>
      </c>
      <c r="D372" s="348">
        <v>3.1050000000000001E-3</v>
      </c>
      <c r="E372" s="348">
        <v>5.1799999999999997E-3</v>
      </c>
      <c r="F372" s="349">
        <v>8.5299999999999994E-3</v>
      </c>
    </row>
    <row r="373" spans="1:6" ht="12" thickBot="1">
      <c r="A373" s="347">
        <v>41250</v>
      </c>
      <c r="B373" s="348">
        <v>2.1199999999999999E-3</v>
      </c>
      <c r="C373" s="348">
        <v>2.5600000000000002E-3</v>
      </c>
      <c r="D373" s="348">
        <v>3.0950000000000001E-3</v>
      </c>
      <c r="E373" s="348">
        <v>5.1900000000000002E-3</v>
      </c>
      <c r="F373" s="349">
        <v>8.5299999999999994E-3</v>
      </c>
    </row>
    <row r="374" spans="1:6" ht="12" thickBot="1">
      <c r="A374" s="347">
        <v>41249</v>
      </c>
      <c r="B374" s="348">
        <v>2.1299999999999999E-3</v>
      </c>
      <c r="C374" s="348">
        <v>2.5799999999999998E-3</v>
      </c>
      <c r="D374" s="348">
        <v>3.1050000000000001E-3</v>
      </c>
      <c r="E374" s="348">
        <v>5.2399999999999999E-3</v>
      </c>
      <c r="F374" s="349">
        <v>8.5500000000000003E-3</v>
      </c>
    </row>
    <row r="375" spans="1:6" ht="12" thickBot="1">
      <c r="A375" s="347">
        <v>41248</v>
      </c>
      <c r="B375" s="348">
        <v>2.1299999999999999E-3</v>
      </c>
      <c r="C375" s="348">
        <v>2.5799999999999998E-3</v>
      </c>
      <c r="D375" s="348">
        <v>3.1050000000000001E-3</v>
      </c>
      <c r="E375" s="348">
        <v>5.2500000000000003E-3</v>
      </c>
      <c r="F375" s="349">
        <v>8.5900000000000004E-3</v>
      </c>
    </row>
    <row r="376" spans="1:6" ht="12" thickBot="1">
      <c r="A376" s="347">
        <v>41247</v>
      </c>
      <c r="B376" s="348">
        <v>2.1299999999999999E-3</v>
      </c>
      <c r="C376" s="348">
        <v>2.5799999999999998E-3</v>
      </c>
      <c r="D376" s="348">
        <v>3.1050000000000001E-3</v>
      </c>
      <c r="E376" s="348">
        <v>5.2500000000000003E-3</v>
      </c>
      <c r="F376" s="349">
        <v>8.5900000000000004E-3</v>
      </c>
    </row>
    <row r="377" spans="1:6" ht="12" thickBot="1">
      <c r="A377" s="347">
        <v>41246</v>
      </c>
      <c r="B377" s="348">
        <v>2.15E-3</v>
      </c>
      <c r="C377" s="348">
        <v>2.5799999999999998E-3</v>
      </c>
      <c r="D377" s="348">
        <v>3.1050000000000001E-3</v>
      </c>
      <c r="E377" s="348">
        <v>5.2599999999999999E-3</v>
      </c>
      <c r="F377" s="349">
        <v>8.6E-3</v>
      </c>
    </row>
    <row r="378" spans="1:6" ht="12" thickBot="1">
      <c r="A378" s="347">
        <v>41243</v>
      </c>
      <c r="B378" s="348">
        <v>2.1450000000000002E-3</v>
      </c>
      <c r="C378" s="348">
        <v>2.5699999999999998E-3</v>
      </c>
      <c r="D378" s="348">
        <v>3.1050000000000001E-3</v>
      </c>
      <c r="E378" s="348">
        <v>5.2599999999999999E-3</v>
      </c>
      <c r="F378" s="349">
        <v>8.6E-3</v>
      </c>
    </row>
    <row r="379" spans="1:6" ht="12" thickBot="1">
      <c r="A379" s="347">
        <v>41242</v>
      </c>
      <c r="B379" s="348">
        <v>2.1350000000000002E-3</v>
      </c>
      <c r="C379" s="348">
        <v>2.5699999999999998E-3</v>
      </c>
      <c r="D379" s="348">
        <v>3.1050000000000001E-3</v>
      </c>
      <c r="E379" s="348">
        <v>5.2700000000000004E-3</v>
      </c>
      <c r="F379" s="349">
        <v>8.6099999999999996E-3</v>
      </c>
    </row>
    <row r="380" spans="1:6" ht="12" thickBot="1">
      <c r="A380" s="347">
        <v>41241</v>
      </c>
      <c r="B380" s="348">
        <v>2.0899999999999998E-3</v>
      </c>
      <c r="C380" s="348">
        <v>2.5699999999999998E-3</v>
      </c>
      <c r="D380" s="348">
        <v>3.1050000000000001E-3</v>
      </c>
      <c r="E380" s="348">
        <v>5.28E-3</v>
      </c>
      <c r="F380" s="349">
        <v>8.6E-3</v>
      </c>
    </row>
    <row r="381" spans="1:6" ht="12" thickBot="1">
      <c r="A381" s="347">
        <v>41240</v>
      </c>
      <c r="B381" s="348">
        <v>2.0899999999999998E-3</v>
      </c>
      <c r="C381" s="348">
        <v>2.5699999999999998E-3</v>
      </c>
      <c r="D381" s="348">
        <v>3.1150000000000001E-3</v>
      </c>
      <c r="E381" s="348">
        <v>5.28E-3</v>
      </c>
      <c r="F381" s="349">
        <v>8.6E-3</v>
      </c>
    </row>
    <row r="382" spans="1:6" ht="12" thickBot="1">
      <c r="A382" s="347">
        <v>41239</v>
      </c>
      <c r="B382" s="348">
        <v>2.0899999999999998E-3</v>
      </c>
      <c r="C382" s="348">
        <v>2.5699999999999998E-3</v>
      </c>
      <c r="D382" s="348">
        <v>3.1150000000000001E-3</v>
      </c>
      <c r="E382" s="348">
        <v>5.2700000000000004E-3</v>
      </c>
      <c r="F382" s="349">
        <v>8.6E-3</v>
      </c>
    </row>
    <row r="383" spans="1:6" ht="12" thickBot="1">
      <c r="A383" s="347">
        <v>41236</v>
      </c>
      <c r="B383" s="348">
        <v>2.085E-3</v>
      </c>
      <c r="C383" s="348">
        <v>2.5699999999999998E-3</v>
      </c>
      <c r="D383" s="348">
        <v>3.1150000000000001E-3</v>
      </c>
      <c r="E383" s="348">
        <v>5.2700000000000004E-3</v>
      </c>
      <c r="F383" s="349">
        <v>8.5900000000000004E-3</v>
      </c>
    </row>
    <row r="384" spans="1:6" ht="12" thickBot="1">
      <c r="A384" s="347">
        <v>41235</v>
      </c>
      <c r="B384" s="348">
        <v>2.075E-3</v>
      </c>
      <c r="C384" s="348">
        <v>2.5699999999999998E-3</v>
      </c>
      <c r="D384" s="348">
        <v>3.1150000000000001E-3</v>
      </c>
      <c r="E384" s="348">
        <v>5.2700000000000004E-3</v>
      </c>
      <c r="F384" s="349">
        <v>8.6E-3</v>
      </c>
    </row>
    <row r="385" spans="1:6" ht="12" thickBot="1">
      <c r="A385" s="347">
        <v>41234</v>
      </c>
      <c r="B385" s="348">
        <v>2.075E-3</v>
      </c>
      <c r="C385" s="348">
        <v>2.5699999999999998E-3</v>
      </c>
      <c r="D385" s="348">
        <v>3.1150000000000001E-3</v>
      </c>
      <c r="E385" s="348">
        <v>5.2700000000000004E-3</v>
      </c>
      <c r="F385" s="349">
        <v>8.6099999999999996E-3</v>
      </c>
    </row>
    <row r="386" spans="1:6" ht="12" thickBot="1">
      <c r="A386" s="347">
        <v>41233</v>
      </c>
      <c r="B386" s="348">
        <v>2.075E-3</v>
      </c>
      <c r="C386" s="348">
        <v>2.5699999999999998E-3</v>
      </c>
      <c r="D386" s="348">
        <v>3.1050000000000001E-3</v>
      </c>
      <c r="E386" s="348">
        <v>5.2700000000000004E-3</v>
      </c>
      <c r="F386" s="349">
        <v>8.6E-3</v>
      </c>
    </row>
    <row r="387" spans="1:6" ht="12" thickBot="1">
      <c r="A387" s="347">
        <v>41232</v>
      </c>
      <c r="B387" s="348">
        <v>2.075E-3</v>
      </c>
      <c r="C387" s="348">
        <v>2.5699999999999998E-3</v>
      </c>
      <c r="D387" s="348">
        <v>3.1150000000000001E-3</v>
      </c>
      <c r="E387" s="348">
        <v>5.28E-3</v>
      </c>
      <c r="F387" s="349">
        <v>8.6E-3</v>
      </c>
    </row>
    <row r="388" spans="1:6" ht="12" thickBot="1">
      <c r="A388" s="347">
        <v>41229</v>
      </c>
      <c r="B388" s="348">
        <v>2.075E-3</v>
      </c>
      <c r="C388" s="348">
        <v>2.5699999999999998E-3</v>
      </c>
      <c r="D388" s="348">
        <v>3.1150000000000001E-3</v>
      </c>
      <c r="E388" s="348">
        <v>5.2599999999999999E-3</v>
      </c>
      <c r="F388" s="349">
        <v>8.6E-3</v>
      </c>
    </row>
    <row r="389" spans="1:6" ht="12" thickBot="1">
      <c r="A389" s="347">
        <v>41228</v>
      </c>
      <c r="B389" s="348">
        <v>2.075E-3</v>
      </c>
      <c r="C389" s="348">
        <v>2.5699999999999998E-3</v>
      </c>
      <c r="D389" s="348">
        <v>3.1099999999999999E-3</v>
      </c>
      <c r="E389" s="348">
        <v>5.2300000000000003E-3</v>
      </c>
      <c r="F389" s="349">
        <v>8.5950000000000002E-3</v>
      </c>
    </row>
    <row r="390" spans="1:6" ht="12" thickBot="1">
      <c r="A390" s="347">
        <v>41227</v>
      </c>
      <c r="B390" s="348">
        <v>2.075E-3</v>
      </c>
      <c r="C390" s="348">
        <v>2.5899999999999999E-3</v>
      </c>
      <c r="D390" s="348">
        <v>3.0999999999999999E-3</v>
      </c>
      <c r="E390" s="348">
        <v>5.2300000000000003E-3</v>
      </c>
      <c r="F390" s="349">
        <v>8.6049999999999998E-3</v>
      </c>
    </row>
    <row r="391" spans="1:6" ht="12" thickBot="1">
      <c r="A391" s="347">
        <v>41226</v>
      </c>
      <c r="B391" s="348">
        <v>2.0799999999999998E-3</v>
      </c>
      <c r="C391" s="348">
        <v>2.5899999999999999E-3</v>
      </c>
      <c r="D391" s="348">
        <v>3.0999999999999999E-3</v>
      </c>
      <c r="E391" s="348">
        <v>5.2399999999999999E-3</v>
      </c>
      <c r="F391" s="349">
        <v>8.6149999999999994E-3</v>
      </c>
    </row>
    <row r="392" spans="1:6" ht="12" thickBot="1">
      <c r="A392" s="347">
        <v>41222</v>
      </c>
      <c r="B392" s="348">
        <v>2.0899999999999998E-3</v>
      </c>
      <c r="C392" s="348">
        <v>2.5950000000000001E-3</v>
      </c>
      <c r="D392" s="348">
        <v>3.0999999999999999E-3</v>
      </c>
      <c r="E392" s="348">
        <v>5.2649999999999997E-3</v>
      </c>
      <c r="F392" s="349">
        <v>8.6199999999999992E-3</v>
      </c>
    </row>
    <row r="393" spans="1:6" ht="12" thickBot="1">
      <c r="A393" s="347">
        <v>41221</v>
      </c>
      <c r="B393" s="348">
        <v>2.0899999999999998E-3</v>
      </c>
      <c r="C393" s="348">
        <v>2.5950000000000001E-3</v>
      </c>
      <c r="D393" s="348">
        <v>3.0999999999999999E-3</v>
      </c>
      <c r="E393" s="348">
        <v>5.2649999999999997E-3</v>
      </c>
      <c r="F393" s="349">
        <v>8.6199999999999992E-3</v>
      </c>
    </row>
    <row r="394" spans="1:6" ht="12" thickBot="1">
      <c r="A394" s="347">
        <v>41220</v>
      </c>
      <c r="B394" s="348">
        <v>2.0899999999999998E-3</v>
      </c>
      <c r="C394" s="348">
        <v>2.5950000000000001E-3</v>
      </c>
      <c r="D394" s="348">
        <v>3.0999999999999999E-3</v>
      </c>
      <c r="E394" s="348">
        <v>5.2950000000000002E-3</v>
      </c>
      <c r="F394" s="349">
        <v>8.6599999999999993E-3</v>
      </c>
    </row>
    <row r="395" spans="1:6" ht="12" thickBot="1">
      <c r="A395" s="347">
        <v>41219</v>
      </c>
      <c r="B395" s="348">
        <v>2.0899999999999998E-3</v>
      </c>
      <c r="C395" s="348">
        <v>2.5950000000000001E-3</v>
      </c>
      <c r="D395" s="348">
        <v>3.1175E-3</v>
      </c>
      <c r="E395" s="348">
        <v>5.3350000000000003E-3</v>
      </c>
      <c r="F395" s="349">
        <v>8.7150000000000005E-3</v>
      </c>
    </row>
    <row r="396" spans="1:6" ht="12" thickBot="1">
      <c r="A396" s="347">
        <v>41215</v>
      </c>
      <c r="B396" s="348">
        <v>2.0899999999999998E-3</v>
      </c>
      <c r="C396" s="348">
        <v>2.6050000000000001E-3</v>
      </c>
      <c r="D396" s="348">
        <v>3.1275000000000001E-3</v>
      </c>
      <c r="E396" s="348">
        <v>5.3800000000000002E-3</v>
      </c>
      <c r="F396" s="349">
        <v>8.7500000000000008E-3</v>
      </c>
    </row>
    <row r="397" spans="1:6" ht="12" thickBot="1">
      <c r="A397" s="347">
        <v>41214</v>
      </c>
      <c r="B397" s="348">
        <v>2.0999999999999999E-3</v>
      </c>
      <c r="C397" s="348">
        <v>2.6050000000000001E-3</v>
      </c>
      <c r="D397" s="348">
        <v>3.1275000000000001E-3</v>
      </c>
      <c r="E397" s="348">
        <v>5.3940000000000004E-3</v>
      </c>
      <c r="F397" s="349">
        <v>8.7550000000000006E-3</v>
      </c>
    </row>
    <row r="398" spans="1:6" ht="12" thickBot="1">
      <c r="A398" s="347">
        <v>41213</v>
      </c>
      <c r="B398" s="348">
        <v>2.1199999999999999E-3</v>
      </c>
      <c r="C398" s="348">
        <v>2.6099999999999999E-3</v>
      </c>
      <c r="D398" s="348">
        <v>3.1275000000000001E-3</v>
      </c>
      <c r="E398" s="348">
        <v>5.3990000000000002E-3</v>
      </c>
      <c r="F398" s="349">
        <v>8.7550000000000006E-3</v>
      </c>
    </row>
    <row r="399" spans="1:6" ht="12" thickBot="1">
      <c r="A399" s="347">
        <v>41212</v>
      </c>
      <c r="B399" s="348">
        <v>2.1199999999999999E-3</v>
      </c>
      <c r="C399" s="348">
        <v>2.6099999999999999E-3</v>
      </c>
      <c r="D399" s="348">
        <v>3.1275000000000001E-3</v>
      </c>
      <c r="E399" s="348">
        <v>5.3990000000000002E-3</v>
      </c>
      <c r="F399" s="349">
        <v>8.7749999999999998E-3</v>
      </c>
    </row>
    <row r="400" spans="1:6" ht="12" thickBot="1">
      <c r="A400" s="347">
        <v>41211</v>
      </c>
      <c r="B400" s="348">
        <v>2.1199999999999999E-3</v>
      </c>
      <c r="C400" s="348">
        <v>2.6050000000000001E-3</v>
      </c>
      <c r="D400" s="348">
        <v>3.1275000000000001E-3</v>
      </c>
      <c r="E400" s="348">
        <v>5.4289999999999998E-3</v>
      </c>
      <c r="F400" s="349">
        <v>8.7749999999999998E-3</v>
      </c>
    </row>
    <row r="401" spans="1:6" ht="12" thickBot="1">
      <c r="A401" s="347">
        <v>41208</v>
      </c>
      <c r="B401" s="348">
        <v>2.1199999999999999E-3</v>
      </c>
      <c r="C401" s="348">
        <v>2.6099999999999999E-3</v>
      </c>
      <c r="D401" s="348">
        <v>3.1324999999999999E-3</v>
      </c>
      <c r="E401" s="348">
        <v>5.4489999999999999E-3</v>
      </c>
      <c r="F401" s="349">
        <v>8.8050000000000003E-3</v>
      </c>
    </row>
    <row r="402" spans="1:6" ht="12" thickBot="1">
      <c r="A402" s="347">
        <v>41207</v>
      </c>
      <c r="B402" s="348">
        <v>2.1099999999999999E-3</v>
      </c>
      <c r="C402" s="348">
        <v>2.5999999999999999E-3</v>
      </c>
      <c r="D402" s="348">
        <v>3.1324999999999999E-3</v>
      </c>
      <c r="E402" s="348">
        <v>5.4689999999999999E-3</v>
      </c>
      <c r="F402" s="349">
        <v>8.8050000000000003E-3</v>
      </c>
    </row>
    <row r="403" spans="1:6" ht="12" thickBot="1">
      <c r="A403" s="347">
        <v>41206</v>
      </c>
      <c r="B403" s="348">
        <v>2.1050000000000001E-3</v>
      </c>
      <c r="C403" s="348">
        <v>2.6050000000000001E-3</v>
      </c>
      <c r="D403" s="348">
        <v>3.1424999999999999E-3</v>
      </c>
      <c r="E403" s="348">
        <v>5.4790000000000004E-3</v>
      </c>
      <c r="F403" s="349">
        <v>8.8149999999999999E-3</v>
      </c>
    </row>
    <row r="404" spans="1:6" ht="12" thickBot="1">
      <c r="A404" s="347">
        <v>41205</v>
      </c>
      <c r="B404" s="348">
        <v>2.1069999999999999E-3</v>
      </c>
      <c r="C404" s="348">
        <v>2.6050000000000001E-3</v>
      </c>
      <c r="D404" s="348">
        <v>3.1524999999999999E-3</v>
      </c>
      <c r="E404" s="348">
        <v>5.5339999999999999E-3</v>
      </c>
      <c r="F404" s="349">
        <v>8.8800000000000007E-3</v>
      </c>
    </row>
    <row r="405" spans="1:6" ht="12" thickBot="1">
      <c r="A405" s="347">
        <v>41204</v>
      </c>
      <c r="B405" s="348">
        <v>2.1069999999999999E-3</v>
      </c>
      <c r="C405" s="348">
        <v>2.6099999999999999E-3</v>
      </c>
      <c r="D405" s="348">
        <v>3.1575000000000002E-3</v>
      </c>
      <c r="E405" s="348">
        <v>5.5589999999999997E-3</v>
      </c>
      <c r="F405" s="349">
        <v>8.9049999999999997E-3</v>
      </c>
    </row>
    <row r="406" spans="1:6" ht="12" thickBot="1">
      <c r="A406" s="347">
        <v>41201</v>
      </c>
      <c r="B406" s="348">
        <v>2.1069999999999999E-3</v>
      </c>
      <c r="C406" s="348">
        <v>2.6150000000000001E-3</v>
      </c>
      <c r="D406" s="348">
        <v>3.1725E-3</v>
      </c>
      <c r="E406" s="348">
        <v>5.594E-3</v>
      </c>
      <c r="F406" s="349">
        <v>8.9650000000000007E-3</v>
      </c>
    </row>
    <row r="407" spans="1:6" ht="12" thickBot="1">
      <c r="A407" s="347">
        <v>41200</v>
      </c>
      <c r="B407" s="348">
        <v>2.1069999999999999E-3</v>
      </c>
      <c r="C407" s="348">
        <v>2.6350000000000002E-3</v>
      </c>
      <c r="D407" s="348">
        <v>3.1874999999999998E-3</v>
      </c>
      <c r="E407" s="348">
        <v>5.659E-3</v>
      </c>
      <c r="F407" s="349">
        <v>9.0100000000000006E-3</v>
      </c>
    </row>
    <row r="408" spans="1:6" ht="12" thickBot="1">
      <c r="A408" s="347">
        <v>41199</v>
      </c>
      <c r="B408" s="348">
        <v>2.117E-3</v>
      </c>
      <c r="C408" s="348">
        <v>2.6424999999999999E-3</v>
      </c>
      <c r="D408" s="348">
        <v>3.2074999999999998E-3</v>
      </c>
      <c r="E408" s="348">
        <v>5.7039999999999999E-3</v>
      </c>
      <c r="F408" s="349">
        <v>9.0550000000000005E-3</v>
      </c>
    </row>
    <row r="409" spans="1:6" ht="12" thickBot="1">
      <c r="A409" s="347">
        <v>41198</v>
      </c>
      <c r="B409" s="348">
        <v>2.1320000000000002E-3</v>
      </c>
      <c r="C409" s="348">
        <v>2.6700000000000001E-3</v>
      </c>
      <c r="D409" s="348">
        <v>3.2475E-3</v>
      </c>
      <c r="E409" s="348">
        <v>5.7840000000000001E-3</v>
      </c>
      <c r="F409" s="349">
        <v>9.1800000000000007E-3</v>
      </c>
    </row>
    <row r="410" spans="1:6" ht="12" thickBot="1">
      <c r="A410" s="347">
        <v>41194</v>
      </c>
      <c r="B410" s="348">
        <v>2.14E-3</v>
      </c>
      <c r="C410" s="348">
        <v>2.7550000000000001E-3</v>
      </c>
      <c r="D410" s="348">
        <v>3.3425E-3</v>
      </c>
      <c r="E410" s="348">
        <v>5.9589999999999999E-3</v>
      </c>
      <c r="F410" s="349">
        <v>9.3600000000000003E-3</v>
      </c>
    </row>
    <row r="411" spans="1:6" ht="12" thickBot="1">
      <c r="A411" s="347">
        <v>41193</v>
      </c>
      <c r="B411" s="348">
        <v>2.14E-3</v>
      </c>
      <c r="C411" s="348">
        <v>2.7799999999999999E-3</v>
      </c>
      <c r="D411" s="348">
        <v>3.4025000000000001E-3</v>
      </c>
      <c r="E411" s="348">
        <v>6.0390000000000001E-3</v>
      </c>
      <c r="F411" s="349">
        <v>9.4149999999999998E-3</v>
      </c>
    </row>
    <row r="412" spans="1:6" ht="12" thickBot="1">
      <c r="A412" s="347">
        <v>41192</v>
      </c>
      <c r="B412" s="348">
        <v>2.14E-3</v>
      </c>
      <c r="C412" s="348">
        <v>2.8E-3</v>
      </c>
      <c r="D412" s="348">
        <v>3.4275E-3</v>
      </c>
      <c r="E412" s="348">
        <v>6.0790000000000002E-3</v>
      </c>
      <c r="F412" s="349">
        <v>9.4450000000000003E-3</v>
      </c>
    </row>
    <row r="413" spans="1:6" ht="12" thickBot="1">
      <c r="A413" s="347">
        <v>41191</v>
      </c>
      <c r="B413" s="348">
        <v>2.1549999999999998E-3</v>
      </c>
      <c r="C413" s="348">
        <v>2.8349999999999998E-3</v>
      </c>
      <c r="D413" s="348">
        <v>3.4675000000000001E-3</v>
      </c>
      <c r="E413" s="348">
        <v>6.1539999999999997E-3</v>
      </c>
      <c r="F413" s="349">
        <v>9.5200000000000007E-3</v>
      </c>
    </row>
    <row r="414" spans="1:6" ht="12" thickBot="1">
      <c r="A414" s="347">
        <v>41190</v>
      </c>
      <c r="B414" s="348">
        <v>2.1749999999999999E-3</v>
      </c>
      <c r="C414" s="348">
        <v>2.8549999999999999E-3</v>
      </c>
      <c r="D414" s="348">
        <v>3.5025E-3</v>
      </c>
      <c r="E414" s="348">
        <v>6.169E-3</v>
      </c>
      <c r="F414" s="349">
        <v>9.5350000000000001E-3</v>
      </c>
    </row>
    <row r="415" spans="1:6" ht="12" thickBot="1">
      <c r="A415" s="347">
        <v>41187</v>
      </c>
      <c r="B415" s="348">
        <v>2.1849999999999999E-3</v>
      </c>
      <c r="C415" s="348">
        <v>2.8549999999999999E-3</v>
      </c>
      <c r="D415" s="348">
        <v>3.5125E-3</v>
      </c>
      <c r="E415" s="348">
        <v>6.1789999999999996E-3</v>
      </c>
      <c r="F415" s="349">
        <v>9.5449999999999997E-3</v>
      </c>
    </row>
    <row r="416" spans="1:6" ht="12" thickBot="1">
      <c r="A416" s="347">
        <v>41186</v>
      </c>
      <c r="B416" s="348">
        <v>2.1849999999999999E-3</v>
      </c>
      <c r="C416" s="348">
        <v>2.875E-3</v>
      </c>
      <c r="D416" s="348">
        <v>3.5225E-3</v>
      </c>
      <c r="E416" s="348">
        <v>6.2040000000000003E-3</v>
      </c>
      <c r="F416" s="349">
        <v>9.5650000000000006E-3</v>
      </c>
    </row>
    <row r="417" spans="1:6" ht="12" thickBot="1">
      <c r="A417" s="347">
        <v>41185</v>
      </c>
      <c r="B417" s="348">
        <v>2.1849999999999999E-3</v>
      </c>
      <c r="C417" s="348">
        <v>2.875E-3</v>
      </c>
      <c r="D417" s="348">
        <v>3.5249999999999999E-3</v>
      </c>
      <c r="E417" s="348">
        <v>6.2240000000000004E-3</v>
      </c>
      <c r="F417" s="349">
        <v>9.5899999999999996E-3</v>
      </c>
    </row>
    <row r="418" spans="1:6" ht="12" thickBot="1">
      <c r="A418" s="347">
        <v>41184</v>
      </c>
      <c r="B418" s="348">
        <v>2.1450000000000002E-3</v>
      </c>
      <c r="C418" s="348">
        <v>2.8549999999999999E-3</v>
      </c>
      <c r="D418" s="348">
        <v>3.5400000000000002E-3</v>
      </c>
      <c r="E418" s="348">
        <v>6.2589999999999998E-3</v>
      </c>
      <c r="F418" s="349">
        <v>9.6150000000000003E-3</v>
      </c>
    </row>
    <row r="419" spans="1:6" ht="12" thickBot="1">
      <c r="A419" s="347">
        <v>41183</v>
      </c>
      <c r="B419" s="348">
        <v>2.1350000000000002E-3</v>
      </c>
      <c r="C419" s="348">
        <v>2.8625E-3</v>
      </c>
      <c r="D419" s="348">
        <v>3.5525000000000001E-3</v>
      </c>
      <c r="E419" s="348">
        <v>6.3064999999999996E-3</v>
      </c>
      <c r="F419" s="349">
        <v>9.6675000000000007E-3</v>
      </c>
    </row>
    <row r="420" spans="1:6" ht="12" thickBot="1">
      <c r="A420" s="347">
        <v>41180</v>
      </c>
      <c r="B420" s="348">
        <v>2.1424999999999999E-3</v>
      </c>
      <c r="C420" s="348">
        <v>2.9099999999999998E-3</v>
      </c>
      <c r="D420" s="348">
        <v>3.5850000000000001E-3</v>
      </c>
      <c r="E420" s="348">
        <v>6.3590000000000001E-3</v>
      </c>
      <c r="F420" s="349">
        <v>9.7300000000000008E-3</v>
      </c>
    </row>
    <row r="421" spans="1:6" ht="12" thickBot="1">
      <c r="A421" s="347">
        <v>41179</v>
      </c>
      <c r="B421" s="348">
        <v>2.1450000000000002E-3</v>
      </c>
      <c r="C421" s="348">
        <v>2.9375E-3</v>
      </c>
      <c r="D421" s="348">
        <v>3.6024999999999998E-3</v>
      </c>
      <c r="E421" s="348">
        <v>6.4064999999999999E-3</v>
      </c>
      <c r="F421" s="349">
        <v>9.7575000000000005E-3</v>
      </c>
    </row>
    <row r="422" spans="1:6" ht="12" thickBot="1">
      <c r="A422" s="347">
        <v>41178</v>
      </c>
      <c r="B422" s="348">
        <v>2.1549999999999998E-3</v>
      </c>
      <c r="C422" s="348">
        <v>2.9475E-3</v>
      </c>
      <c r="D422" s="348">
        <v>3.6224999999999999E-3</v>
      </c>
      <c r="E422" s="348">
        <v>6.4289999999999998E-3</v>
      </c>
      <c r="F422" s="349">
        <v>9.75E-3</v>
      </c>
    </row>
    <row r="423" spans="1:6" ht="12" thickBot="1">
      <c r="A423" s="347">
        <v>41177</v>
      </c>
      <c r="B423" s="348">
        <v>2.1549999999999998E-3</v>
      </c>
      <c r="C423" s="348">
        <v>2.9424999999999998E-3</v>
      </c>
      <c r="D423" s="348">
        <v>3.6350000000000002E-3</v>
      </c>
      <c r="E423" s="348">
        <v>6.4565000000000004E-3</v>
      </c>
      <c r="F423" s="349">
        <v>9.7824999999999995E-3</v>
      </c>
    </row>
    <row r="424" spans="1:6" ht="12" thickBot="1">
      <c r="A424" s="347">
        <v>41176</v>
      </c>
      <c r="B424" s="348">
        <v>2.1649999999999998E-3</v>
      </c>
      <c r="C424" s="348">
        <v>2.9575000000000001E-3</v>
      </c>
      <c r="D424" s="348">
        <v>3.6725E-3</v>
      </c>
      <c r="E424" s="348">
        <v>6.5114999999999999E-3</v>
      </c>
      <c r="F424" s="349">
        <v>9.8224999999999996E-3</v>
      </c>
    </row>
    <row r="425" spans="1:6" ht="12" thickBot="1">
      <c r="A425" s="347">
        <v>41173</v>
      </c>
      <c r="B425" s="348">
        <v>2.1649999999999998E-3</v>
      </c>
      <c r="C425" s="348">
        <v>2.9675000000000001E-3</v>
      </c>
      <c r="D425" s="348">
        <v>3.6925E-3</v>
      </c>
      <c r="E425" s="348">
        <v>6.5539999999999999E-3</v>
      </c>
      <c r="F425" s="349">
        <v>9.8449999999999996E-3</v>
      </c>
    </row>
    <row r="426" spans="1:6" ht="12" thickBot="1">
      <c r="A426" s="347">
        <v>41172</v>
      </c>
      <c r="B426" s="348">
        <v>2.1649999999999998E-3</v>
      </c>
      <c r="C426" s="348">
        <v>2.9824999999999999E-3</v>
      </c>
      <c r="D426" s="348">
        <v>3.7299999999999998E-3</v>
      </c>
      <c r="E426" s="348">
        <v>6.5764999999999999E-3</v>
      </c>
      <c r="F426" s="349">
        <v>9.8525000000000001E-3</v>
      </c>
    </row>
    <row r="427" spans="1:6" ht="12" thickBot="1">
      <c r="A427" s="347">
        <v>41171</v>
      </c>
      <c r="B427" s="348">
        <v>2.1849999999999999E-3</v>
      </c>
      <c r="C427" s="348">
        <v>3.0025E-3</v>
      </c>
      <c r="D427" s="348">
        <v>3.7575E-3</v>
      </c>
      <c r="E427" s="348">
        <v>6.594E-3</v>
      </c>
      <c r="F427" s="349">
        <v>9.8750000000000001E-3</v>
      </c>
    </row>
    <row r="428" spans="1:6" ht="12" thickBot="1">
      <c r="A428" s="347">
        <v>41170</v>
      </c>
      <c r="B428" s="348">
        <v>2.1849999999999999E-3</v>
      </c>
      <c r="C428" s="348">
        <v>3.0049999999999999E-3</v>
      </c>
      <c r="D428" s="348">
        <v>3.7875000000000001E-3</v>
      </c>
      <c r="E428" s="348">
        <v>6.6439999999999997E-3</v>
      </c>
      <c r="F428" s="349">
        <v>9.8949999999999993E-3</v>
      </c>
    </row>
    <row r="429" spans="1:6" ht="12" thickBot="1">
      <c r="A429" s="347">
        <v>41169</v>
      </c>
      <c r="B429" s="348">
        <v>2.1900000000000001E-3</v>
      </c>
      <c r="C429" s="348">
        <v>3.0149999999999999E-3</v>
      </c>
      <c r="D429" s="348">
        <v>3.8075000000000001E-3</v>
      </c>
      <c r="E429" s="348">
        <v>6.6689999999999996E-3</v>
      </c>
      <c r="F429" s="349">
        <v>9.92E-3</v>
      </c>
    </row>
    <row r="430" spans="1:6" ht="12" thickBot="1">
      <c r="A430" s="347">
        <v>41166</v>
      </c>
      <c r="B430" s="348">
        <v>2.2000000000000001E-3</v>
      </c>
      <c r="C430" s="348">
        <v>3.045E-3</v>
      </c>
      <c r="D430" s="348">
        <v>3.8525E-3</v>
      </c>
      <c r="E430" s="348">
        <v>6.7289999999999997E-3</v>
      </c>
      <c r="F430" s="349">
        <v>9.9699999999999997E-3</v>
      </c>
    </row>
    <row r="431" spans="1:6" ht="12" thickBot="1">
      <c r="A431" s="347">
        <v>41165</v>
      </c>
      <c r="B431" s="348">
        <v>2.2074999999999998E-3</v>
      </c>
      <c r="C431" s="348">
        <v>3.0975E-3</v>
      </c>
      <c r="D431" s="348">
        <v>3.8874999999999999E-3</v>
      </c>
      <c r="E431" s="348">
        <v>6.7939999999999997E-3</v>
      </c>
      <c r="F431" s="349">
        <v>1.004E-2</v>
      </c>
    </row>
    <row r="432" spans="1:6" ht="12" thickBot="1">
      <c r="A432" s="347">
        <v>41164</v>
      </c>
      <c r="B432" s="348">
        <v>2.2374999999999999E-3</v>
      </c>
      <c r="C432" s="348">
        <v>3.1524999999999999E-3</v>
      </c>
      <c r="D432" s="348">
        <v>3.9424999999999998E-3</v>
      </c>
      <c r="E432" s="348">
        <v>6.8339999999999998E-3</v>
      </c>
      <c r="F432" s="349">
        <v>1.008E-2</v>
      </c>
    </row>
    <row r="433" spans="1:6" ht="12" thickBot="1">
      <c r="A433" s="347">
        <v>41163</v>
      </c>
      <c r="B433" s="348">
        <v>2.2675E-3</v>
      </c>
      <c r="C433" s="348">
        <v>3.1874999999999998E-3</v>
      </c>
      <c r="D433" s="348">
        <v>3.9874999999999997E-3</v>
      </c>
      <c r="E433" s="348">
        <v>6.8690000000000001E-3</v>
      </c>
      <c r="F433" s="349">
        <v>1.0145E-2</v>
      </c>
    </row>
    <row r="434" spans="1:6" ht="12" thickBot="1">
      <c r="A434" s="347">
        <v>41162</v>
      </c>
      <c r="B434" s="348">
        <v>2.2799999999999999E-3</v>
      </c>
      <c r="C434" s="348">
        <v>3.215E-3</v>
      </c>
      <c r="D434" s="348">
        <v>4.0425000000000001E-3</v>
      </c>
      <c r="E434" s="348">
        <v>6.9065000000000003E-3</v>
      </c>
      <c r="F434" s="349">
        <v>1.0175E-2</v>
      </c>
    </row>
    <row r="435" spans="1:6" ht="12" thickBot="1">
      <c r="A435" s="347">
        <v>41159</v>
      </c>
      <c r="B435" s="348">
        <v>2.2799999999999999E-3</v>
      </c>
      <c r="C435" s="348">
        <v>3.2299999999999998E-3</v>
      </c>
      <c r="D435" s="348">
        <v>4.0775000000000004E-3</v>
      </c>
      <c r="E435" s="348">
        <v>6.9465000000000004E-3</v>
      </c>
      <c r="F435" s="349">
        <v>1.0240000000000001E-2</v>
      </c>
    </row>
    <row r="436" spans="1:6" ht="12" thickBot="1">
      <c r="A436" s="347">
        <v>41158</v>
      </c>
      <c r="B436" s="348">
        <v>2.2750000000000001E-3</v>
      </c>
      <c r="C436" s="348">
        <v>3.235E-3</v>
      </c>
      <c r="D436" s="348">
        <v>4.0835000000000003E-3</v>
      </c>
      <c r="E436" s="348">
        <v>6.9814999999999999E-3</v>
      </c>
      <c r="F436" s="349">
        <v>1.0245000000000001E-2</v>
      </c>
    </row>
    <row r="437" spans="1:6" ht="12" thickBot="1">
      <c r="A437" s="347">
        <v>41157</v>
      </c>
      <c r="B437" s="348">
        <v>2.2799999999999999E-3</v>
      </c>
      <c r="C437" s="348">
        <v>3.2499999999999999E-3</v>
      </c>
      <c r="D437" s="348">
        <v>4.0984999999999997E-3</v>
      </c>
      <c r="E437" s="348">
        <v>7.0064999999999997E-3</v>
      </c>
      <c r="F437" s="349">
        <v>1.0265E-2</v>
      </c>
    </row>
    <row r="438" spans="1:6" ht="12" thickBot="1">
      <c r="A438" s="347">
        <v>41156</v>
      </c>
      <c r="B438" s="348">
        <v>2.2824999999999998E-3</v>
      </c>
      <c r="C438" s="348">
        <v>3.2525000000000002E-3</v>
      </c>
      <c r="D438" s="348">
        <v>4.1184999999999998E-3</v>
      </c>
      <c r="E438" s="348">
        <v>7.0165000000000002E-3</v>
      </c>
      <c r="F438" s="349">
        <v>1.027E-2</v>
      </c>
    </row>
    <row r="439" spans="1:6" ht="12" thickBot="1">
      <c r="A439" s="347">
        <v>41155</v>
      </c>
      <c r="B439" s="348">
        <v>2.3050000000000002E-3</v>
      </c>
      <c r="C439" s="348">
        <v>3.2650000000000001E-3</v>
      </c>
      <c r="D439" s="348">
        <v>4.1434999999999996E-3</v>
      </c>
      <c r="E439" s="348">
        <v>7.0514999999999996E-3</v>
      </c>
      <c r="F439" s="349">
        <v>1.0295E-2</v>
      </c>
    </row>
    <row r="440" spans="1:6" ht="12" thickBot="1">
      <c r="A440" s="347">
        <v>41152</v>
      </c>
      <c r="B440" s="348">
        <v>2.3050000000000002E-3</v>
      </c>
      <c r="C440" s="348">
        <v>3.2750000000000001E-3</v>
      </c>
      <c r="D440" s="348">
        <v>4.1824999999999996E-3</v>
      </c>
      <c r="E440" s="348">
        <v>7.0765000000000003E-3</v>
      </c>
      <c r="F440" s="349">
        <v>1.0319999999999999E-2</v>
      </c>
    </row>
    <row r="441" spans="1:6" ht="12" thickBot="1">
      <c r="A441" s="347">
        <v>41151</v>
      </c>
      <c r="B441" s="348">
        <v>2.3050000000000002E-3</v>
      </c>
      <c r="C441" s="348">
        <v>3.2850000000000002E-3</v>
      </c>
      <c r="D441" s="348">
        <v>4.2075000000000003E-3</v>
      </c>
      <c r="E441" s="348">
        <v>7.0914999999999997E-3</v>
      </c>
      <c r="F441" s="349">
        <v>1.0330000000000001E-2</v>
      </c>
    </row>
    <row r="442" spans="1:6" ht="12" thickBot="1">
      <c r="A442" s="347">
        <v>41150</v>
      </c>
      <c r="B442" s="348">
        <v>2.3149999999999998E-3</v>
      </c>
      <c r="C442" s="348">
        <v>3.2950000000000002E-3</v>
      </c>
      <c r="D442" s="348">
        <v>4.2174999999999999E-3</v>
      </c>
      <c r="E442" s="348">
        <v>7.0914999999999997E-3</v>
      </c>
      <c r="F442" s="349">
        <v>1.034E-2</v>
      </c>
    </row>
    <row r="443" spans="1:6" ht="12" thickBot="1">
      <c r="A443" s="347">
        <v>41149</v>
      </c>
      <c r="B443" s="348">
        <v>2.3349999999999998E-3</v>
      </c>
      <c r="C443" s="348">
        <v>3.2950000000000002E-3</v>
      </c>
      <c r="D443" s="348">
        <v>4.2275000000000004E-3</v>
      </c>
      <c r="E443" s="348">
        <v>7.1065E-3</v>
      </c>
      <c r="F443" s="349">
        <v>1.035E-2</v>
      </c>
    </row>
    <row r="444" spans="1:6" ht="12" thickBot="1">
      <c r="A444" s="347">
        <v>41148</v>
      </c>
      <c r="B444" s="348">
        <v>2.3449999999999999E-3</v>
      </c>
      <c r="C444" s="348">
        <v>3.3E-3</v>
      </c>
      <c r="D444" s="348">
        <v>4.2484999999999997E-3</v>
      </c>
      <c r="E444" s="348">
        <v>7.1215000000000002E-3</v>
      </c>
      <c r="F444" s="349">
        <v>1.0364999999999999E-2</v>
      </c>
    </row>
    <row r="445" spans="1:6" ht="12" thickBot="1">
      <c r="A445" s="347">
        <v>41145</v>
      </c>
      <c r="B445" s="348">
        <v>2.3449999999999999E-3</v>
      </c>
      <c r="C445" s="348">
        <v>3.3E-3</v>
      </c>
      <c r="D445" s="348">
        <v>4.2484999999999997E-3</v>
      </c>
      <c r="E445" s="348">
        <v>7.1215000000000002E-3</v>
      </c>
      <c r="F445" s="349">
        <v>1.0364999999999999E-2</v>
      </c>
    </row>
    <row r="446" spans="1:6" ht="12" thickBot="1">
      <c r="A446" s="347">
        <v>41144</v>
      </c>
      <c r="B446" s="348">
        <v>2.3549999999999999E-3</v>
      </c>
      <c r="C446" s="348">
        <v>3.31E-3</v>
      </c>
      <c r="D446" s="348">
        <v>4.2684999999999997E-3</v>
      </c>
      <c r="E446" s="348">
        <v>7.1364999999999996E-3</v>
      </c>
      <c r="F446" s="349">
        <v>1.04E-2</v>
      </c>
    </row>
    <row r="447" spans="1:6" ht="12" thickBot="1">
      <c r="A447" s="347">
        <v>41143</v>
      </c>
      <c r="B447" s="348">
        <v>2.3649999999999999E-3</v>
      </c>
      <c r="C447" s="348">
        <v>3.3400000000000001E-3</v>
      </c>
      <c r="D447" s="348">
        <v>4.3074999999999997E-3</v>
      </c>
      <c r="E447" s="348">
        <v>7.1615000000000003E-3</v>
      </c>
      <c r="F447" s="349">
        <v>1.0410000000000001E-2</v>
      </c>
    </row>
    <row r="448" spans="1:6" ht="12" thickBot="1">
      <c r="A448" s="347">
        <v>41142</v>
      </c>
      <c r="B448" s="348">
        <v>2.3749999999999999E-3</v>
      </c>
      <c r="C448" s="348">
        <v>3.3400000000000001E-3</v>
      </c>
      <c r="D448" s="348">
        <v>4.3350000000000003E-3</v>
      </c>
      <c r="E448" s="348">
        <v>7.1815000000000004E-3</v>
      </c>
      <c r="F448" s="349">
        <v>1.042E-2</v>
      </c>
    </row>
    <row r="449" spans="1:6" ht="12" thickBot="1">
      <c r="A449" s="347">
        <v>41138</v>
      </c>
      <c r="B449" s="348">
        <v>2.3700000000000001E-3</v>
      </c>
      <c r="C449" s="348">
        <v>3.3300000000000001E-3</v>
      </c>
      <c r="D449" s="348">
        <v>4.3449999999999999E-3</v>
      </c>
      <c r="E449" s="348">
        <v>7.1815000000000004E-3</v>
      </c>
      <c r="F449" s="349">
        <v>1.044E-2</v>
      </c>
    </row>
    <row r="450" spans="1:6" ht="12" thickBot="1">
      <c r="A450" s="347">
        <v>41137</v>
      </c>
      <c r="B450" s="348">
        <v>2.3700000000000001E-3</v>
      </c>
      <c r="C450" s="348">
        <v>3.3300000000000001E-3</v>
      </c>
      <c r="D450" s="348">
        <v>4.3350000000000003E-3</v>
      </c>
      <c r="E450" s="348">
        <v>7.1815000000000004E-3</v>
      </c>
      <c r="F450" s="349">
        <v>1.044E-2</v>
      </c>
    </row>
    <row r="451" spans="1:6" ht="12" thickBot="1">
      <c r="A451" s="347">
        <v>41136</v>
      </c>
      <c r="B451" s="348">
        <v>2.3800000000000002E-3</v>
      </c>
      <c r="C451" s="348">
        <v>3.3300000000000001E-3</v>
      </c>
      <c r="D451" s="348">
        <v>4.3449999999999999E-3</v>
      </c>
      <c r="E451" s="348">
        <v>7.1815000000000004E-3</v>
      </c>
      <c r="F451" s="349">
        <v>1.0449999999999999E-2</v>
      </c>
    </row>
    <row r="452" spans="1:6" ht="12" thickBot="1">
      <c r="A452" s="347">
        <v>41135</v>
      </c>
      <c r="B452" s="348">
        <v>2.385E-3</v>
      </c>
      <c r="C452" s="348">
        <v>3.3300000000000001E-3</v>
      </c>
      <c r="D452" s="348">
        <v>4.365E-3</v>
      </c>
      <c r="E452" s="348">
        <v>7.1915E-3</v>
      </c>
      <c r="F452" s="349">
        <v>1.0460000000000001E-2</v>
      </c>
    </row>
    <row r="453" spans="1:6" ht="12" thickBot="1">
      <c r="A453" s="347">
        <v>41134</v>
      </c>
      <c r="B453" s="348">
        <v>2.395E-3</v>
      </c>
      <c r="C453" s="348">
        <v>3.3300000000000001E-3</v>
      </c>
      <c r="D453" s="348">
        <v>4.3449999999999999E-3</v>
      </c>
      <c r="E453" s="348">
        <v>7.1915E-3</v>
      </c>
      <c r="F453" s="349">
        <v>1.0460000000000001E-2</v>
      </c>
    </row>
    <row r="454" spans="1:6" ht="12" thickBot="1">
      <c r="A454" s="347">
        <v>41131</v>
      </c>
      <c r="B454" s="348">
        <v>2.3974999999999999E-3</v>
      </c>
      <c r="C454" s="348">
        <v>3.3325E-3</v>
      </c>
      <c r="D454" s="348">
        <v>4.3699999999999998E-3</v>
      </c>
      <c r="E454" s="348">
        <v>7.2014999999999996E-3</v>
      </c>
      <c r="F454" s="349">
        <v>1.0465E-2</v>
      </c>
    </row>
    <row r="455" spans="1:6" ht="12" thickBot="1">
      <c r="A455" s="347">
        <v>41130</v>
      </c>
      <c r="B455" s="348">
        <v>2.3925000000000001E-3</v>
      </c>
      <c r="C455" s="348">
        <v>3.3475000000000002E-3</v>
      </c>
      <c r="D455" s="348">
        <v>4.3750000000000004E-3</v>
      </c>
      <c r="E455" s="348">
        <v>7.2164999999999998E-3</v>
      </c>
      <c r="F455" s="349">
        <v>1.0465E-2</v>
      </c>
    </row>
    <row r="456" spans="1:6" ht="12" thickBot="1">
      <c r="A456" s="347">
        <v>41129</v>
      </c>
      <c r="B456" s="348">
        <v>2.4025000000000001E-3</v>
      </c>
      <c r="C456" s="348">
        <v>3.3475000000000002E-3</v>
      </c>
      <c r="D456" s="348">
        <v>4.3674999999999999E-3</v>
      </c>
      <c r="E456" s="348">
        <v>7.2065000000000002E-3</v>
      </c>
      <c r="F456" s="349">
        <v>1.0465E-2</v>
      </c>
    </row>
    <row r="457" spans="1:6" ht="12" thickBot="1">
      <c r="A457" s="347">
        <v>41127</v>
      </c>
      <c r="B457" s="348">
        <v>2.4325000000000002E-3</v>
      </c>
      <c r="C457" s="348">
        <v>3.3874999999999999E-3</v>
      </c>
      <c r="D457" s="348">
        <v>4.3885E-3</v>
      </c>
      <c r="E457" s="348">
        <v>7.2414999999999997E-3</v>
      </c>
      <c r="F457" s="349">
        <v>1.0472E-2</v>
      </c>
    </row>
    <row r="458" spans="1:6" ht="12" thickBot="1">
      <c r="A458" s="347">
        <v>41124</v>
      </c>
      <c r="B458" s="348">
        <v>2.4375E-3</v>
      </c>
      <c r="C458" s="348">
        <v>3.3774999999999999E-3</v>
      </c>
      <c r="D458" s="348">
        <v>4.3934999999999998E-3</v>
      </c>
      <c r="E458" s="348">
        <v>7.2364999999999999E-3</v>
      </c>
      <c r="F458" s="349">
        <v>1.0462000000000001E-2</v>
      </c>
    </row>
    <row r="459" spans="1:6" ht="12" thickBot="1">
      <c r="A459" s="347">
        <v>41123</v>
      </c>
      <c r="B459" s="348">
        <v>2.4424999999999998E-3</v>
      </c>
      <c r="C459" s="348">
        <v>3.3674999999999998E-3</v>
      </c>
      <c r="D459" s="348">
        <v>4.4184999999999997E-3</v>
      </c>
      <c r="E459" s="348">
        <v>7.2515000000000001E-3</v>
      </c>
      <c r="F459" s="349">
        <v>1.0482E-2</v>
      </c>
    </row>
    <row r="460" spans="1:6" ht="12" thickBot="1">
      <c r="A460" s="347">
        <v>41122</v>
      </c>
      <c r="B460" s="348">
        <v>2.447E-3</v>
      </c>
      <c r="C460" s="348">
        <v>3.3674999999999998E-3</v>
      </c>
      <c r="D460" s="348">
        <v>4.4159999999999998E-3</v>
      </c>
      <c r="E460" s="348">
        <v>7.2490000000000002E-3</v>
      </c>
      <c r="F460" s="349">
        <v>1.047E-2</v>
      </c>
    </row>
    <row r="461" spans="1:6" ht="12" thickBot="1">
      <c r="A461" s="347">
        <v>41121</v>
      </c>
      <c r="B461" s="348">
        <v>2.457E-3</v>
      </c>
      <c r="C461" s="348">
        <v>3.3774999999999999E-3</v>
      </c>
      <c r="D461" s="348">
        <v>4.4260000000000002E-3</v>
      </c>
      <c r="E461" s="348">
        <v>7.2589999999999998E-3</v>
      </c>
      <c r="F461" s="349">
        <v>1.0534999999999999E-2</v>
      </c>
    </row>
    <row r="462" spans="1:6" ht="12" thickBot="1">
      <c r="A462" s="347">
        <v>41120</v>
      </c>
      <c r="B462" s="348">
        <v>2.457E-3</v>
      </c>
      <c r="C462" s="348">
        <v>3.3925000000000001E-3</v>
      </c>
      <c r="D462" s="348">
        <v>4.4460000000000003E-3</v>
      </c>
      <c r="E462" s="348">
        <v>7.2639999999999996E-3</v>
      </c>
      <c r="F462" s="349">
        <v>1.0585000000000001E-2</v>
      </c>
    </row>
    <row r="463" spans="1:6" ht="12" thickBot="1">
      <c r="A463" s="347">
        <v>41117</v>
      </c>
      <c r="B463" s="348">
        <v>2.457E-3</v>
      </c>
      <c r="C463" s="348">
        <v>3.3925000000000001E-3</v>
      </c>
      <c r="D463" s="348">
        <v>4.4660000000000004E-3</v>
      </c>
      <c r="E463" s="348">
        <v>7.2439999999999996E-3</v>
      </c>
      <c r="F463" s="349">
        <v>1.0605E-2</v>
      </c>
    </row>
    <row r="464" spans="1:6" ht="12" thickBot="1">
      <c r="A464" s="347">
        <v>41116</v>
      </c>
      <c r="B464" s="348">
        <v>2.4520000000000002E-3</v>
      </c>
      <c r="C464" s="348">
        <v>3.3874999999999999E-3</v>
      </c>
      <c r="D464" s="348">
        <v>4.4710000000000001E-3</v>
      </c>
      <c r="E464" s="348">
        <v>7.2439999999999996E-3</v>
      </c>
      <c r="F464" s="349">
        <v>1.0605E-2</v>
      </c>
    </row>
    <row r="465" spans="1:6" ht="12" thickBot="1">
      <c r="A465" s="347">
        <v>41115</v>
      </c>
      <c r="B465" s="348">
        <v>2.4420000000000002E-3</v>
      </c>
      <c r="C465" s="348">
        <v>3.3574999999999998E-3</v>
      </c>
      <c r="D465" s="348">
        <v>4.4809999999999997E-3</v>
      </c>
      <c r="E465" s="348">
        <v>7.2639999999999996E-3</v>
      </c>
      <c r="F465" s="349">
        <v>1.0614999999999999E-2</v>
      </c>
    </row>
    <row r="466" spans="1:6" ht="12" thickBot="1">
      <c r="A466" s="347">
        <v>41114</v>
      </c>
      <c r="B466" s="348">
        <v>2.4420000000000002E-3</v>
      </c>
      <c r="C466" s="348">
        <v>3.3574999999999998E-3</v>
      </c>
      <c r="D466" s="348">
        <v>4.4809999999999997E-3</v>
      </c>
      <c r="E466" s="348">
        <v>7.2639999999999996E-3</v>
      </c>
      <c r="F466" s="349">
        <v>1.0614999999999999E-2</v>
      </c>
    </row>
    <row r="467" spans="1:6" ht="12" thickBot="1">
      <c r="A467" s="347">
        <v>41113</v>
      </c>
      <c r="B467" s="348">
        <v>2.4620000000000002E-3</v>
      </c>
      <c r="C467" s="348">
        <v>3.3825000000000001E-3</v>
      </c>
      <c r="D467" s="348">
        <v>4.5110000000000003E-3</v>
      </c>
      <c r="E467" s="348">
        <v>7.2740000000000001E-3</v>
      </c>
      <c r="F467" s="349">
        <v>1.0630000000000001E-2</v>
      </c>
    </row>
    <row r="468" spans="1:6" ht="12" thickBot="1">
      <c r="A468" s="347">
        <v>41109</v>
      </c>
      <c r="B468" s="348">
        <v>2.4675000000000001E-3</v>
      </c>
      <c r="C468" s="348">
        <v>3.3925000000000001E-3</v>
      </c>
      <c r="D468" s="348">
        <v>4.5310000000000003E-3</v>
      </c>
      <c r="E468" s="348">
        <v>7.2789999999999999E-3</v>
      </c>
      <c r="F468" s="349">
        <v>1.0645E-2</v>
      </c>
    </row>
    <row r="469" spans="1:6" ht="12" thickBot="1">
      <c r="A469" s="347">
        <v>41108</v>
      </c>
      <c r="B469" s="348">
        <v>2.4675000000000001E-3</v>
      </c>
      <c r="C469" s="348">
        <v>3.3974999999999999E-3</v>
      </c>
      <c r="D469" s="348">
        <v>4.5510000000000004E-3</v>
      </c>
      <c r="E469" s="348">
        <v>7.2839999999999997E-3</v>
      </c>
      <c r="F469" s="349">
        <v>1.0659999999999999E-2</v>
      </c>
    </row>
    <row r="470" spans="1:6" ht="12" thickBot="1">
      <c r="A470" s="347">
        <v>41107</v>
      </c>
      <c r="B470" s="348">
        <v>2.4675000000000001E-3</v>
      </c>
      <c r="C470" s="348">
        <v>3.3974999999999999E-3</v>
      </c>
      <c r="D470" s="348">
        <v>4.5510000000000004E-3</v>
      </c>
      <c r="E470" s="348">
        <v>7.2839999999999997E-3</v>
      </c>
      <c r="F470" s="349">
        <v>1.0659999999999999E-2</v>
      </c>
    </row>
    <row r="471" spans="1:6" ht="12" thickBot="1">
      <c r="A471" s="347">
        <v>41106</v>
      </c>
      <c r="B471" s="348">
        <v>2.4775000000000001E-3</v>
      </c>
      <c r="C471" s="348">
        <v>3.4074999999999999E-3</v>
      </c>
      <c r="D471" s="348">
        <v>4.5510000000000004E-3</v>
      </c>
      <c r="E471" s="348">
        <v>7.2839999999999997E-3</v>
      </c>
      <c r="F471" s="349">
        <v>1.0659999999999999E-2</v>
      </c>
    </row>
    <row r="472" spans="1:6" ht="12" thickBot="1">
      <c r="A472" s="347">
        <v>41103</v>
      </c>
      <c r="B472" s="348">
        <v>2.4775000000000001E-3</v>
      </c>
      <c r="C472" s="348">
        <v>3.4074999999999999E-3</v>
      </c>
      <c r="D472" s="348">
        <v>4.5510000000000004E-3</v>
      </c>
      <c r="E472" s="348">
        <v>7.2839999999999997E-3</v>
      </c>
      <c r="F472" s="349">
        <v>1.0670000000000001E-2</v>
      </c>
    </row>
    <row r="473" spans="1:6" ht="12" thickBot="1">
      <c r="A473" s="347">
        <v>41102</v>
      </c>
      <c r="B473" s="348">
        <v>2.4875000000000001E-3</v>
      </c>
      <c r="C473" s="348">
        <v>3.4074999999999999E-3</v>
      </c>
      <c r="D473" s="348">
        <v>4.5510000000000004E-3</v>
      </c>
      <c r="E473" s="348">
        <v>7.2940000000000001E-3</v>
      </c>
      <c r="F473" s="349">
        <v>1.0685E-2</v>
      </c>
    </row>
    <row r="474" spans="1:6" ht="12" thickBot="1">
      <c r="A474" s="347">
        <v>41101</v>
      </c>
      <c r="B474" s="348">
        <v>2.4875000000000001E-3</v>
      </c>
      <c r="C474" s="348">
        <v>3.4275E-3</v>
      </c>
      <c r="D474" s="348">
        <v>4.561E-3</v>
      </c>
      <c r="E474" s="348">
        <v>7.3439999999999998E-3</v>
      </c>
      <c r="F474" s="349">
        <v>1.0695E-2</v>
      </c>
    </row>
    <row r="475" spans="1:6" ht="12" thickBot="1">
      <c r="A475" s="347">
        <v>41100</v>
      </c>
      <c r="B475" s="348">
        <v>2.4875000000000001E-3</v>
      </c>
      <c r="C475" s="348">
        <v>3.4375E-3</v>
      </c>
      <c r="D475" s="348">
        <v>4.5760000000000002E-3</v>
      </c>
      <c r="E475" s="348">
        <v>7.3639999999999999E-3</v>
      </c>
      <c r="F475" s="349">
        <v>1.0695E-2</v>
      </c>
    </row>
    <row r="476" spans="1:6" ht="12" thickBot="1">
      <c r="A476" s="347">
        <v>41099</v>
      </c>
      <c r="B476" s="348">
        <v>2.4875000000000001E-3</v>
      </c>
      <c r="C476" s="348">
        <v>3.4375E-3</v>
      </c>
      <c r="D476" s="348">
        <v>4.5760000000000002E-3</v>
      </c>
      <c r="E476" s="348">
        <v>7.3639999999999999E-3</v>
      </c>
      <c r="F476" s="349">
        <v>1.0695E-2</v>
      </c>
    </row>
    <row r="477" spans="1:6" ht="12" thickBot="1">
      <c r="A477" s="347">
        <v>41096</v>
      </c>
      <c r="B477" s="348">
        <v>2.4575E-3</v>
      </c>
      <c r="C477" s="348">
        <v>3.4125000000000002E-3</v>
      </c>
      <c r="D477" s="348">
        <v>4.5760000000000002E-3</v>
      </c>
      <c r="E477" s="348">
        <v>7.3639999999999999E-3</v>
      </c>
      <c r="F477" s="349">
        <v>1.0695E-2</v>
      </c>
    </row>
    <row r="478" spans="1:6" ht="12" thickBot="1">
      <c r="A478" s="347">
        <v>41095</v>
      </c>
      <c r="B478" s="348">
        <v>2.4575E-3</v>
      </c>
      <c r="C478" s="348">
        <v>3.4175E-3</v>
      </c>
      <c r="D478" s="348">
        <v>4.5960000000000003E-3</v>
      </c>
      <c r="E478" s="348">
        <v>7.3639999999999999E-3</v>
      </c>
      <c r="F478" s="349">
        <v>1.0695E-2</v>
      </c>
    </row>
    <row r="479" spans="1:6" ht="12" thickBot="1">
      <c r="A479" s="347">
        <v>41094</v>
      </c>
      <c r="B479" s="348">
        <v>2.4575E-3</v>
      </c>
      <c r="C479" s="348">
        <v>3.4175E-3</v>
      </c>
      <c r="D479" s="348">
        <v>4.5960000000000003E-3</v>
      </c>
      <c r="E479" s="348">
        <v>7.3639999999999999E-3</v>
      </c>
      <c r="F479" s="349">
        <v>1.0695E-2</v>
      </c>
    </row>
    <row r="480" spans="1:6" ht="12" thickBot="1">
      <c r="A480" s="347">
        <v>41093</v>
      </c>
      <c r="B480" s="348">
        <v>2.4575E-3</v>
      </c>
      <c r="C480" s="348">
        <v>3.4275E-3</v>
      </c>
      <c r="D480" s="348">
        <v>4.6059999999999999E-3</v>
      </c>
      <c r="E480" s="348">
        <v>7.3439999999999998E-3</v>
      </c>
      <c r="F480" s="349">
        <v>1.0695E-2</v>
      </c>
    </row>
    <row r="481" spans="1:6" ht="12" thickBot="1">
      <c r="A481" s="347">
        <v>41089</v>
      </c>
      <c r="B481" s="348">
        <v>2.4575E-3</v>
      </c>
      <c r="C481" s="348">
        <v>3.4275E-3</v>
      </c>
      <c r="D481" s="348">
        <v>4.6059999999999999E-3</v>
      </c>
      <c r="E481" s="348">
        <v>7.3439999999999998E-3</v>
      </c>
      <c r="F481" s="349">
        <v>1.068E-2</v>
      </c>
    </row>
    <row r="482" spans="1:6" ht="12" thickBot="1">
      <c r="A482" s="347">
        <v>41088</v>
      </c>
      <c r="B482" s="348">
        <v>2.4524999999999998E-3</v>
      </c>
      <c r="C482" s="348">
        <v>3.4275E-3</v>
      </c>
      <c r="D482" s="348">
        <v>4.6059999999999999E-3</v>
      </c>
      <c r="E482" s="348">
        <v>7.3439999999999998E-3</v>
      </c>
      <c r="F482" s="349">
        <v>1.068E-2</v>
      </c>
    </row>
    <row r="483" spans="1:6" ht="12" thickBot="1">
      <c r="A483" s="347">
        <v>41087</v>
      </c>
      <c r="B483" s="348">
        <v>2.4524999999999998E-3</v>
      </c>
      <c r="C483" s="348">
        <v>3.4275E-3</v>
      </c>
      <c r="D483" s="348">
        <v>4.6059999999999999E-3</v>
      </c>
      <c r="E483" s="348">
        <v>7.3439999999999998E-3</v>
      </c>
      <c r="F483" s="349">
        <v>1.0675E-2</v>
      </c>
    </row>
    <row r="484" spans="1:6" ht="12" thickBot="1">
      <c r="A484" s="347">
        <v>41086</v>
      </c>
      <c r="B484" s="348">
        <v>2.4524999999999998E-3</v>
      </c>
      <c r="C484" s="348">
        <v>3.4275E-3</v>
      </c>
      <c r="D484" s="348">
        <v>4.6059999999999999E-3</v>
      </c>
      <c r="E484" s="348">
        <v>7.3439999999999998E-3</v>
      </c>
      <c r="F484" s="349">
        <v>1.0670000000000001E-2</v>
      </c>
    </row>
    <row r="485" spans="1:6" ht="12" thickBot="1">
      <c r="A485" s="347">
        <v>41085</v>
      </c>
      <c r="B485" s="348">
        <v>2.4524999999999998E-3</v>
      </c>
      <c r="C485" s="348">
        <v>3.4275E-3</v>
      </c>
      <c r="D485" s="348">
        <v>4.6059999999999999E-3</v>
      </c>
      <c r="E485" s="348">
        <v>7.339E-3</v>
      </c>
      <c r="F485" s="349">
        <v>1.0659999999999999E-2</v>
      </c>
    </row>
    <row r="486" spans="1:6" ht="12" thickBot="1">
      <c r="A486" s="347">
        <v>41082</v>
      </c>
      <c r="B486" s="348">
        <v>2.4524999999999998E-3</v>
      </c>
      <c r="C486" s="348">
        <v>3.4375E-3</v>
      </c>
      <c r="D486" s="348">
        <v>4.6160000000000003E-3</v>
      </c>
      <c r="E486" s="348">
        <v>7.3439999999999998E-3</v>
      </c>
      <c r="F486" s="349">
        <v>1.0685E-2</v>
      </c>
    </row>
    <row r="487" spans="1:6" ht="12" thickBot="1">
      <c r="A487" s="347">
        <v>41081</v>
      </c>
      <c r="B487" s="348">
        <v>2.4524999999999998E-3</v>
      </c>
      <c r="C487" s="348">
        <v>3.4775000000000001E-3</v>
      </c>
      <c r="D487" s="348">
        <v>4.6759999999999996E-3</v>
      </c>
      <c r="E487" s="348">
        <v>7.3740000000000003E-3</v>
      </c>
      <c r="F487" s="349">
        <v>1.0685E-2</v>
      </c>
    </row>
    <row r="488" spans="1:6" ht="12" thickBot="1">
      <c r="A488" s="347">
        <v>41080</v>
      </c>
      <c r="B488" s="348">
        <v>2.4524999999999998E-3</v>
      </c>
      <c r="C488" s="348">
        <v>3.4775000000000001E-3</v>
      </c>
      <c r="D488" s="348">
        <v>4.6759999999999996E-3</v>
      </c>
      <c r="E488" s="348">
        <v>7.3740000000000003E-3</v>
      </c>
      <c r="F488" s="349">
        <v>1.0685E-2</v>
      </c>
    </row>
    <row r="489" spans="1:6" ht="12" thickBot="1">
      <c r="A489" s="347">
        <v>41079</v>
      </c>
      <c r="B489" s="348">
        <v>2.4375E-3</v>
      </c>
      <c r="C489" s="348">
        <v>3.4775000000000001E-3</v>
      </c>
      <c r="D489" s="348">
        <v>4.6785000000000004E-3</v>
      </c>
      <c r="E489" s="348">
        <v>7.3740000000000003E-3</v>
      </c>
      <c r="F489" s="349">
        <v>1.0695E-2</v>
      </c>
    </row>
    <row r="490" spans="1:6" ht="12" thickBot="1">
      <c r="A490" s="347">
        <v>41075</v>
      </c>
      <c r="B490" s="348">
        <v>2.4275E-3</v>
      </c>
      <c r="C490" s="348">
        <v>3.4775000000000001E-3</v>
      </c>
      <c r="D490" s="348">
        <v>4.6785000000000004E-3</v>
      </c>
      <c r="E490" s="348">
        <v>7.3740000000000003E-3</v>
      </c>
      <c r="F490" s="349">
        <v>1.0695E-2</v>
      </c>
    </row>
    <row r="491" spans="1:6" ht="12" thickBot="1">
      <c r="A491" s="347">
        <v>41074</v>
      </c>
      <c r="B491" s="348">
        <v>2.4275E-3</v>
      </c>
      <c r="C491" s="348">
        <v>3.4775000000000001E-3</v>
      </c>
      <c r="D491" s="348">
        <v>4.6785000000000004E-3</v>
      </c>
      <c r="E491" s="348">
        <v>7.3790000000000001E-3</v>
      </c>
      <c r="F491" s="349">
        <v>1.0711999999999999E-2</v>
      </c>
    </row>
    <row r="492" spans="1:6" ht="12" thickBot="1">
      <c r="A492" s="347">
        <v>41073</v>
      </c>
      <c r="B492" s="348">
        <v>2.4174999999999999E-3</v>
      </c>
      <c r="C492" s="348">
        <v>3.4775000000000001E-3</v>
      </c>
      <c r="D492" s="348">
        <v>4.6785000000000004E-3</v>
      </c>
      <c r="E492" s="348">
        <v>7.3790000000000001E-3</v>
      </c>
      <c r="F492" s="349">
        <v>1.0707E-2</v>
      </c>
    </row>
    <row r="493" spans="1:6" ht="12" thickBot="1">
      <c r="A493" s="347">
        <v>41072</v>
      </c>
      <c r="B493" s="348">
        <v>2.4074999999999999E-3</v>
      </c>
      <c r="C493" s="348">
        <v>3.4724999999999999E-3</v>
      </c>
      <c r="D493" s="348">
        <v>4.6785000000000004E-3</v>
      </c>
      <c r="E493" s="348">
        <v>7.3689999999999997E-3</v>
      </c>
      <c r="F493" s="349">
        <v>1.0707E-2</v>
      </c>
    </row>
    <row r="494" spans="1:6" ht="12" thickBot="1">
      <c r="A494" s="347">
        <v>41068</v>
      </c>
      <c r="B494" s="348">
        <v>2.4074999999999999E-3</v>
      </c>
      <c r="C494" s="348">
        <v>3.4675000000000001E-3</v>
      </c>
      <c r="D494" s="348">
        <v>4.6785000000000004E-3</v>
      </c>
      <c r="E494" s="348">
        <v>7.3689999999999997E-3</v>
      </c>
      <c r="F494" s="349">
        <v>1.0702E-2</v>
      </c>
    </row>
    <row r="495" spans="1:6" ht="12" thickBot="1">
      <c r="A495" s="347">
        <v>41067</v>
      </c>
      <c r="B495" s="348">
        <v>2.4074999999999999E-3</v>
      </c>
      <c r="C495" s="348">
        <v>3.4675000000000001E-3</v>
      </c>
      <c r="D495" s="348">
        <v>4.6785000000000004E-3</v>
      </c>
      <c r="E495" s="348">
        <v>7.3689999999999997E-3</v>
      </c>
      <c r="F495" s="349">
        <v>1.0697E-2</v>
      </c>
    </row>
    <row r="496" spans="1:6" ht="12" thickBot="1">
      <c r="A496" s="347">
        <v>41066</v>
      </c>
      <c r="B496" s="348">
        <v>2.4074999999999999E-3</v>
      </c>
      <c r="C496" s="348">
        <v>3.4675000000000001E-3</v>
      </c>
      <c r="D496" s="348">
        <v>4.6785000000000004E-3</v>
      </c>
      <c r="E496" s="348">
        <v>7.3790000000000001E-3</v>
      </c>
      <c r="F496" s="349">
        <v>1.0707E-2</v>
      </c>
    </row>
    <row r="497" spans="1:6" ht="12" thickBot="1">
      <c r="A497" s="347">
        <v>41065</v>
      </c>
      <c r="B497" s="348">
        <v>2.3974999999999999E-3</v>
      </c>
      <c r="C497" s="348">
        <v>3.4675000000000001E-3</v>
      </c>
      <c r="D497" s="348">
        <v>4.6785000000000004E-3</v>
      </c>
      <c r="E497" s="348">
        <v>7.3790000000000001E-3</v>
      </c>
      <c r="F497" s="349">
        <v>1.0707E-2</v>
      </c>
    </row>
    <row r="498" spans="1:6" ht="12" thickBot="1">
      <c r="A498" s="347">
        <v>41064</v>
      </c>
      <c r="B498" s="348">
        <v>2.3974999999999999E-3</v>
      </c>
      <c r="C498" s="348">
        <v>3.4675000000000001E-3</v>
      </c>
      <c r="D498" s="348">
        <v>4.6785000000000004E-3</v>
      </c>
      <c r="E498" s="348">
        <v>7.3790000000000001E-3</v>
      </c>
      <c r="F498" s="349">
        <v>1.0707E-2</v>
      </c>
    </row>
    <row r="499" spans="1:6" ht="12" thickBot="1">
      <c r="A499" s="347">
        <v>41061</v>
      </c>
      <c r="B499" s="348">
        <v>2.3974999999999999E-3</v>
      </c>
      <c r="C499" s="348">
        <v>3.4675000000000001E-3</v>
      </c>
      <c r="D499" s="348">
        <v>4.6785000000000004E-3</v>
      </c>
      <c r="E499" s="348">
        <v>7.3790000000000001E-3</v>
      </c>
      <c r="F499" s="349">
        <v>1.0707E-2</v>
      </c>
    </row>
    <row r="500" spans="1:6" ht="12" thickBot="1">
      <c r="A500" s="347">
        <v>41060</v>
      </c>
      <c r="B500" s="348">
        <v>2.3874999999999999E-3</v>
      </c>
      <c r="C500" s="348">
        <v>3.4575000000000001E-3</v>
      </c>
      <c r="D500" s="348">
        <v>4.6684999999999999E-3</v>
      </c>
      <c r="E500" s="348">
        <v>7.3639999999999999E-3</v>
      </c>
      <c r="F500" s="349">
        <v>1.0692E-2</v>
      </c>
    </row>
    <row r="501" spans="1:6" ht="12" thickBot="1">
      <c r="A501" s="347">
        <v>41059</v>
      </c>
      <c r="B501" s="348">
        <v>2.3874999999999999E-3</v>
      </c>
      <c r="C501" s="348">
        <v>3.4575000000000001E-3</v>
      </c>
      <c r="D501" s="348">
        <v>4.6684999999999999E-3</v>
      </c>
      <c r="E501" s="348">
        <v>7.3639999999999999E-3</v>
      </c>
      <c r="F501" s="349">
        <v>1.0692E-2</v>
      </c>
    </row>
    <row r="502" spans="1:6" ht="12" thickBot="1">
      <c r="A502" s="347">
        <v>41058</v>
      </c>
      <c r="B502" s="348">
        <v>2.3874999999999999E-3</v>
      </c>
      <c r="C502" s="348">
        <v>3.4575000000000001E-3</v>
      </c>
      <c r="D502" s="348">
        <v>4.6684999999999999E-3</v>
      </c>
      <c r="E502" s="348">
        <v>7.3639999999999999E-3</v>
      </c>
      <c r="F502" s="349">
        <v>1.0692E-2</v>
      </c>
    </row>
    <row r="503" spans="1:6" ht="12" thickBot="1">
      <c r="A503" s="347">
        <v>41057</v>
      </c>
      <c r="B503" s="348">
        <v>2.3874999999999999E-3</v>
      </c>
      <c r="C503" s="348">
        <v>3.4575000000000001E-3</v>
      </c>
      <c r="D503" s="348">
        <v>4.6684999999999999E-3</v>
      </c>
      <c r="E503" s="348">
        <v>7.3639999999999999E-3</v>
      </c>
      <c r="F503" s="349">
        <v>1.0692E-2</v>
      </c>
    </row>
    <row r="504" spans="1:6" ht="12" thickBot="1">
      <c r="A504" s="347">
        <v>41054</v>
      </c>
      <c r="B504" s="348">
        <v>2.3874999999999999E-3</v>
      </c>
      <c r="C504" s="348">
        <v>3.4575000000000001E-3</v>
      </c>
      <c r="D504" s="348">
        <v>4.6684999999999999E-3</v>
      </c>
      <c r="E504" s="348">
        <v>7.3639999999999999E-3</v>
      </c>
      <c r="F504" s="349">
        <v>1.0692E-2</v>
      </c>
    </row>
    <row r="505" spans="1:6" ht="12" thickBot="1">
      <c r="A505" s="347">
        <v>41053</v>
      </c>
      <c r="B505" s="348">
        <v>2.3874999999999999E-3</v>
      </c>
      <c r="C505" s="348">
        <v>3.4575000000000001E-3</v>
      </c>
      <c r="D505" s="348">
        <v>4.6684999999999999E-3</v>
      </c>
      <c r="E505" s="348">
        <v>7.3639999999999999E-3</v>
      </c>
      <c r="F505" s="349">
        <v>1.0692E-2</v>
      </c>
    </row>
    <row r="506" spans="1:6" ht="12" thickBot="1">
      <c r="A506" s="347">
        <v>41052</v>
      </c>
      <c r="B506" s="348">
        <v>2.3874999999999999E-3</v>
      </c>
      <c r="C506" s="348">
        <v>3.4575000000000001E-3</v>
      </c>
      <c r="D506" s="348">
        <v>4.6684999999999999E-3</v>
      </c>
      <c r="E506" s="348">
        <v>7.3639999999999999E-3</v>
      </c>
      <c r="F506" s="349">
        <v>1.0692E-2</v>
      </c>
    </row>
    <row r="507" spans="1:6" ht="12" thickBot="1">
      <c r="A507" s="347">
        <v>41051</v>
      </c>
      <c r="B507" s="348">
        <v>2.3874999999999999E-3</v>
      </c>
      <c r="C507" s="348">
        <v>3.4575000000000001E-3</v>
      </c>
      <c r="D507" s="348">
        <v>4.6684999999999999E-3</v>
      </c>
      <c r="E507" s="348">
        <v>7.3639999999999999E-3</v>
      </c>
      <c r="F507" s="349">
        <v>1.0692E-2</v>
      </c>
    </row>
    <row r="508" spans="1:6" ht="12" thickBot="1">
      <c r="A508" s="347">
        <v>41047</v>
      </c>
      <c r="B508" s="348">
        <v>2.3974999999999999E-3</v>
      </c>
      <c r="C508" s="348">
        <v>3.4575000000000001E-3</v>
      </c>
      <c r="D508" s="348">
        <v>4.6684999999999999E-3</v>
      </c>
      <c r="E508" s="348">
        <v>7.3639999999999999E-3</v>
      </c>
      <c r="F508" s="349">
        <v>1.0689499999999999E-2</v>
      </c>
    </row>
    <row r="509" spans="1:6" ht="12" thickBot="1">
      <c r="A509" s="347">
        <v>41046</v>
      </c>
      <c r="B509" s="348">
        <v>2.3974999999999999E-3</v>
      </c>
      <c r="C509" s="348">
        <v>3.4575000000000001E-3</v>
      </c>
      <c r="D509" s="348">
        <v>4.6684999999999999E-3</v>
      </c>
      <c r="E509" s="348">
        <v>7.3540000000000003E-3</v>
      </c>
      <c r="F509" s="349">
        <v>1.06795E-2</v>
      </c>
    </row>
    <row r="510" spans="1:6" ht="12" thickBot="1">
      <c r="A510" s="347">
        <v>41045</v>
      </c>
      <c r="B510" s="348">
        <v>2.3974999999999999E-3</v>
      </c>
      <c r="C510" s="348">
        <v>3.4575000000000001E-3</v>
      </c>
      <c r="D510" s="348">
        <v>4.6684999999999999E-3</v>
      </c>
      <c r="E510" s="348">
        <v>7.3489999999999996E-3</v>
      </c>
      <c r="F510" s="349">
        <v>1.06795E-2</v>
      </c>
    </row>
    <row r="511" spans="1:6" ht="12" thickBot="1">
      <c r="A511" s="347">
        <v>41044</v>
      </c>
      <c r="B511" s="348">
        <v>2.3874999999999999E-3</v>
      </c>
      <c r="C511" s="348">
        <v>3.4475E-3</v>
      </c>
      <c r="D511" s="348">
        <v>4.6585000000000003E-3</v>
      </c>
      <c r="E511" s="348">
        <v>7.319E-3</v>
      </c>
      <c r="F511" s="349">
        <v>1.0614500000000001E-2</v>
      </c>
    </row>
    <row r="512" spans="1:6" ht="12" thickBot="1">
      <c r="A512" s="347">
        <v>41043</v>
      </c>
      <c r="B512" s="348">
        <v>2.3874999999999999E-3</v>
      </c>
      <c r="C512" s="348">
        <v>3.4475E-3</v>
      </c>
      <c r="D512" s="348">
        <v>4.6585000000000003E-3</v>
      </c>
      <c r="E512" s="348">
        <v>7.3090000000000004E-3</v>
      </c>
      <c r="F512" s="349">
        <v>1.05895E-2</v>
      </c>
    </row>
    <row r="513" spans="1:6" ht="12" thickBot="1">
      <c r="A513" s="347">
        <v>41040</v>
      </c>
      <c r="B513" s="348">
        <v>2.3874999999999999E-3</v>
      </c>
      <c r="C513" s="348">
        <v>3.4575000000000001E-3</v>
      </c>
      <c r="D513" s="348">
        <v>4.6684999999999999E-3</v>
      </c>
      <c r="E513" s="348">
        <v>7.2989999999999999E-3</v>
      </c>
      <c r="F513" s="349">
        <v>1.0557E-2</v>
      </c>
    </row>
    <row r="514" spans="1:6" ht="12" thickBot="1">
      <c r="A514" s="347">
        <v>41039</v>
      </c>
      <c r="B514" s="348">
        <v>2.3874999999999999E-3</v>
      </c>
      <c r="C514" s="348">
        <v>3.4575000000000001E-3</v>
      </c>
      <c r="D514" s="348">
        <v>4.6684999999999999E-3</v>
      </c>
      <c r="E514" s="348">
        <v>7.2989999999999999E-3</v>
      </c>
      <c r="F514" s="349">
        <v>1.0547000000000001E-2</v>
      </c>
    </row>
    <row r="515" spans="1:6" ht="12" thickBot="1">
      <c r="A515" s="347">
        <v>41038</v>
      </c>
      <c r="B515" s="348">
        <v>2.3874999999999999E-3</v>
      </c>
      <c r="C515" s="348">
        <v>3.4575000000000001E-3</v>
      </c>
      <c r="D515" s="348">
        <v>4.6684999999999999E-3</v>
      </c>
      <c r="E515" s="348">
        <v>7.2989999999999999E-3</v>
      </c>
      <c r="F515" s="349">
        <v>1.0527E-2</v>
      </c>
    </row>
    <row r="516" spans="1:6" ht="12" thickBot="1">
      <c r="A516" s="347">
        <v>41037</v>
      </c>
      <c r="B516" s="348">
        <v>2.3874999999999999E-3</v>
      </c>
      <c r="C516" s="348">
        <v>3.4575000000000001E-3</v>
      </c>
      <c r="D516" s="348">
        <v>4.6585000000000003E-3</v>
      </c>
      <c r="E516" s="348">
        <v>7.2839999999999997E-3</v>
      </c>
      <c r="F516" s="349">
        <v>1.0492E-2</v>
      </c>
    </row>
    <row r="517" spans="1:6" ht="12" thickBot="1">
      <c r="A517" s="347">
        <v>41036</v>
      </c>
      <c r="B517" s="348">
        <v>2.3874999999999999E-3</v>
      </c>
      <c r="C517" s="348">
        <v>3.4575000000000001E-3</v>
      </c>
      <c r="D517" s="348">
        <v>4.6585000000000003E-3</v>
      </c>
      <c r="E517" s="348">
        <v>7.2839999999999997E-3</v>
      </c>
      <c r="F517" s="349">
        <v>1.0492E-2</v>
      </c>
    </row>
    <row r="518" spans="1:6" ht="12" thickBot="1">
      <c r="A518" s="347">
        <v>41033</v>
      </c>
      <c r="B518" s="348">
        <v>2.3874999999999999E-3</v>
      </c>
      <c r="C518" s="348">
        <v>3.4575000000000001E-3</v>
      </c>
      <c r="D518" s="348">
        <v>4.6585000000000003E-3</v>
      </c>
      <c r="E518" s="348">
        <v>7.2839999999999997E-3</v>
      </c>
      <c r="F518" s="349">
        <v>1.0492E-2</v>
      </c>
    </row>
    <row r="519" spans="1:6" ht="12" thickBot="1">
      <c r="A519" s="347">
        <v>41032</v>
      </c>
      <c r="B519" s="348">
        <v>2.3874999999999999E-3</v>
      </c>
      <c r="C519" s="348">
        <v>3.4575000000000001E-3</v>
      </c>
      <c r="D519" s="348">
        <v>4.6585000000000003E-3</v>
      </c>
      <c r="E519" s="348">
        <v>7.2740000000000001E-3</v>
      </c>
      <c r="F519" s="349">
        <v>1.0492E-2</v>
      </c>
    </row>
    <row r="520" spans="1:6" ht="12" thickBot="1">
      <c r="A520" s="347">
        <v>41031</v>
      </c>
      <c r="B520" s="348">
        <v>2.3874999999999999E-3</v>
      </c>
      <c r="C520" s="348">
        <v>3.4575000000000001E-3</v>
      </c>
      <c r="D520" s="348">
        <v>4.6585000000000003E-3</v>
      </c>
      <c r="E520" s="348">
        <v>7.2740000000000001E-3</v>
      </c>
      <c r="F520" s="349">
        <v>1.0472E-2</v>
      </c>
    </row>
    <row r="521" spans="1:6" ht="12" thickBot="1">
      <c r="A521" s="347">
        <v>41029</v>
      </c>
      <c r="B521" s="348">
        <v>2.3874999999999999E-3</v>
      </c>
      <c r="C521" s="348">
        <v>3.4675000000000001E-3</v>
      </c>
      <c r="D521" s="348">
        <v>4.6585000000000003E-3</v>
      </c>
      <c r="E521" s="348">
        <v>7.2839999999999997E-3</v>
      </c>
      <c r="F521" s="349">
        <v>1.0472E-2</v>
      </c>
    </row>
    <row r="522" spans="1:6" ht="12" thickBot="1">
      <c r="A522" s="347">
        <v>41026</v>
      </c>
      <c r="B522" s="348">
        <v>2.3874999999999999E-3</v>
      </c>
      <c r="C522" s="348">
        <v>3.4675000000000001E-3</v>
      </c>
      <c r="D522" s="348">
        <v>4.6585000000000003E-3</v>
      </c>
      <c r="E522" s="348">
        <v>7.2839999999999997E-3</v>
      </c>
      <c r="F522" s="349">
        <v>1.0472E-2</v>
      </c>
    </row>
    <row r="523" spans="1:6" ht="12" thickBot="1">
      <c r="A523" s="347">
        <v>41025</v>
      </c>
      <c r="B523" s="348">
        <v>2.3874999999999999E-3</v>
      </c>
      <c r="C523" s="348">
        <v>3.4675000000000001E-3</v>
      </c>
      <c r="D523" s="348">
        <v>4.6585000000000003E-3</v>
      </c>
      <c r="E523" s="348">
        <v>7.2839999999999997E-3</v>
      </c>
      <c r="F523" s="349">
        <v>1.0472E-2</v>
      </c>
    </row>
    <row r="524" spans="1:6" ht="12" thickBot="1">
      <c r="A524" s="347">
        <v>41024</v>
      </c>
      <c r="B524" s="348">
        <v>2.3874999999999999E-3</v>
      </c>
      <c r="C524" s="348">
        <v>3.4675000000000001E-3</v>
      </c>
      <c r="D524" s="348">
        <v>4.6585000000000003E-3</v>
      </c>
      <c r="E524" s="348">
        <v>7.2940000000000001E-3</v>
      </c>
      <c r="F524" s="349">
        <v>1.0472E-2</v>
      </c>
    </row>
    <row r="525" spans="1:6" ht="12" thickBot="1">
      <c r="A525" s="347">
        <v>41023</v>
      </c>
      <c r="B525" s="348">
        <v>2.3874999999999999E-3</v>
      </c>
      <c r="C525" s="348">
        <v>3.4675000000000001E-3</v>
      </c>
      <c r="D525" s="348">
        <v>4.6585000000000003E-3</v>
      </c>
      <c r="E525" s="348">
        <v>7.3039999999999997E-3</v>
      </c>
      <c r="F525" s="349">
        <v>1.0477E-2</v>
      </c>
    </row>
    <row r="526" spans="1:6" ht="12" thickBot="1">
      <c r="A526" s="347">
        <v>41022</v>
      </c>
      <c r="B526" s="348">
        <v>2.3874999999999999E-3</v>
      </c>
      <c r="C526" s="348">
        <v>3.4754999999999999E-3</v>
      </c>
      <c r="D526" s="348">
        <v>4.6565E-3</v>
      </c>
      <c r="E526" s="348">
        <v>7.3039999999999997E-3</v>
      </c>
      <c r="F526" s="349">
        <v>1.0477E-2</v>
      </c>
    </row>
    <row r="527" spans="1:6" ht="12" thickBot="1">
      <c r="A527" s="347">
        <v>41019</v>
      </c>
      <c r="B527" s="348">
        <v>2.3974999999999999E-3</v>
      </c>
      <c r="C527" s="348">
        <v>3.4754999999999999E-3</v>
      </c>
      <c r="D527" s="348">
        <v>4.6565E-3</v>
      </c>
      <c r="E527" s="348">
        <v>7.3039999999999997E-3</v>
      </c>
      <c r="F527" s="349">
        <v>1.0477E-2</v>
      </c>
    </row>
    <row r="528" spans="1:6" ht="12" thickBot="1">
      <c r="A528" s="347">
        <v>41018</v>
      </c>
      <c r="B528" s="348">
        <v>2.3974999999999999E-3</v>
      </c>
      <c r="C528" s="348">
        <v>3.4705000000000001E-3</v>
      </c>
      <c r="D528" s="348">
        <v>4.6565E-3</v>
      </c>
      <c r="E528" s="348">
        <v>7.3039999999999997E-3</v>
      </c>
      <c r="F528" s="349">
        <v>1.0472E-2</v>
      </c>
    </row>
    <row r="529" spans="1:6" ht="12" thickBot="1">
      <c r="A529" s="347">
        <v>41017</v>
      </c>
      <c r="B529" s="348">
        <v>2.3974999999999999E-3</v>
      </c>
      <c r="C529" s="348">
        <v>3.4705000000000001E-3</v>
      </c>
      <c r="D529" s="348">
        <v>4.6565E-3</v>
      </c>
      <c r="E529" s="348">
        <v>7.3090000000000004E-3</v>
      </c>
      <c r="F529" s="349">
        <v>1.0472E-2</v>
      </c>
    </row>
    <row r="530" spans="1:6" ht="12" thickBot="1">
      <c r="A530" s="347">
        <v>41016</v>
      </c>
      <c r="B530" s="348">
        <v>2.3974999999999999E-3</v>
      </c>
      <c r="C530" s="348">
        <v>3.4705000000000001E-3</v>
      </c>
      <c r="D530" s="348">
        <v>4.6565E-3</v>
      </c>
      <c r="E530" s="348">
        <v>7.3090000000000004E-3</v>
      </c>
      <c r="F530" s="349">
        <v>1.0482E-2</v>
      </c>
    </row>
    <row r="531" spans="1:6" ht="12" thickBot="1">
      <c r="A531" s="347">
        <v>41015</v>
      </c>
      <c r="B531" s="348">
        <v>2.3974999999999999E-3</v>
      </c>
      <c r="C531" s="348">
        <v>3.4654999999999998E-3</v>
      </c>
      <c r="D531" s="348">
        <v>4.6565E-3</v>
      </c>
      <c r="E531" s="348">
        <v>7.319E-3</v>
      </c>
      <c r="F531" s="349">
        <v>1.0501999999999999E-2</v>
      </c>
    </row>
    <row r="532" spans="1:6" ht="12" thickBot="1">
      <c r="A532" s="347">
        <v>41012</v>
      </c>
      <c r="B532" s="348">
        <v>2.3974999999999999E-3</v>
      </c>
      <c r="C532" s="348">
        <v>3.4605E-3</v>
      </c>
      <c r="D532" s="348">
        <v>4.6614999999999998E-3</v>
      </c>
      <c r="E532" s="348">
        <v>7.319E-3</v>
      </c>
      <c r="F532" s="349">
        <v>1.0487E-2</v>
      </c>
    </row>
    <row r="533" spans="1:6" ht="12" thickBot="1">
      <c r="A533" s="347">
        <v>41011</v>
      </c>
      <c r="B533" s="348">
        <v>2.4025000000000001E-3</v>
      </c>
      <c r="C533" s="348">
        <v>3.4754999999999999E-3</v>
      </c>
      <c r="D533" s="348">
        <v>4.6664999999999996E-3</v>
      </c>
      <c r="E533" s="348">
        <v>7.3239999999999998E-3</v>
      </c>
      <c r="F533" s="349">
        <v>1.0492E-2</v>
      </c>
    </row>
    <row r="534" spans="1:6" ht="12" thickBot="1">
      <c r="A534" s="347">
        <v>41010</v>
      </c>
      <c r="B534" s="348">
        <v>2.4025000000000001E-3</v>
      </c>
      <c r="C534" s="348">
        <v>3.4954999999999999E-3</v>
      </c>
      <c r="D534" s="348">
        <v>4.6864999999999997E-3</v>
      </c>
      <c r="E534" s="348">
        <v>7.3340000000000002E-3</v>
      </c>
      <c r="F534" s="349">
        <v>1.0507000000000001E-2</v>
      </c>
    </row>
    <row r="535" spans="1:6" ht="12" thickBot="1">
      <c r="A535" s="347">
        <v>41009</v>
      </c>
      <c r="B535" s="348">
        <v>2.4025000000000001E-3</v>
      </c>
      <c r="C535" s="348">
        <v>3.4979999999999998E-3</v>
      </c>
      <c r="D535" s="348">
        <v>4.6915000000000004E-3</v>
      </c>
      <c r="E535" s="348">
        <v>7.3340000000000002E-3</v>
      </c>
      <c r="F535" s="349">
        <v>1.0507000000000001E-2</v>
      </c>
    </row>
    <row r="536" spans="1:6" ht="12" thickBot="1">
      <c r="A536" s="347">
        <v>41008</v>
      </c>
      <c r="B536" s="348">
        <v>2.4125000000000001E-3</v>
      </c>
      <c r="C536" s="348">
        <v>3.4979999999999998E-3</v>
      </c>
      <c r="D536" s="348">
        <v>4.6915000000000004E-3</v>
      </c>
      <c r="E536" s="348">
        <v>7.3340000000000002E-3</v>
      </c>
      <c r="F536" s="349">
        <v>1.0507000000000001E-2</v>
      </c>
    </row>
    <row r="537" spans="1:6" ht="12" thickBot="1">
      <c r="A537" s="347">
        <v>41003</v>
      </c>
      <c r="B537" s="348">
        <v>2.4125000000000001E-3</v>
      </c>
      <c r="C537" s="348">
        <v>3.4979999999999998E-3</v>
      </c>
      <c r="D537" s="348">
        <v>4.6915000000000004E-3</v>
      </c>
      <c r="E537" s="348">
        <v>7.3439999999999998E-3</v>
      </c>
      <c r="F537" s="349">
        <v>1.0496999999999999E-2</v>
      </c>
    </row>
    <row r="538" spans="1:6" ht="12" thickBot="1">
      <c r="A538" s="347">
        <v>41002</v>
      </c>
      <c r="B538" s="348">
        <v>2.4125000000000001E-3</v>
      </c>
      <c r="C538" s="348">
        <v>3.4979999999999998E-3</v>
      </c>
      <c r="D538" s="348">
        <v>4.6915000000000004E-3</v>
      </c>
      <c r="E538" s="348">
        <v>7.3439999999999998E-3</v>
      </c>
      <c r="F538" s="349">
        <v>1.0496999999999999E-2</v>
      </c>
    </row>
    <row r="539" spans="1:6" ht="12" thickBot="1">
      <c r="A539" s="347">
        <v>41001</v>
      </c>
      <c r="B539" s="348">
        <v>2.4125000000000001E-3</v>
      </c>
      <c r="C539" s="348">
        <v>3.4880000000000002E-3</v>
      </c>
      <c r="D539" s="348">
        <v>4.6814999999999999E-3</v>
      </c>
      <c r="E539" s="348">
        <v>7.3340000000000002E-3</v>
      </c>
      <c r="F539" s="349">
        <v>1.0496999999999999E-2</v>
      </c>
    </row>
    <row r="540" spans="1:6" ht="12" thickBot="1">
      <c r="A540" s="347">
        <v>40998</v>
      </c>
      <c r="B540" s="348">
        <v>2.4125000000000001E-3</v>
      </c>
      <c r="C540" s="348">
        <v>3.4880000000000002E-3</v>
      </c>
      <c r="D540" s="348">
        <v>4.6814999999999999E-3</v>
      </c>
      <c r="E540" s="348">
        <v>7.3340000000000002E-3</v>
      </c>
      <c r="F540" s="349">
        <v>1.0485E-2</v>
      </c>
    </row>
    <row r="541" spans="1:6" ht="12" thickBot="1">
      <c r="A541" s="347">
        <v>40997</v>
      </c>
      <c r="B541" s="348">
        <v>2.4125000000000001E-3</v>
      </c>
      <c r="C541" s="348">
        <v>3.4880000000000002E-3</v>
      </c>
      <c r="D541" s="348">
        <v>4.6814999999999999E-3</v>
      </c>
      <c r="E541" s="348">
        <v>7.3429999999999997E-3</v>
      </c>
      <c r="F541" s="349">
        <v>1.0475E-2</v>
      </c>
    </row>
    <row r="542" spans="1:6" ht="12" thickBot="1">
      <c r="A542" s="347">
        <v>40996</v>
      </c>
      <c r="B542" s="348">
        <v>2.4125000000000001E-3</v>
      </c>
      <c r="C542" s="348">
        <v>3.4954999999999999E-3</v>
      </c>
      <c r="D542" s="348">
        <v>4.6965000000000002E-3</v>
      </c>
      <c r="E542" s="348">
        <v>7.358E-3</v>
      </c>
      <c r="F542" s="349">
        <v>1.048E-2</v>
      </c>
    </row>
    <row r="543" spans="1:6" ht="12" thickBot="1">
      <c r="A543" s="347">
        <v>40995</v>
      </c>
      <c r="B543" s="348">
        <v>2.4125000000000001E-3</v>
      </c>
      <c r="C543" s="348">
        <v>3.4979999999999998E-3</v>
      </c>
      <c r="D543" s="348">
        <v>4.7064999999999997E-3</v>
      </c>
      <c r="E543" s="348">
        <v>7.3680000000000004E-3</v>
      </c>
      <c r="F543" s="349">
        <v>1.0500000000000001E-2</v>
      </c>
    </row>
    <row r="544" spans="1:6" ht="12" thickBot="1">
      <c r="A544" s="347">
        <v>40994</v>
      </c>
      <c r="B544" s="348">
        <v>2.4125000000000001E-3</v>
      </c>
      <c r="C544" s="348">
        <v>3.4979999999999998E-3</v>
      </c>
      <c r="D544" s="348">
        <v>4.7264999999999998E-3</v>
      </c>
      <c r="E544" s="348">
        <v>7.3930000000000003E-3</v>
      </c>
      <c r="F544" s="349">
        <v>1.0515E-2</v>
      </c>
    </row>
    <row r="545" spans="1:6" ht="12" thickBot="1">
      <c r="A545" s="347">
        <v>40991</v>
      </c>
      <c r="B545" s="348">
        <v>2.4125000000000001E-3</v>
      </c>
      <c r="C545" s="348">
        <v>3.503E-3</v>
      </c>
      <c r="D545" s="348">
        <v>4.7314999999999996E-3</v>
      </c>
      <c r="E545" s="348">
        <v>7.4089999999999998E-3</v>
      </c>
      <c r="F545" s="349">
        <v>1.0521000000000001E-2</v>
      </c>
    </row>
    <row r="546" spans="1:6" ht="12" thickBot="1">
      <c r="A546" s="347">
        <v>40990</v>
      </c>
      <c r="B546" s="348">
        <v>2.4174999999999999E-3</v>
      </c>
      <c r="C546" s="348">
        <v>3.503E-3</v>
      </c>
      <c r="D546" s="348">
        <v>4.7365000000000003E-3</v>
      </c>
      <c r="E546" s="348">
        <v>7.3990000000000002E-3</v>
      </c>
      <c r="F546" s="349">
        <v>1.0531E-2</v>
      </c>
    </row>
    <row r="547" spans="1:6" ht="12" thickBot="1">
      <c r="A547" s="347">
        <v>40989</v>
      </c>
      <c r="B547" s="348">
        <v>2.4174999999999999E-3</v>
      </c>
      <c r="C547" s="348">
        <v>3.5049999999999999E-3</v>
      </c>
      <c r="D547" s="348">
        <v>4.7415000000000001E-3</v>
      </c>
      <c r="E547" s="348">
        <v>7.3990000000000002E-3</v>
      </c>
      <c r="F547" s="349">
        <v>1.0531E-2</v>
      </c>
    </row>
    <row r="548" spans="1:6" ht="12" thickBot="1">
      <c r="A548" s="347">
        <v>40988</v>
      </c>
      <c r="B548" s="348">
        <v>2.4174999999999999E-3</v>
      </c>
      <c r="C548" s="348">
        <v>3.5049999999999999E-3</v>
      </c>
      <c r="D548" s="348">
        <v>4.7415000000000001E-3</v>
      </c>
      <c r="E548" s="348">
        <v>7.3990000000000002E-3</v>
      </c>
      <c r="F548" s="349">
        <v>1.0531E-2</v>
      </c>
    </row>
    <row r="549" spans="1:6" ht="12" thickBot="1">
      <c r="A549" s="347">
        <v>40984</v>
      </c>
      <c r="B549" s="348">
        <v>2.4174999999999999E-3</v>
      </c>
      <c r="C549" s="348">
        <v>3.5049999999999999E-3</v>
      </c>
      <c r="D549" s="348">
        <v>4.7365000000000003E-3</v>
      </c>
      <c r="E549" s="348">
        <v>7.4089999999999998E-3</v>
      </c>
      <c r="F549" s="349">
        <v>1.0531E-2</v>
      </c>
    </row>
    <row r="550" spans="1:6" ht="12" thickBot="1">
      <c r="A550" s="347">
        <v>40983</v>
      </c>
      <c r="B550" s="348">
        <v>2.4174999999999999E-3</v>
      </c>
      <c r="C550" s="348">
        <v>3.5049999999999999E-3</v>
      </c>
      <c r="D550" s="348">
        <v>4.7365000000000003E-3</v>
      </c>
      <c r="E550" s="348">
        <v>7.4250000000000002E-3</v>
      </c>
      <c r="F550" s="349">
        <v>1.0536999999999999E-2</v>
      </c>
    </row>
    <row r="551" spans="1:6" ht="12" thickBot="1">
      <c r="A551" s="347">
        <v>40982</v>
      </c>
      <c r="B551" s="348">
        <v>2.4174999999999999E-3</v>
      </c>
      <c r="C551" s="348">
        <v>3.5049999999999999E-3</v>
      </c>
      <c r="D551" s="348">
        <v>4.7365000000000003E-3</v>
      </c>
      <c r="E551" s="348">
        <v>7.4349999999999998E-3</v>
      </c>
      <c r="F551" s="349">
        <v>1.0567E-2</v>
      </c>
    </row>
    <row r="552" spans="1:6" ht="12" thickBot="1">
      <c r="A552" s="347">
        <v>40981</v>
      </c>
      <c r="B552" s="348">
        <v>2.4174999999999999E-3</v>
      </c>
      <c r="C552" s="348">
        <v>3.5049999999999999E-3</v>
      </c>
      <c r="D552" s="348">
        <v>4.7365000000000003E-3</v>
      </c>
      <c r="E552" s="348">
        <v>7.4440000000000001E-3</v>
      </c>
      <c r="F552" s="349">
        <v>1.0566000000000001E-2</v>
      </c>
    </row>
    <row r="553" spans="1:6" ht="12" thickBot="1">
      <c r="A553" s="347">
        <v>40980</v>
      </c>
      <c r="B553" s="348">
        <v>2.4174999999999999E-3</v>
      </c>
      <c r="C553" s="348">
        <v>3.5049999999999999E-3</v>
      </c>
      <c r="D553" s="348">
        <v>4.7355000000000001E-3</v>
      </c>
      <c r="E553" s="348">
        <v>7.4419999999999998E-3</v>
      </c>
      <c r="F553" s="349">
        <v>1.0564E-2</v>
      </c>
    </row>
    <row r="554" spans="1:6" ht="12" thickBot="1">
      <c r="A554" s="347">
        <v>40977</v>
      </c>
      <c r="B554" s="348">
        <v>2.4174999999999999E-3</v>
      </c>
      <c r="C554" s="348">
        <v>3.5049999999999999E-3</v>
      </c>
      <c r="D554" s="348">
        <v>4.7355000000000001E-3</v>
      </c>
      <c r="E554" s="348">
        <v>7.4419999999999998E-3</v>
      </c>
      <c r="F554" s="349">
        <v>1.0553999999999999E-2</v>
      </c>
    </row>
    <row r="555" spans="1:6" ht="12" thickBot="1">
      <c r="A555" s="347">
        <v>40976</v>
      </c>
      <c r="B555" s="348">
        <v>2.4174999999999999E-3</v>
      </c>
      <c r="C555" s="348">
        <v>3.5049999999999999E-3</v>
      </c>
      <c r="D555" s="348">
        <v>4.7355000000000001E-3</v>
      </c>
      <c r="E555" s="348">
        <v>7.4419999999999998E-3</v>
      </c>
      <c r="F555" s="349">
        <v>1.0553999999999999E-2</v>
      </c>
    </row>
    <row r="556" spans="1:6" ht="12" thickBot="1">
      <c r="A556" s="347">
        <v>40975</v>
      </c>
      <c r="B556" s="348">
        <v>2.4275E-3</v>
      </c>
      <c r="C556" s="348">
        <v>3.5200000000000001E-3</v>
      </c>
      <c r="D556" s="348">
        <v>4.7454999999999997E-3</v>
      </c>
      <c r="E556" s="348">
        <v>7.4419999999999998E-3</v>
      </c>
      <c r="F556" s="349">
        <v>1.0553999999999999E-2</v>
      </c>
    </row>
    <row r="557" spans="1:6" ht="12" thickBot="1">
      <c r="A557" s="347">
        <v>40974</v>
      </c>
      <c r="B557" s="348">
        <v>2.4275E-3</v>
      </c>
      <c r="C557" s="348">
        <v>3.5200000000000001E-3</v>
      </c>
      <c r="D557" s="348">
        <v>4.7454999999999997E-3</v>
      </c>
      <c r="E557" s="348">
        <v>7.4320000000000002E-3</v>
      </c>
      <c r="F557" s="349">
        <v>1.0544E-2</v>
      </c>
    </row>
    <row r="558" spans="1:6" ht="12" thickBot="1">
      <c r="A558" s="347">
        <v>40973</v>
      </c>
      <c r="B558" s="348">
        <v>2.4275E-3</v>
      </c>
      <c r="C558" s="348">
        <v>3.5249999999999999E-3</v>
      </c>
      <c r="D558" s="348">
        <v>4.7454999999999997E-3</v>
      </c>
      <c r="E558" s="348">
        <v>7.4320000000000002E-3</v>
      </c>
      <c r="F558" s="349">
        <v>1.0544E-2</v>
      </c>
    </row>
    <row r="559" spans="1:6" ht="12" thickBot="1">
      <c r="A559" s="347">
        <v>40970</v>
      </c>
      <c r="B559" s="348">
        <v>2.4275E-3</v>
      </c>
      <c r="C559" s="348">
        <v>3.5325E-3</v>
      </c>
      <c r="D559" s="348">
        <v>4.7574999999999996E-3</v>
      </c>
      <c r="E559" s="348">
        <v>7.4524999999999999E-3</v>
      </c>
      <c r="F559" s="349">
        <v>1.0552000000000001E-2</v>
      </c>
    </row>
    <row r="560" spans="1:6" ht="12" thickBot="1">
      <c r="A560" s="347">
        <v>40969</v>
      </c>
      <c r="B560" s="348">
        <v>2.4299999999999999E-3</v>
      </c>
      <c r="C560" s="348">
        <v>3.555E-3</v>
      </c>
      <c r="D560" s="348">
        <v>4.797E-3</v>
      </c>
      <c r="E560" s="348">
        <v>7.4819999999999999E-3</v>
      </c>
      <c r="F560" s="349">
        <v>1.05915E-2</v>
      </c>
    </row>
    <row r="561" spans="1:6" ht="12" thickBot="1">
      <c r="A561" s="347">
        <v>40968</v>
      </c>
      <c r="B561" s="348">
        <v>2.4350000000000001E-3</v>
      </c>
      <c r="C561" s="348">
        <v>3.5674999999999999E-3</v>
      </c>
      <c r="D561" s="348">
        <v>4.8424999999999996E-3</v>
      </c>
      <c r="E561" s="348">
        <v>7.4875000000000002E-3</v>
      </c>
      <c r="F561" s="349">
        <v>1.0598E-2</v>
      </c>
    </row>
    <row r="562" spans="1:6" ht="12" thickBot="1">
      <c r="A562" s="347">
        <v>40967</v>
      </c>
      <c r="B562" s="348">
        <v>2.4399999999999999E-3</v>
      </c>
      <c r="C562" s="348">
        <v>3.5799999999999998E-3</v>
      </c>
      <c r="D562" s="348">
        <v>4.875E-3</v>
      </c>
      <c r="E562" s="348">
        <v>7.5050000000000004E-3</v>
      </c>
      <c r="F562" s="349">
        <v>1.0630499999999999E-2</v>
      </c>
    </row>
    <row r="563" spans="1:6" ht="12" thickBot="1">
      <c r="A563" s="347">
        <v>40966</v>
      </c>
      <c r="B563" s="348">
        <v>2.4399999999999999E-3</v>
      </c>
      <c r="C563" s="348">
        <v>3.5850000000000001E-3</v>
      </c>
      <c r="D563" s="348">
        <v>4.8910000000000004E-3</v>
      </c>
      <c r="E563" s="348">
        <v>7.5209999999999999E-3</v>
      </c>
      <c r="F563" s="349">
        <v>1.0661500000000001E-2</v>
      </c>
    </row>
    <row r="564" spans="1:6" ht="12" thickBot="1">
      <c r="A564" s="347">
        <v>40963</v>
      </c>
      <c r="B564" s="348">
        <v>2.4399999999999999E-3</v>
      </c>
      <c r="C564" s="348">
        <v>3.5899999999999999E-3</v>
      </c>
      <c r="D564" s="348">
        <v>4.9059999999999998E-3</v>
      </c>
      <c r="E564" s="348">
        <v>7.5310000000000004E-3</v>
      </c>
      <c r="F564" s="349">
        <v>1.06605E-2</v>
      </c>
    </row>
    <row r="565" spans="1:6" ht="12" thickBot="1">
      <c r="A565" s="347">
        <v>40962</v>
      </c>
      <c r="B565" s="348">
        <v>2.4399999999999999E-3</v>
      </c>
      <c r="C565" s="348">
        <v>3.5899999999999999E-3</v>
      </c>
      <c r="D565" s="348">
        <v>4.9059999999999998E-3</v>
      </c>
      <c r="E565" s="348">
        <v>7.5310000000000004E-3</v>
      </c>
      <c r="F565" s="349">
        <v>1.06605E-2</v>
      </c>
    </row>
    <row r="566" spans="1:6" ht="12" thickBot="1">
      <c r="A566" s="347">
        <v>40961</v>
      </c>
      <c r="B566" s="348">
        <v>2.4450000000000001E-3</v>
      </c>
      <c r="C566" s="348">
        <v>3.5950000000000001E-3</v>
      </c>
      <c r="D566" s="348">
        <v>4.9160000000000002E-3</v>
      </c>
      <c r="E566" s="348">
        <v>7.5310000000000004E-3</v>
      </c>
      <c r="F566" s="349">
        <v>1.06605E-2</v>
      </c>
    </row>
    <row r="567" spans="1:6" ht="12" thickBot="1">
      <c r="A567" s="347">
        <v>40960</v>
      </c>
      <c r="B567" s="348">
        <v>2.4550000000000002E-3</v>
      </c>
      <c r="C567" s="348">
        <v>3.6050000000000001E-3</v>
      </c>
      <c r="D567" s="348">
        <v>4.9259999999999998E-3</v>
      </c>
      <c r="E567" s="348">
        <v>7.5209999999999999E-3</v>
      </c>
      <c r="F567" s="349">
        <v>1.06605E-2</v>
      </c>
    </row>
    <row r="568" spans="1:6" ht="12" thickBot="1">
      <c r="A568" s="347">
        <v>40959</v>
      </c>
      <c r="B568" s="348">
        <v>2.4550000000000002E-3</v>
      </c>
      <c r="C568" s="348">
        <v>3.6050000000000001E-3</v>
      </c>
      <c r="D568" s="348">
        <v>4.9309999999999996E-3</v>
      </c>
      <c r="E568" s="348">
        <v>7.5110000000000003E-3</v>
      </c>
      <c r="F568" s="349">
        <v>1.06605E-2</v>
      </c>
    </row>
    <row r="569" spans="1:6" ht="12" thickBot="1">
      <c r="A569" s="347">
        <v>40956</v>
      </c>
      <c r="B569" s="348">
        <v>2.4550000000000002E-3</v>
      </c>
      <c r="C569" s="348">
        <v>3.6050000000000001E-3</v>
      </c>
      <c r="D569" s="348">
        <v>4.9309999999999996E-3</v>
      </c>
      <c r="E569" s="348">
        <v>7.5110000000000003E-3</v>
      </c>
      <c r="F569" s="349">
        <v>1.06605E-2</v>
      </c>
    </row>
    <row r="570" spans="1:6" ht="12" thickBot="1">
      <c r="A570" s="347">
        <v>40955</v>
      </c>
      <c r="B570" s="348">
        <v>2.4550000000000002E-3</v>
      </c>
      <c r="C570" s="348">
        <v>3.6050000000000001E-3</v>
      </c>
      <c r="D570" s="348">
        <v>4.9309999999999996E-3</v>
      </c>
      <c r="E570" s="348">
        <v>7.5209999999999999E-3</v>
      </c>
      <c r="F570" s="349">
        <v>1.06605E-2</v>
      </c>
    </row>
    <row r="571" spans="1:6" ht="12" thickBot="1">
      <c r="A571" s="347">
        <v>40954</v>
      </c>
      <c r="B571" s="348">
        <v>2.4599999999999999E-3</v>
      </c>
      <c r="C571" s="348">
        <v>3.6150000000000002E-3</v>
      </c>
      <c r="D571" s="348">
        <v>4.9509999999999997E-3</v>
      </c>
      <c r="E571" s="348">
        <v>7.5209999999999999E-3</v>
      </c>
      <c r="F571" s="349">
        <v>1.06555E-2</v>
      </c>
    </row>
    <row r="572" spans="1:6" ht="12" thickBot="1">
      <c r="A572" s="347">
        <v>40953</v>
      </c>
      <c r="B572" s="348">
        <v>2.4750000000000002E-3</v>
      </c>
      <c r="C572" s="348">
        <v>3.64E-3</v>
      </c>
      <c r="D572" s="348">
        <v>4.9760000000000004E-3</v>
      </c>
      <c r="E572" s="348">
        <v>7.5360000000000002E-3</v>
      </c>
      <c r="F572" s="349">
        <v>1.0675499999999999E-2</v>
      </c>
    </row>
    <row r="573" spans="1:6" ht="12" thickBot="1">
      <c r="A573" s="347">
        <v>40952</v>
      </c>
      <c r="B573" s="348">
        <v>2.4849999999999998E-3</v>
      </c>
      <c r="C573" s="348">
        <v>3.6749999999999999E-3</v>
      </c>
      <c r="D573" s="348">
        <v>5.0260000000000001E-3</v>
      </c>
      <c r="E573" s="348">
        <v>7.5560000000000002E-3</v>
      </c>
      <c r="F573" s="349">
        <v>1.0678E-2</v>
      </c>
    </row>
    <row r="574" spans="1:6" ht="12" thickBot="1">
      <c r="A574" s="347">
        <v>40949</v>
      </c>
      <c r="B574" s="348">
        <v>2.5049999999999998E-3</v>
      </c>
      <c r="C574" s="348">
        <v>3.705E-3</v>
      </c>
      <c r="D574" s="348">
        <v>5.0600000000000003E-3</v>
      </c>
      <c r="E574" s="348">
        <v>7.5810000000000001E-3</v>
      </c>
      <c r="F574" s="349">
        <v>1.0697999999999999E-2</v>
      </c>
    </row>
    <row r="575" spans="1:6" ht="12" thickBot="1">
      <c r="A575" s="347">
        <v>40948</v>
      </c>
      <c r="B575" s="348">
        <v>2.5349999999999999E-3</v>
      </c>
      <c r="C575" s="348">
        <v>3.7599999999999999E-3</v>
      </c>
      <c r="D575" s="348">
        <v>5.1000000000000004E-3</v>
      </c>
      <c r="E575" s="348">
        <v>7.5859999999999999E-3</v>
      </c>
      <c r="F575" s="349">
        <v>1.0725E-2</v>
      </c>
    </row>
    <row r="576" spans="1:6" ht="12" thickBot="1">
      <c r="A576" s="347">
        <v>40947</v>
      </c>
      <c r="B576" s="348">
        <v>2.5474999999999999E-3</v>
      </c>
      <c r="C576" s="348">
        <v>3.7775E-3</v>
      </c>
      <c r="D576" s="348">
        <v>5.1324999999999999E-3</v>
      </c>
      <c r="E576" s="348">
        <v>7.6224999999999999E-3</v>
      </c>
      <c r="F576" s="349">
        <v>1.0762499999999999E-2</v>
      </c>
    </row>
    <row r="577" spans="1:6" ht="12" thickBot="1">
      <c r="A577" s="347">
        <v>40946</v>
      </c>
      <c r="B577" s="348">
        <v>2.5699999999999998E-3</v>
      </c>
      <c r="C577" s="348">
        <v>3.81E-3</v>
      </c>
      <c r="D577" s="348">
        <v>5.1999999999999998E-3</v>
      </c>
      <c r="E577" s="348">
        <v>7.6600000000000001E-3</v>
      </c>
      <c r="F577" s="349">
        <v>1.0802000000000001E-2</v>
      </c>
    </row>
    <row r="578" spans="1:6" ht="12" thickBot="1">
      <c r="A578" s="347">
        <v>40945</v>
      </c>
      <c r="B578" s="348">
        <v>2.5975E-3</v>
      </c>
      <c r="C578" s="348">
        <v>3.8425E-3</v>
      </c>
      <c r="D578" s="348">
        <v>5.2325000000000002E-3</v>
      </c>
      <c r="E578" s="348">
        <v>7.6874999999999999E-3</v>
      </c>
      <c r="F578" s="349">
        <v>1.08275E-2</v>
      </c>
    </row>
    <row r="579" spans="1:6" ht="12" thickBot="1">
      <c r="A579" s="347">
        <v>40942</v>
      </c>
      <c r="B579" s="348">
        <v>2.6050000000000001E-3</v>
      </c>
      <c r="C579" s="348">
        <v>3.8600000000000001E-3</v>
      </c>
      <c r="D579" s="348">
        <v>5.2700000000000004E-3</v>
      </c>
      <c r="E579" s="348">
        <v>7.685E-3</v>
      </c>
      <c r="F579" s="349">
        <v>1.0840000000000001E-2</v>
      </c>
    </row>
    <row r="580" spans="1:6" ht="12" thickBot="1">
      <c r="A580" s="347">
        <v>40941</v>
      </c>
      <c r="B580" s="348">
        <v>2.6250000000000002E-3</v>
      </c>
      <c r="C580" s="348">
        <v>3.8800000000000002E-3</v>
      </c>
      <c r="D580" s="348">
        <v>5.306E-3</v>
      </c>
      <c r="E580" s="348">
        <v>7.7000000000000002E-3</v>
      </c>
      <c r="F580" s="349">
        <v>1.0865E-2</v>
      </c>
    </row>
    <row r="581" spans="1:6" ht="12" thickBot="1">
      <c r="A581" s="347">
        <v>40940</v>
      </c>
      <c r="B581" s="348">
        <v>2.64E-3</v>
      </c>
      <c r="C581" s="348">
        <v>3.9249999999999997E-3</v>
      </c>
      <c r="D581" s="348">
        <v>5.3709999999999999E-3</v>
      </c>
      <c r="E581" s="348">
        <v>7.7250000000000001E-3</v>
      </c>
      <c r="F581" s="349">
        <v>1.0907E-2</v>
      </c>
    </row>
    <row r="582" spans="1:6" ht="12" thickBot="1">
      <c r="A582" s="347">
        <v>40939</v>
      </c>
      <c r="B582" s="348">
        <v>2.6475000000000001E-3</v>
      </c>
      <c r="C582" s="348">
        <v>3.9445000000000001E-3</v>
      </c>
      <c r="D582" s="348">
        <v>5.4235000000000004E-3</v>
      </c>
      <c r="E582" s="348">
        <v>7.7825000000000004E-3</v>
      </c>
      <c r="F582" s="349">
        <v>1.0957E-2</v>
      </c>
    </row>
    <row r="583" spans="1:6" ht="12" thickBot="1">
      <c r="A583" s="347">
        <v>40938</v>
      </c>
      <c r="B583" s="348">
        <v>2.6775000000000002E-3</v>
      </c>
      <c r="C583" s="348">
        <v>3.9824999999999999E-3</v>
      </c>
      <c r="D583" s="348">
        <v>5.4685000000000003E-3</v>
      </c>
      <c r="E583" s="348">
        <v>7.8150000000000008E-3</v>
      </c>
      <c r="F583" s="349">
        <v>1.09745E-2</v>
      </c>
    </row>
    <row r="584" spans="1:6" ht="12" thickBot="1">
      <c r="A584" s="347">
        <v>40935</v>
      </c>
      <c r="B584" s="348">
        <v>2.7000000000000001E-3</v>
      </c>
      <c r="C584" s="348">
        <v>4.0249999999999999E-3</v>
      </c>
      <c r="D584" s="348">
        <v>5.5110000000000003E-3</v>
      </c>
      <c r="E584" s="348">
        <v>7.8525000000000001E-3</v>
      </c>
      <c r="F584" s="349">
        <v>1.0992E-2</v>
      </c>
    </row>
    <row r="585" spans="1:6" ht="12" thickBot="1">
      <c r="A585" s="347">
        <v>40934</v>
      </c>
      <c r="B585" s="348">
        <v>2.7049999999999999E-3</v>
      </c>
      <c r="C585" s="348">
        <v>4.0350000000000004E-3</v>
      </c>
      <c r="D585" s="348">
        <v>5.5310000000000003E-3</v>
      </c>
      <c r="E585" s="348">
        <v>7.8674999999999995E-3</v>
      </c>
      <c r="F585" s="349">
        <v>1.1017000000000001E-2</v>
      </c>
    </row>
    <row r="586" spans="1:6" ht="12" thickBot="1">
      <c r="A586" s="347">
        <v>40933</v>
      </c>
      <c r="B586" s="348">
        <v>2.728E-3</v>
      </c>
      <c r="C586" s="348">
        <v>4.052E-3</v>
      </c>
      <c r="D586" s="348">
        <v>5.5659999999999998E-3</v>
      </c>
      <c r="E586" s="348">
        <v>7.9174999999999992E-3</v>
      </c>
      <c r="F586" s="349">
        <v>1.1079500000000001E-2</v>
      </c>
    </row>
    <row r="587" spans="1:6" ht="12" thickBot="1">
      <c r="A587" s="347">
        <v>40932</v>
      </c>
      <c r="B587" s="348">
        <v>2.7529999999999998E-3</v>
      </c>
      <c r="C587" s="348">
        <v>4.0720000000000001E-3</v>
      </c>
      <c r="D587" s="348">
        <v>5.5909999999999996E-3</v>
      </c>
      <c r="E587" s="348">
        <v>7.9124999999999994E-3</v>
      </c>
      <c r="F587" s="349">
        <v>1.1084500000000001E-2</v>
      </c>
    </row>
    <row r="588" spans="1:6" ht="12" thickBot="1">
      <c r="A588" s="347">
        <v>40931</v>
      </c>
      <c r="B588" s="348">
        <v>2.7629999999999998E-3</v>
      </c>
      <c r="C588" s="348">
        <v>4.0819999999999997E-3</v>
      </c>
      <c r="D588" s="348">
        <v>5.6010000000000001E-3</v>
      </c>
      <c r="E588" s="348">
        <v>7.9275000000000005E-3</v>
      </c>
      <c r="F588" s="349">
        <v>1.10995E-2</v>
      </c>
    </row>
    <row r="589" spans="1:6" ht="12" thickBot="1">
      <c r="A589" s="347">
        <v>40928</v>
      </c>
      <c r="B589" s="348">
        <v>2.7729999999999999E-3</v>
      </c>
      <c r="C589" s="348">
        <v>4.0870000000000004E-3</v>
      </c>
      <c r="D589" s="348">
        <v>5.6109999999999997E-3</v>
      </c>
      <c r="E589" s="348">
        <v>7.9174999999999992E-3</v>
      </c>
      <c r="F589" s="349">
        <v>1.10995E-2</v>
      </c>
    </row>
    <row r="590" spans="1:6" ht="12" thickBot="1">
      <c r="A590" s="347">
        <v>40927</v>
      </c>
      <c r="B590" s="348">
        <v>2.7889999999999998E-3</v>
      </c>
      <c r="C590" s="348">
        <v>4.0930000000000003E-3</v>
      </c>
      <c r="D590" s="348">
        <v>5.6119999999999998E-3</v>
      </c>
      <c r="E590" s="348">
        <v>7.9174999999999992E-3</v>
      </c>
      <c r="F590" s="349">
        <v>1.1100499999999999E-2</v>
      </c>
    </row>
    <row r="591" spans="1:6" ht="12" thickBot="1">
      <c r="A591" s="347">
        <v>40926</v>
      </c>
      <c r="B591" s="348">
        <v>2.8089999999999999E-3</v>
      </c>
      <c r="C591" s="348">
        <v>4.0930000000000003E-3</v>
      </c>
      <c r="D591" s="348">
        <v>5.6119999999999998E-3</v>
      </c>
      <c r="E591" s="348">
        <v>7.9174999999999992E-3</v>
      </c>
      <c r="F591" s="349">
        <v>1.1100499999999999E-2</v>
      </c>
    </row>
    <row r="592" spans="1:6" ht="12" thickBot="1">
      <c r="A592" s="347">
        <v>40925</v>
      </c>
      <c r="B592" s="348">
        <v>2.81E-3</v>
      </c>
      <c r="C592" s="348">
        <v>4.0990000000000002E-3</v>
      </c>
      <c r="D592" s="348">
        <v>5.6230000000000004E-3</v>
      </c>
      <c r="E592" s="348">
        <v>7.9275000000000005E-3</v>
      </c>
      <c r="F592" s="349">
        <v>1.11015E-2</v>
      </c>
    </row>
    <row r="593" spans="1:6" ht="12" thickBot="1">
      <c r="A593" s="347">
        <v>40924</v>
      </c>
      <c r="B593" s="348">
        <v>2.8159999999999999E-3</v>
      </c>
      <c r="C593" s="348">
        <v>4.1149999999999997E-3</v>
      </c>
      <c r="D593" s="348">
        <v>5.6490000000000004E-3</v>
      </c>
      <c r="E593" s="348">
        <v>7.9325000000000003E-3</v>
      </c>
      <c r="F593" s="349">
        <v>1.1117500000000001E-2</v>
      </c>
    </row>
    <row r="594" spans="1:6" ht="12" thickBot="1">
      <c r="A594" s="347">
        <v>40921</v>
      </c>
      <c r="B594" s="348">
        <v>2.8509999999999998E-3</v>
      </c>
      <c r="C594" s="348">
        <v>4.15E-3</v>
      </c>
      <c r="D594" s="348">
        <v>5.6699999999999997E-3</v>
      </c>
      <c r="E594" s="348">
        <v>7.9424999999999999E-3</v>
      </c>
      <c r="F594" s="349">
        <v>1.11395E-2</v>
      </c>
    </row>
    <row r="595" spans="1:6" ht="12" thickBot="1">
      <c r="A595" s="347">
        <v>40920</v>
      </c>
      <c r="B595" s="348">
        <v>2.8960000000000001E-3</v>
      </c>
      <c r="C595" s="348">
        <v>4.1999999999999997E-3</v>
      </c>
      <c r="D595" s="348">
        <v>5.7149999999999996E-3</v>
      </c>
      <c r="E595" s="348">
        <v>8.0225000000000001E-3</v>
      </c>
      <c r="F595" s="349">
        <v>1.11945E-2</v>
      </c>
    </row>
    <row r="596" spans="1:6" ht="12" thickBot="1">
      <c r="A596" s="347">
        <v>40919</v>
      </c>
      <c r="B596" s="348">
        <v>2.947E-3</v>
      </c>
      <c r="C596" s="348">
        <v>4.261E-3</v>
      </c>
      <c r="D596" s="348">
        <v>5.7650000000000002E-3</v>
      </c>
      <c r="E596" s="348">
        <v>8.0675E-3</v>
      </c>
      <c r="F596" s="349">
        <v>1.12435E-2</v>
      </c>
    </row>
    <row r="597" spans="1:6" ht="12" thickBot="1">
      <c r="A597" s="347">
        <v>40918</v>
      </c>
      <c r="B597" s="348">
        <v>2.9580000000000001E-3</v>
      </c>
      <c r="C597" s="348">
        <v>4.2820000000000002E-3</v>
      </c>
      <c r="D597" s="348">
        <v>5.7949999999999998E-3</v>
      </c>
      <c r="E597" s="348">
        <v>8.0850000000000002E-3</v>
      </c>
      <c r="F597" s="349">
        <v>1.12605E-2</v>
      </c>
    </row>
    <row r="598" spans="1:6" ht="12" thickBot="1">
      <c r="A598" s="347">
        <v>40914</v>
      </c>
      <c r="B598" s="348">
        <v>2.9629999999999999E-3</v>
      </c>
      <c r="C598" s="348">
        <v>4.2820000000000002E-3</v>
      </c>
      <c r="D598" s="348">
        <v>5.8149999999999999E-3</v>
      </c>
      <c r="E598" s="348">
        <v>8.1200000000000005E-3</v>
      </c>
      <c r="F598" s="349">
        <v>1.1303499999999999E-2</v>
      </c>
    </row>
    <row r="599" spans="1:6" ht="12" thickBot="1">
      <c r="A599" s="347">
        <v>40913</v>
      </c>
      <c r="B599" s="348">
        <v>2.9529999999999999E-3</v>
      </c>
      <c r="C599" s="348">
        <v>4.2919999999999998E-3</v>
      </c>
      <c r="D599" s="348">
        <v>5.8250000000000003E-3</v>
      </c>
      <c r="E599" s="348">
        <v>8.1200000000000005E-3</v>
      </c>
      <c r="F599" s="349">
        <v>1.1303499999999999E-2</v>
      </c>
    </row>
    <row r="600" spans="1:6" ht="12" thickBot="1">
      <c r="A600" s="347">
        <v>40912</v>
      </c>
      <c r="B600" s="348">
        <v>2.9529999999999999E-3</v>
      </c>
      <c r="C600" s="348">
        <v>4.2820000000000002E-3</v>
      </c>
      <c r="D600" s="348">
        <v>5.8250000000000003E-3</v>
      </c>
      <c r="E600" s="348">
        <v>8.1099999999999992E-3</v>
      </c>
      <c r="F600" s="349">
        <v>1.1303499999999999E-2</v>
      </c>
    </row>
    <row r="601" spans="1:6" ht="12" thickBot="1">
      <c r="A601" s="347">
        <v>40911</v>
      </c>
      <c r="B601" s="348">
        <v>2.9529999999999999E-3</v>
      </c>
      <c r="C601" s="348">
        <v>4.2810000000000001E-3</v>
      </c>
      <c r="D601" s="348">
        <v>5.8250000000000003E-3</v>
      </c>
      <c r="E601" s="348">
        <v>8.1099999999999992E-3</v>
      </c>
      <c r="F601" s="349">
        <v>1.13005E-2</v>
      </c>
    </row>
    <row r="602" spans="1:6" ht="12" thickBot="1">
      <c r="A602" s="350">
        <v>40910</v>
      </c>
      <c r="B602" s="351">
        <v>2.9529999999999999E-3</v>
      </c>
      <c r="C602" s="351">
        <v>4.2709999999999996E-3</v>
      </c>
      <c r="D602" s="351">
        <v>5.8100000000000001E-3</v>
      </c>
      <c r="E602" s="351">
        <v>8.0850000000000002E-3</v>
      </c>
      <c r="F602" s="352">
        <v>1.1280500000000001E-2</v>
      </c>
    </row>
    <row r="603" spans="1:6">
      <c r="A603" s="341">
        <v>2011</v>
      </c>
      <c r="B603" s="342"/>
      <c r="C603" s="342"/>
      <c r="D603" s="342"/>
      <c r="E603" s="342"/>
      <c r="F603" s="342"/>
    </row>
    <row r="604" spans="1:6" ht="12" thickBot="1">
      <c r="A604" s="343"/>
      <c r="B604" s="688"/>
      <c r="C604" s="689"/>
      <c r="D604" s="689"/>
      <c r="E604" s="689"/>
      <c r="F604" s="690"/>
    </row>
    <row r="605" spans="1:6" ht="23.25" thickBot="1">
      <c r="A605" s="344" t="s">
        <v>319</v>
      </c>
      <c r="B605" s="345" t="s">
        <v>323</v>
      </c>
      <c r="C605" s="345" t="s">
        <v>324</v>
      </c>
      <c r="D605" s="345" t="s">
        <v>325</v>
      </c>
      <c r="E605" s="345" t="s">
        <v>326</v>
      </c>
      <c r="F605" s="346" t="s">
        <v>327</v>
      </c>
    </row>
    <row r="606" spans="1:6" ht="12" thickBot="1">
      <c r="A606" s="347">
        <v>40907</v>
      </c>
      <c r="B606" s="348">
        <v>2.9529999999999999E-3</v>
      </c>
      <c r="C606" s="348">
        <v>4.2709999999999996E-3</v>
      </c>
      <c r="D606" s="348">
        <v>5.8100000000000001E-3</v>
      </c>
      <c r="E606" s="348">
        <v>8.0850000000000002E-3</v>
      </c>
      <c r="F606" s="349">
        <v>1.1280500000000001E-2</v>
      </c>
    </row>
    <row r="607" spans="1:6" ht="12" thickBot="1">
      <c r="A607" s="347">
        <v>40906</v>
      </c>
      <c r="B607" s="348">
        <v>2.9529999999999999E-3</v>
      </c>
      <c r="C607" s="348">
        <v>4.2709999999999996E-3</v>
      </c>
      <c r="D607" s="348">
        <v>5.8100000000000001E-3</v>
      </c>
      <c r="E607" s="348">
        <v>8.0850000000000002E-3</v>
      </c>
      <c r="F607" s="349">
        <v>1.1280500000000001E-2</v>
      </c>
    </row>
    <row r="608" spans="1:6" ht="12" thickBot="1">
      <c r="A608" s="347">
        <v>40905</v>
      </c>
      <c r="B608" s="348">
        <v>2.9629999999999999E-3</v>
      </c>
      <c r="C608" s="348">
        <v>4.2515000000000001E-3</v>
      </c>
      <c r="D608" s="348">
        <v>5.7924999999999999E-3</v>
      </c>
      <c r="E608" s="348">
        <v>8.0800000000000004E-3</v>
      </c>
      <c r="F608" s="349">
        <v>1.1269E-2</v>
      </c>
    </row>
    <row r="609" spans="1:6" ht="12" thickBot="1">
      <c r="A609" s="347">
        <v>40904</v>
      </c>
      <c r="B609" s="348">
        <v>2.9394999999999998E-3</v>
      </c>
      <c r="C609" s="348">
        <v>4.2220000000000001E-3</v>
      </c>
      <c r="D609" s="348">
        <v>5.7574999999999996E-3</v>
      </c>
      <c r="E609" s="348">
        <v>8.0400000000000003E-3</v>
      </c>
      <c r="F609" s="349">
        <v>1.1231E-2</v>
      </c>
    </row>
    <row r="610" spans="1:6" ht="12" thickBot="1">
      <c r="A610" s="347">
        <v>40903</v>
      </c>
      <c r="B610" s="348">
        <v>2.9394999999999998E-3</v>
      </c>
      <c r="C610" s="348">
        <v>4.2220000000000001E-3</v>
      </c>
      <c r="D610" s="348">
        <v>5.7574999999999996E-3</v>
      </c>
      <c r="E610" s="348">
        <v>8.0400000000000003E-3</v>
      </c>
      <c r="F610" s="349">
        <v>1.1231E-2</v>
      </c>
    </row>
    <row r="611" spans="1:6" ht="12" thickBot="1">
      <c r="A611" s="347">
        <v>40900</v>
      </c>
      <c r="B611" s="348">
        <v>2.9394999999999998E-3</v>
      </c>
      <c r="C611" s="348">
        <v>4.2220000000000001E-3</v>
      </c>
      <c r="D611" s="348">
        <v>5.7574999999999996E-3</v>
      </c>
      <c r="E611" s="348">
        <v>8.0400000000000003E-3</v>
      </c>
      <c r="F611" s="349">
        <v>1.1231E-2</v>
      </c>
    </row>
    <row r="612" spans="1:6" ht="12" thickBot="1">
      <c r="A612" s="347">
        <v>40899</v>
      </c>
      <c r="B612" s="348">
        <v>2.9359999999999998E-3</v>
      </c>
      <c r="C612" s="348">
        <v>4.2125000000000001E-3</v>
      </c>
      <c r="D612" s="348">
        <v>5.7375000000000004E-3</v>
      </c>
      <c r="E612" s="348">
        <v>8.0099999999999998E-3</v>
      </c>
      <c r="F612" s="349">
        <v>1.12135E-2</v>
      </c>
    </row>
    <row r="613" spans="1:6" ht="12" thickBot="1">
      <c r="A613" s="347">
        <v>40898</v>
      </c>
      <c r="B613" s="348">
        <v>2.9185000000000001E-3</v>
      </c>
      <c r="C613" s="348">
        <v>4.1949999999999999E-3</v>
      </c>
      <c r="D613" s="348">
        <v>5.7124999999999997E-3</v>
      </c>
      <c r="E613" s="348">
        <v>7.9950000000000004E-3</v>
      </c>
      <c r="F613" s="349">
        <v>1.1191E-2</v>
      </c>
    </row>
    <row r="614" spans="1:6" ht="12" thickBot="1">
      <c r="A614" s="347">
        <v>40897</v>
      </c>
      <c r="B614" s="348">
        <v>2.9060000000000002E-3</v>
      </c>
      <c r="C614" s="348">
        <v>4.1850000000000004E-3</v>
      </c>
      <c r="D614" s="348">
        <v>5.6975000000000003E-3</v>
      </c>
      <c r="E614" s="348">
        <v>7.9850000000000008E-3</v>
      </c>
      <c r="F614" s="349">
        <v>1.1188500000000001E-2</v>
      </c>
    </row>
    <row r="615" spans="1:6" ht="12" thickBot="1">
      <c r="A615" s="347">
        <v>40896</v>
      </c>
      <c r="B615" s="348">
        <v>2.8735000000000002E-3</v>
      </c>
      <c r="C615" s="348">
        <v>4.1549999999999998E-3</v>
      </c>
      <c r="D615" s="348">
        <v>5.6695000000000001E-3</v>
      </c>
      <c r="E615" s="348">
        <v>7.9450000000000007E-3</v>
      </c>
      <c r="F615" s="349">
        <v>1.1143500000000001E-2</v>
      </c>
    </row>
    <row r="616" spans="1:6" ht="12" thickBot="1">
      <c r="A616" s="347">
        <v>40893</v>
      </c>
      <c r="B616" s="348">
        <v>2.8484999999999999E-3</v>
      </c>
      <c r="C616" s="348">
        <v>4.1390000000000003E-3</v>
      </c>
      <c r="D616" s="348">
        <v>5.6315000000000002E-3</v>
      </c>
      <c r="E616" s="348">
        <v>7.8799999999999999E-3</v>
      </c>
      <c r="F616" s="349">
        <v>1.1103500000000001E-2</v>
      </c>
    </row>
    <row r="617" spans="1:6" ht="12" thickBot="1">
      <c r="A617" s="347">
        <v>40892</v>
      </c>
      <c r="B617" s="348">
        <v>2.846E-3</v>
      </c>
      <c r="C617" s="348">
        <v>4.1139999999999996E-3</v>
      </c>
      <c r="D617" s="348">
        <v>5.5915000000000001E-3</v>
      </c>
      <c r="E617" s="348">
        <v>7.8300000000000002E-3</v>
      </c>
      <c r="F617" s="349">
        <v>1.1058500000000001E-2</v>
      </c>
    </row>
    <row r="618" spans="1:6" ht="12" thickBot="1">
      <c r="A618" s="347">
        <v>40891</v>
      </c>
      <c r="B618" s="348">
        <v>2.8254999999999999E-3</v>
      </c>
      <c r="C618" s="348">
        <v>4.0740000000000004E-3</v>
      </c>
      <c r="D618" s="348">
        <v>5.5504999999999999E-3</v>
      </c>
      <c r="E618" s="348">
        <v>7.7850000000000003E-3</v>
      </c>
      <c r="F618" s="349">
        <v>1.09915E-2</v>
      </c>
    </row>
    <row r="619" spans="1:6" ht="12" thickBot="1">
      <c r="A619" s="347">
        <v>40890</v>
      </c>
      <c r="B619" s="348">
        <v>2.7829999999999999E-3</v>
      </c>
      <c r="C619" s="348">
        <v>4.0315000000000004E-3</v>
      </c>
      <c r="D619" s="348">
        <v>5.4625000000000003E-3</v>
      </c>
      <c r="E619" s="348">
        <v>7.705E-3</v>
      </c>
      <c r="F619" s="349">
        <v>1.0933999999999999E-2</v>
      </c>
    </row>
    <row r="620" spans="1:6" ht="12" thickBot="1">
      <c r="A620" s="347">
        <v>40889</v>
      </c>
      <c r="B620" s="348">
        <v>2.7755000000000002E-3</v>
      </c>
      <c r="C620" s="348">
        <v>4.0140000000000002E-3</v>
      </c>
      <c r="D620" s="348">
        <v>5.4349999999999997E-3</v>
      </c>
      <c r="E620" s="348">
        <v>7.6449999999999999E-3</v>
      </c>
      <c r="F620" s="349">
        <v>1.0874E-2</v>
      </c>
    </row>
    <row r="621" spans="1:6" ht="12" thickBot="1">
      <c r="A621" s="347">
        <v>40886</v>
      </c>
      <c r="B621" s="348">
        <v>2.7655000000000002E-3</v>
      </c>
      <c r="C621" s="348">
        <v>3.9915000000000003E-3</v>
      </c>
      <c r="D621" s="348">
        <v>5.4174999999999996E-3</v>
      </c>
      <c r="E621" s="348">
        <v>7.62E-3</v>
      </c>
      <c r="F621" s="349">
        <v>1.0848999999999999E-2</v>
      </c>
    </row>
    <row r="622" spans="1:6" ht="12" thickBot="1">
      <c r="A622" s="347">
        <v>40884</v>
      </c>
      <c r="B622" s="348">
        <v>2.7629999999999998E-3</v>
      </c>
      <c r="C622" s="348">
        <v>3.9639999999999996E-3</v>
      </c>
      <c r="D622" s="348">
        <v>5.4000000000000003E-3</v>
      </c>
      <c r="E622" s="348">
        <v>7.6E-3</v>
      </c>
      <c r="F622" s="349">
        <v>1.08115E-2</v>
      </c>
    </row>
    <row r="623" spans="1:6" ht="12" thickBot="1">
      <c r="A623" s="347">
        <v>40883</v>
      </c>
      <c r="B623" s="348">
        <v>2.7504999999999999E-3</v>
      </c>
      <c r="C623" s="348">
        <v>3.9465000000000004E-3</v>
      </c>
      <c r="D623" s="348">
        <v>5.3775000000000003E-3</v>
      </c>
      <c r="E623" s="348">
        <v>7.5824999999999998E-3</v>
      </c>
      <c r="F623" s="349">
        <v>1.0789E-2</v>
      </c>
    </row>
    <row r="624" spans="1:6" ht="12" thickBot="1">
      <c r="A624" s="347">
        <v>40882</v>
      </c>
      <c r="B624" s="348">
        <v>2.7409999999999999E-3</v>
      </c>
      <c r="C624" s="348">
        <v>3.9170000000000003E-3</v>
      </c>
      <c r="D624" s="348">
        <v>5.339E-3</v>
      </c>
      <c r="E624" s="348">
        <v>7.5424999999999997E-3</v>
      </c>
      <c r="F624" s="349">
        <v>1.074E-2</v>
      </c>
    </row>
    <row r="625" spans="1:6" ht="12" thickBot="1">
      <c r="A625" s="347">
        <v>40879</v>
      </c>
      <c r="B625" s="348">
        <v>2.7033000000000001E-3</v>
      </c>
      <c r="C625" s="348">
        <v>3.8700000000000002E-3</v>
      </c>
      <c r="D625" s="348">
        <v>5.2833000000000003E-3</v>
      </c>
      <c r="E625" s="348">
        <v>7.4833E-3</v>
      </c>
      <c r="F625" s="349">
        <v>1.06517E-2</v>
      </c>
    </row>
    <row r="626" spans="1:6" ht="12" thickBot="1">
      <c r="A626" s="347">
        <v>40878</v>
      </c>
      <c r="B626" s="348">
        <v>2.7144000000000001E-3</v>
      </c>
      <c r="C626" s="348">
        <v>3.8700000000000002E-3</v>
      </c>
      <c r="D626" s="348">
        <v>5.2722000000000003E-3</v>
      </c>
      <c r="E626" s="348">
        <v>7.4722E-3</v>
      </c>
      <c r="F626" s="349">
        <v>1.06494E-2</v>
      </c>
    </row>
    <row r="627" spans="1:6" ht="12" thickBot="1">
      <c r="A627" s="347">
        <v>40877</v>
      </c>
      <c r="B627" s="348">
        <v>2.7144000000000001E-3</v>
      </c>
      <c r="C627" s="348">
        <v>3.8755999999999999E-3</v>
      </c>
      <c r="D627" s="348">
        <v>5.2889E-3</v>
      </c>
      <c r="E627" s="348">
        <v>7.4833E-3</v>
      </c>
      <c r="F627" s="349">
        <v>1.0710600000000001E-2</v>
      </c>
    </row>
    <row r="628" spans="1:6" ht="12" thickBot="1">
      <c r="A628" s="347">
        <v>40876</v>
      </c>
      <c r="B628" s="348">
        <v>2.7022000000000001E-3</v>
      </c>
      <c r="C628" s="348">
        <v>3.8693999999999998E-3</v>
      </c>
      <c r="D628" s="348">
        <v>5.2693999999999996E-3</v>
      </c>
      <c r="E628" s="348">
        <v>7.4583000000000002E-3</v>
      </c>
      <c r="F628" s="349">
        <v>1.0659999999999999E-2</v>
      </c>
    </row>
    <row r="629" spans="1:6" ht="12" thickBot="1">
      <c r="A629" s="347">
        <v>40875</v>
      </c>
      <c r="B629" s="348">
        <v>2.5999999999999999E-3</v>
      </c>
      <c r="C629" s="348">
        <v>3.8338999999999999E-3</v>
      </c>
      <c r="D629" s="348">
        <v>5.2306000000000002E-3</v>
      </c>
      <c r="E629" s="348">
        <v>7.3971999999999996E-3</v>
      </c>
      <c r="F629" s="349">
        <v>1.06044E-2</v>
      </c>
    </row>
    <row r="630" spans="1:6" ht="12" thickBot="1">
      <c r="A630" s="347">
        <v>40872</v>
      </c>
      <c r="B630" s="348">
        <v>2.5944000000000002E-3</v>
      </c>
      <c r="C630" s="348">
        <v>3.8094000000000001E-3</v>
      </c>
      <c r="D630" s="348">
        <v>5.1805999999999996E-3</v>
      </c>
      <c r="E630" s="348">
        <v>7.3416999999999996E-3</v>
      </c>
      <c r="F630" s="349">
        <v>1.05156E-2</v>
      </c>
    </row>
    <row r="631" spans="1:6" ht="12" thickBot="1">
      <c r="A631" s="347">
        <v>40871</v>
      </c>
      <c r="B631" s="348">
        <v>2.5722000000000002E-3</v>
      </c>
      <c r="C631" s="348">
        <v>3.7789E-3</v>
      </c>
      <c r="D631" s="348">
        <v>5.1167000000000001E-3</v>
      </c>
      <c r="E631" s="348">
        <v>7.2611000000000004E-3</v>
      </c>
      <c r="F631" s="349">
        <v>1.04656E-2</v>
      </c>
    </row>
    <row r="632" spans="1:6" ht="12" thickBot="1">
      <c r="A632" s="347">
        <v>40870</v>
      </c>
      <c r="B632" s="348">
        <v>2.5722000000000002E-3</v>
      </c>
      <c r="C632" s="348">
        <v>3.7721999999999999E-3</v>
      </c>
      <c r="D632" s="348">
        <v>5.0610999999999998E-3</v>
      </c>
      <c r="E632" s="348">
        <v>7.1888999999999998E-3</v>
      </c>
      <c r="F632" s="349">
        <v>1.0414400000000001E-2</v>
      </c>
    </row>
    <row r="633" spans="1:6" ht="12" thickBot="1">
      <c r="A633" s="347">
        <v>40869</v>
      </c>
      <c r="B633" s="348">
        <v>2.5722000000000002E-3</v>
      </c>
      <c r="C633" s="348">
        <v>3.7639000000000001E-3</v>
      </c>
      <c r="D633" s="348">
        <v>5.0028E-3</v>
      </c>
      <c r="E633" s="348">
        <v>7.1222000000000004E-3</v>
      </c>
      <c r="F633" s="349">
        <v>1.0342199999999999E-2</v>
      </c>
    </row>
    <row r="634" spans="1:6" ht="12" thickBot="1">
      <c r="A634" s="347">
        <v>40868</v>
      </c>
      <c r="B634" s="348">
        <v>2.5666999999999999E-3</v>
      </c>
      <c r="C634" s="348">
        <v>3.7277999999999999E-3</v>
      </c>
      <c r="D634" s="348">
        <v>4.9500000000000004E-3</v>
      </c>
      <c r="E634" s="348">
        <v>7.0610999999999998E-3</v>
      </c>
      <c r="F634" s="349">
        <v>1.02589E-2</v>
      </c>
    </row>
    <row r="635" spans="1:6" ht="12" thickBot="1">
      <c r="A635" s="347">
        <v>40865</v>
      </c>
      <c r="B635" s="348">
        <v>2.5655999999999999E-3</v>
      </c>
      <c r="C635" s="348">
        <v>3.6882999999999998E-3</v>
      </c>
      <c r="D635" s="348">
        <v>4.8777999999999998E-3</v>
      </c>
      <c r="E635" s="348">
        <v>6.9861000000000003E-3</v>
      </c>
      <c r="F635" s="349">
        <v>1.01811E-2</v>
      </c>
    </row>
    <row r="636" spans="1:6" ht="12" thickBot="1">
      <c r="A636" s="347">
        <v>40864</v>
      </c>
      <c r="B636" s="348">
        <v>2.5477999999999998E-3</v>
      </c>
      <c r="C636" s="348">
        <v>3.6389E-3</v>
      </c>
      <c r="D636" s="348">
        <v>4.7943999999999999E-3</v>
      </c>
      <c r="E636" s="348">
        <v>6.8916999999999997E-3</v>
      </c>
      <c r="F636" s="349">
        <v>1.0075600000000001E-2</v>
      </c>
    </row>
    <row r="637" spans="1:6" ht="12" thickBot="1">
      <c r="A637" s="347">
        <v>40863</v>
      </c>
      <c r="B637" s="348">
        <v>2.5171999999999998E-3</v>
      </c>
      <c r="C637" s="348">
        <v>3.5706000000000002E-3</v>
      </c>
      <c r="D637" s="348">
        <v>4.7111000000000002E-3</v>
      </c>
      <c r="E637" s="348">
        <v>6.7694000000000001E-3</v>
      </c>
      <c r="F637" s="349">
        <v>9.9699999999999997E-3</v>
      </c>
    </row>
    <row r="638" spans="1:6" ht="12" thickBot="1">
      <c r="A638" s="347">
        <v>40862</v>
      </c>
      <c r="B638" s="348">
        <v>2.5171999999999998E-3</v>
      </c>
      <c r="C638" s="348">
        <v>3.5366999999999998E-3</v>
      </c>
      <c r="D638" s="348">
        <v>4.6556000000000002E-3</v>
      </c>
      <c r="E638" s="348">
        <v>6.6972000000000004E-3</v>
      </c>
      <c r="F638" s="349">
        <v>9.9188999999999996E-3</v>
      </c>
    </row>
    <row r="639" spans="1:6" ht="12" thickBot="1">
      <c r="A639" s="347">
        <v>40858</v>
      </c>
      <c r="B639" s="348">
        <v>2.49E-3</v>
      </c>
      <c r="C639" s="348">
        <v>3.4849999999999998E-3</v>
      </c>
      <c r="D639" s="348">
        <v>4.5722000000000002E-3</v>
      </c>
      <c r="E639" s="348">
        <v>6.5861000000000001E-3</v>
      </c>
      <c r="F639" s="349">
        <v>9.8143999999999992E-3</v>
      </c>
    </row>
    <row r="640" spans="1:6" ht="12" thickBot="1">
      <c r="A640" s="347">
        <v>40857</v>
      </c>
      <c r="B640" s="348">
        <v>2.4789E-3</v>
      </c>
      <c r="C640" s="348">
        <v>3.4505999999999998E-3</v>
      </c>
      <c r="D640" s="348">
        <v>4.5278000000000002E-3</v>
      </c>
      <c r="E640" s="348">
        <v>6.5417000000000001E-3</v>
      </c>
      <c r="F640" s="349">
        <v>9.7643999999999995E-3</v>
      </c>
    </row>
    <row r="641" spans="1:6" ht="12" thickBot="1">
      <c r="A641" s="347">
        <v>40856</v>
      </c>
      <c r="B641" s="348">
        <v>2.4778000000000001E-3</v>
      </c>
      <c r="C641" s="348">
        <v>3.4443999999999998E-3</v>
      </c>
      <c r="D641" s="348">
        <v>4.4917000000000004E-3</v>
      </c>
      <c r="E641" s="348">
        <v>6.4833E-3</v>
      </c>
      <c r="F641" s="349">
        <v>9.6450000000000008E-3</v>
      </c>
    </row>
    <row r="642" spans="1:6" ht="12" thickBot="1">
      <c r="A642" s="347">
        <v>40855</v>
      </c>
      <c r="B642" s="348">
        <v>2.4778000000000001E-3</v>
      </c>
      <c r="C642" s="348">
        <v>3.4228000000000001E-3</v>
      </c>
      <c r="D642" s="348">
        <v>4.4416999999999998E-3</v>
      </c>
      <c r="E642" s="348">
        <v>6.4167E-3</v>
      </c>
      <c r="F642" s="349">
        <v>9.5861000000000002E-3</v>
      </c>
    </row>
    <row r="643" spans="1:6" ht="12" thickBot="1">
      <c r="A643" s="347">
        <v>40851</v>
      </c>
      <c r="B643" s="348">
        <v>2.4750000000000002E-3</v>
      </c>
      <c r="C643" s="348">
        <v>3.385E-3</v>
      </c>
      <c r="D643" s="348">
        <v>4.3750000000000004E-3</v>
      </c>
      <c r="E643" s="348">
        <v>6.3111E-3</v>
      </c>
      <c r="F643" s="349">
        <v>9.4882999999999999E-3</v>
      </c>
    </row>
    <row r="644" spans="1:6" ht="12" thickBot="1">
      <c r="A644" s="347">
        <v>40850</v>
      </c>
      <c r="B644" s="348">
        <v>2.4750000000000002E-3</v>
      </c>
      <c r="C644" s="348">
        <v>3.3728E-3</v>
      </c>
      <c r="D644" s="348">
        <v>4.3499999999999997E-3</v>
      </c>
      <c r="E644" s="348">
        <v>6.2693999999999996E-3</v>
      </c>
      <c r="F644" s="349">
        <v>9.4488999999999997E-3</v>
      </c>
    </row>
    <row r="645" spans="1:6" ht="12" thickBot="1">
      <c r="A645" s="347">
        <v>40849</v>
      </c>
      <c r="B645" s="348">
        <v>2.4528000000000002E-3</v>
      </c>
      <c r="C645" s="348">
        <v>3.3689000000000002E-3</v>
      </c>
      <c r="D645" s="348">
        <v>4.3306000000000004E-3</v>
      </c>
      <c r="E645" s="348">
        <v>6.2389000000000003E-3</v>
      </c>
      <c r="F645" s="349">
        <v>9.4161000000000002E-3</v>
      </c>
    </row>
    <row r="646" spans="1:6" ht="12" thickBot="1">
      <c r="A646" s="347">
        <v>40848</v>
      </c>
      <c r="B646" s="348">
        <v>2.4528000000000002E-3</v>
      </c>
      <c r="C646" s="348">
        <v>3.3494000000000002E-3</v>
      </c>
      <c r="D646" s="348">
        <v>4.3166999999999997E-3</v>
      </c>
      <c r="E646" s="348">
        <v>6.2249999999999996E-3</v>
      </c>
      <c r="F646" s="349">
        <v>9.3971999999999997E-3</v>
      </c>
    </row>
    <row r="647" spans="1:6" ht="12" thickBot="1">
      <c r="A647" s="347">
        <v>40847</v>
      </c>
      <c r="B647" s="348">
        <v>2.4528000000000002E-3</v>
      </c>
      <c r="C647" s="348">
        <v>3.3400000000000001E-3</v>
      </c>
      <c r="D647" s="348">
        <v>4.2944000000000003E-3</v>
      </c>
      <c r="E647" s="348">
        <v>6.1944000000000001E-3</v>
      </c>
      <c r="F647" s="349">
        <v>9.3560999999999991E-3</v>
      </c>
    </row>
    <row r="648" spans="1:6" ht="12" thickBot="1">
      <c r="A648" s="347">
        <v>40844</v>
      </c>
      <c r="B648" s="348">
        <v>2.4583000000000001E-3</v>
      </c>
      <c r="C648" s="348">
        <v>3.3471999999999998E-3</v>
      </c>
      <c r="D648" s="348">
        <v>4.2944000000000003E-3</v>
      </c>
      <c r="E648" s="348">
        <v>6.1971999999999999E-3</v>
      </c>
      <c r="F648" s="349">
        <v>9.3372000000000004E-3</v>
      </c>
    </row>
    <row r="649" spans="1:6" ht="12" thickBot="1">
      <c r="A649" s="347">
        <v>40843</v>
      </c>
      <c r="B649" s="348">
        <v>2.4583000000000001E-3</v>
      </c>
      <c r="C649" s="348">
        <v>3.3183000000000002E-3</v>
      </c>
      <c r="D649" s="348">
        <v>4.2805999999999999E-3</v>
      </c>
      <c r="E649" s="348">
        <v>6.1888999999999998E-3</v>
      </c>
      <c r="F649" s="349">
        <v>9.3127999999999996E-3</v>
      </c>
    </row>
    <row r="650" spans="1:6" ht="12" thickBot="1">
      <c r="A650" s="347">
        <v>40842</v>
      </c>
      <c r="B650" s="348">
        <v>2.4583000000000001E-3</v>
      </c>
      <c r="C650" s="348">
        <v>3.2921999999999999E-3</v>
      </c>
      <c r="D650" s="348">
        <v>4.2471999999999996E-3</v>
      </c>
      <c r="E650" s="348">
        <v>6.1555999999999998E-3</v>
      </c>
      <c r="F650" s="349">
        <v>9.2717000000000008E-3</v>
      </c>
    </row>
    <row r="651" spans="1:6" ht="12" thickBot="1">
      <c r="A651" s="347">
        <v>40841</v>
      </c>
      <c r="B651" s="348">
        <v>2.4472000000000001E-3</v>
      </c>
      <c r="C651" s="348">
        <v>3.2661000000000001E-3</v>
      </c>
      <c r="D651" s="348">
        <v>4.2221999999999997E-3</v>
      </c>
      <c r="E651" s="348">
        <v>6.1222000000000004E-3</v>
      </c>
      <c r="F651" s="349">
        <v>9.2555999999999992E-3</v>
      </c>
    </row>
    <row r="652" spans="1:6" ht="12" thickBot="1">
      <c r="A652" s="347">
        <v>40840</v>
      </c>
      <c r="B652" s="348">
        <v>2.4472000000000001E-3</v>
      </c>
      <c r="C652" s="348">
        <v>3.2510999999999998E-3</v>
      </c>
      <c r="D652" s="348">
        <v>4.2027999999999996E-3</v>
      </c>
      <c r="E652" s="348">
        <v>6.1000000000000004E-3</v>
      </c>
      <c r="F652" s="349">
        <v>9.2394E-3</v>
      </c>
    </row>
    <row r="653" spans="1:6" ht="12" thickBot="1">
      <c r="A653" s="347">
        <v>40837</v>
      </c>
      <c r="B653" s="348">
        <v>2.4472000000000001E-3</v>
      </c>
      <c r="C653" s="348">
        <v>3.2417000000000001E-3</v>
      </c>
      <c r="D653" s="348">
        <v>4.1833E-3</v>
      </c>
      <c r="E653" s="348">
        <v>6.0667000000000004E-3</v>
      </c>
      <c r="F653" s="349">
        <v>9.2139000000000006E-3</v>
      </c>
    </row>
    <row r="654" spans="1:6" ht="12" thickBot="1">
      <c r="A654" s="347">
        <v>40836</v>
      </c>
      <c r="B654" s="348">
        <v>2.4472000000000001E-3</v>
      </c>
      <c r="C654" s="348">
        <v>3.225E-3</v>
      </c>
      <c r="D654" s="348">
        <v>4.1555999999999997E-3</v>
      </c>
      <c r="E654" s="348">
        <v>6.025E-3</v>
      </c>
      <c r="F654" s="349">
        <v>9.1861000000000009E-3</v>
      </c>
    </row>
    <row r="655" spans="1:6" ht="12" thickBot="1">
      <c r="A655" s="347">
        <v>40835</v>
      </c>
      <c r="B655" s="348">
        <v>2.4472000000000001E-3</v>
      </c>
      <c r="C655" s="348">
        <v>3.2000000000000002E-3</v>
      </c>
      <c r="D655" s="348">
        <v>4.1167E-3</v>
      </c>
      <c r="E655" s="348">
        <v>6.0028E-3</v>
      </c>
      <c r="F655" s="349">
        <v>9.1561000000000003E-3</v>
      </c>
    </row>
    <row r="656" spans="1:6" ht="12" thickBot="1">
      <c r="A656" s="347">
        <v>40834</v>
      </c>
      <c r="B656" s="348">
        <v>2.4472000000000001E-3</v>
      </c>
      <c r="C656" s="348">
        <v>3.1971999999999999E-3</v>
      </c>
      <c r="D656" s="348">
        <v>4.0917000000000002E-3</v>
      </c>
      <c r="E656" s="348">
        <v>5.9778000000000001E-3</v>
      </c>
      <c r="F656" s="349">
        <v>9.1316999999999995E-3</v>
      </c>
    </row>
    <row r="657" spans="1:6" ht="12" thickBot="1">
      <c r="A657" s="347">
        <v>40830</v>
      </c>
      <c r="B657" s="348">
        <v>2.4332999999999998E-3</v>
      </c>
      <c r="C657" s="348">
        <v>3.1683000000000002E-3</v>
      </c>
      <c r="D657" s="348">
        <v>4.0471999999999999E-3</v>
      </c>
      <c r="E657" s="348">
        <v>5.9306000000000003E-3</v>
      </c>
      <c r="F657" s="349">
        <v>9.0950000000000007E-3</v>
      </c>
    </row>
    <row r="658" spans="1:6" ht="12" thickBot="1">
      <c r="A658" s="347">
        <v>40829</v>
      </c>
      <c r="B658" s="348">
        <v>2.4332999999999998E-3</v>
      </c>
      <c r="C658" s="348">
        <v>3.1572000000000002E-3</v>
      </c>
      <c r="D658" s="348">
        <v>4.0305999999999996E-3</v>
      </c>
      <c r="E658" s="348">
        <v>5.9167000000000004E-3</v>
      </c>
      <c r="F658" s="349">
        <v>9.0617000000000007E-3</v>
      </c>
    </row>
    <row r="659" spans="1:6" ht="12" thickBot="1">
      <c r="A659" s="347">
        <v>40828</v>
      </c>
      <c r="B659" s="348">
        <v>2.4321999999999998E-3</v>
      </c>
      <c r="C659" s="348">
        <v>3.1394000000000001E-3</v>
      </c>
      <c r="D659" s="348">
        <v>4.0083000000000002E-3</v>
      </c>
      <c r="E659" s="348">
        <v>5.8805999999999997E-3</v>
      </c>
      <c r="F659" s="349">
        <v>9.0399999999999994E-3</v>
      </c>
    </row>
    <row r="660" spans="1:6" ht="12" thickBot="1">
      <c r="A660" s="347">
        <v>40827</v>
      </c>
      <c r="B660" s="348">
        <v>2.4310999999999998E-3</v>
      </c>
      <c r="C660" s="348">
        <v>3.1272000000000001E-3</v>
      </c>
      <c r="D660" s="348">
        <v>3.9750000000000002E-3</v>
      </c>
      <c r="E660" s="348">
        <v>5.8694000000000003E-3</v>
      </c>
      <c r="F660" s="349">
        <v>9.0133000000000001E-3</v>
      </c>
    </row>
    <row r="661" spans="1:6" ht="12" thickBot="1">
      <c r="A661" s="347">
        <v>40826</v>
      </c>
      <c r="B661" s="348">
        <v>2.4299999999999999E-3</v>
      </c>
      <c r="C661" s="348">
        <v>3.1232999999999999E-3</v>
      </c>
      <c r="D661" s="348">
        <v>3.9417000000000002E-3</v>
      </c>
      <c r="E661" s="348">
        <v>5.8250000000000003E-3</v>
      </c>
      <c r="F661" s="349">
        <v>8.9599999999999992E-3</v>
      </c>
    </row>
    <row r="662" spans="1:6" ht="12" thickBot="1">
      <c r="A662" s="347">
        <v>40823</v>
      </c>
      <c r="B662" s="348">
        <v>2.4288999999999999E-3</v>
      </c>
      <c r="C662" s="348">
        <v>3.1099999999999999E-3</v>
      </c>
      <c r="D662" s="348">
        <v>3.9110999999999998E-3</v>
      </c>
      <c r="E662" s="348">
        <v>5.8056000000000002E-3</v>
      </c>
      <c r="F662" s="349">
        <v>8.9266999999999992E-3</v>
      </c>
    </row>
    <row r="663" spans="1:6" ht="12" thickBot="1">
      <c r="A663" s="347">
        <v>40822</v>
      </c>
      <c r="B663" s="348">
        <v>2.4233000000000002E-3</v>
      </c>
      <c r="C663" s="348">
        <v>3.0821999999999998E-3</v>
      </c>
      <c r="D663" s="348">
        <v>3.8777999999999998E-3</v>
      </c>
      <c r="E663" s="348">
        <v>5.7800000000000004E-3</v>
      </c>
      <c r="F663" s="349">
        <v>8.8850000000000005E-3</v>
      </c>
    </row>
    <row r="664" spans="1:6" ht="12" thickBot="1">
      <c r="A664" s="347">
        <v>40821</v>
      </c>
      <c r="B664" s="348">
        <v>2.4066999999999999E-3</v>
      </c>
      <c r="C664" s="348">
        <v>3.0488999999999998E-3</v>
      </c>
      <c r="D664" s="348">
        <v>3.8360999999999998E-3</v>
      </c>
      <c r="E664" s="348">
        <v>5.6883000000000003E-3</v>
      </c>
      <c r="F664" s="349">
        <v>8.8278000000000002E-3</v>
      </c>
    </row>
    <row r="665" spans="1:6" ht="12" thickBot="1">
      <c r="A665" s="347">
        <v>40820</v>
      </c>
      <c r="B665" s="348">
        <v>2.4110999999999998E-3</v>
      </c>
      <c r="C665" s="348">
        <v>3.0411000000000001E-3</v>
      </c>
      <c r="D665" s="348">
        <v>3.8094000000000001E-3</v>
      </c>
      <c r="E665" s="348">
        <v>5.6699999999999997E-3</v>
      </c>
      <c r="F665" s="349">
        <v>8.7500000000000008E-3</v>
      </c>
    </row>
    <row r="666" spans="1:6" ht="12" thickBot="1">
      <c r="A666" s="347">
        <v>40819</v>
      </c>
      <c r="B666" s="348">
        <v>2.3999999999999998E-3</v>
      </c>
      <c r="C666" s="348">
        <v>3.0249999999999999E-3</v>
      </c>
      <c r="D666" s="348">
        <v>3.7761000000000001E-3</v>
      </c>
      <c r="E666" s="348">
        <v>5.6138999999999998E-3</v>
      </c>
      <c r="F666" s="349">
        <v>8.6882999999999995E-3</v>
      </c>
    </row>
    <row r="667" spans="1:6" ht="12" thickBot="1">
      <c r="A667" s="347">
        <v>40816</v>
      </c>
      <c r="B667" s="348">
        <v>2.3944000000000001E-3</v>
      </c>
      <c r="C667" s="348">
        <v>3.0138999999999999E-3</v>
      </c>
      <c r="D667" s="348">
        <v>3.7433000000000002E-3</v>
      </c>
      <c r="E667" s="348">
        <v>5.5782999999999996E-3</v>
      </c>
      <c r="F667" s="349">
        <v>8.6488999999999993E-3</v>
      </c>
    </row>
    <row r="668" spans="1:6" ht="12" thickBot="1">
      <c r="A668" s="347">
        <v>40815</v>
      </c>
      <c r="B668" s="348">
        <v>2.3944000000000001E-3</v>
      </c>
      <c r="C668" s="348">
        <v>3.0056000000000002E-3</v>
      </c>
      <c r="D668" s="348">
        <v>3.7211000000000002E-3</v>
      </c>
      <c r="E668" s="348">
        <v>5.5393999999999999E-3</v>
      </c>
      <c r="F668" s="349">
        <v>8.5967000000000005E-3</v>
      </c>
    </row>
    <row r="669" spans="1:6" ht="12" thickBot="1">
      <c r="A669" s="347">
        <v>40814</v>
      </c>
      <c r="B669" s="348">
        <v>2.3888999999999998E-3</v>
      </c>
      <c r="C669" s="348">
        <v>2.9978000000000001E-3</v>
      </c>
      <c r="D669" s="348">
        <v>3.6855999999999998E-3</v>
      </c>
      <c r="E669" s="348">
        <v>5.4838999999999999E-3</v>
      </c>
      <c r="F669" s="349">
        <v>8.5488999999999999E-3</v>
      </c>
    </row>
    <row r="670" spans="1:6" ht="12" thickBot="1">
      <c r="A670" s="347">
        <v>40813</v>
      </c>
      <c r="B670" s="348">
        <v>2.3877999999999998E-3</v>
      </c>
      <c r="C670" s="348">
        <v>2.9689E-3</v>
      </c>
      <c r="D670" s="348">
        <v>3.6522E-3</v>
      </c>
      <c r="E670" s="348">
        <v>5.4450000000000002E-3</v>
      </c>
      <c r="F670" s="349">
        <v>8.5155999999999999E-3</v>
      </c>
    </row>
    <row r="671" spans="1:6" ht="12" thickBot="1">
      <c r="A671" s="347">
        <v>40812</v>
      </c>
      <c r="B671" s="348">
        <v>2.3744E-3</v>
      </c>
      <c r="C671" s="348">
        <v>2.9556000000000001E-3</v>
      </c>
      <c r="D671" s="348">
        <v>3.6278E-3</v>
      </c>
      <c r="E671" s="348">
        <v>5.4171999999999996E-3</v>
      </c>
      <c r="F671" s="349">
        <v>8.5010999999999993E-3</v>
      </c>
    </row>
    <row r="672" spans="1:6" ht="12" thickBot="1">
      <c r="A672" s="347">
        <v>40809</v>
      </c>
      <c r="B672" s="348">
        <v>2.3578000000000002E-3</v>
      </c>
      <c r="C672" s="348">
        <v>2.9294E-3</v>
      </c>
      <c r="D672" s="348">
        <v>3.6021999999999998E-3</v>
      </c>
      <c r="E672" s="348">
        <v>5.3956000000000004E-3</v>
      </c>
      <c r="F672" s="349">
        <v>8.4749999999999999E-3</v>
      </c>
    </row>
    <row r="673" spans="1:6" ht="12" thickBot="1">
      <c r="A673" s="347">
        <v>40808</v>
      </c>
      <c r="B673" s="348">
        <v>2.3456000000000002E-3</v>
      </c>
      <c r="C673" s="348">
        <v>2.9033000000000002E-3</v>
      </c>
      <c r="D673" s="348">
        <v>3.5806000000000002E-3</v>
      </c>
      <c r="E673" s="348">
        <v>5.3699999999999998E-3</v>
      </c>
      <c r="F673" s="349">
        <v>8.4493999999999993E-3</v>
      </c>
    </row>
    <row r="674" spans="1:6" ht="12" thickBot="1">
      <c r="A674" s="347">
        <v>40807</v>
      </c>
      <c r="B674" s="348">
        <v>2.3349999999999998E-3</v>
      </c>
      <c r="C674" s="348">
        <v>2.8871999999999999E-3</v>
      </c>
      <c r="D674" s="348">
        <v>3.5555999999999999E-3</v>
      </c>
      <c r="E674" s="348">
        <v>5.2922000000000004E-3</v>
      </c>
      <c r="F674" s="349">
        <v>8.3856E-3</v>
      </c>
    </row>
    <row r="675" spans="1:6" ht="12" thickBot="1">
      <c r="A675" s="347">
        <v>40806</v>
      </c>
      <c r="B675" s="348">
        <v>2.3183000000000001E-3</v>
      </c>
      <c r="C675" s="348">
        <v>2.8678000000000002E-3</v>
      </c>
      <c r="D675" s="348">
        <v>3.5500000000000002E-3</v>
      </c>
      <c r="E675" s="348">
        <v>5.2700000000000004E-3</v>
      </c>
      <c r="F675" s="349">
        <v>8.3744000000000006E-3</v>
      </c>
    </row>
    <row r="676" spans="1:6" ht="12" thickBot="1">
      <c r="A676" s="347">
        <v>40805</v>
      </c>
      <c r="B676" s="348">
        <v>2.3072000000000001E-3</v>
      </c>
      <c r="C676" s="348">
        <v>2.8622000000000001E-3</v>
      </c>
      <c r="D676" s="348">
        <v>3.5249999999999999E-3</v>
      </c>
      <c r="E676" s="348">
        <v>5.2478000000000004E-3</v>
      </c>
      <c r="F676" s="349">
        <v>8.3578000000000003E-3</v>
      </c>
    </row>
    <row r="677" spans="1:6" ht="12" thickBot="1">
      <c r="A677" s="347">
        <v>40802</v>
      </c>
      <c r="B677" s="348">
        <v>2.3050000000000002E-3</v>
      </c>
      <c r="C677" s="348">
        <v>2.8489000000000001E-3</v>
      </c>
      <c r="D677" s="348">
        <v>3.5133E-3</v>
      </c>
      <c r="E677" s="348">
        <v>5.2283E-3</v>
      </c>
      <c r="F677" s="349">
        <v>8.3493999999999999E-3</v>
      </c>
    </row>
    <row r="678" spans="1:6" ht="12" thickBot="1">
      <c r="A678" s="347">
        <v>40801</v>
      </c>
      <c r="B678" s="348">
        <v>2.2994000000000001E-3</v>
      </c>
      <c r="C678" s="348">
        <v>2.8433E-3</v>
      </c>
      <c r="D678" s="348">
        <v>3.5022E-3</v>
      </c>
      <c r="E678" s="348">
        <v>5.2227999999999997E-3</v>
      </c>
      <c r="F678" s="349">
        <v>8.3549999999999996E-3</v>
      </c>
    </row>
    <row r="679" spans="1:6" ht="12" thickBot="1">
      <c r="A679" s="347">
        <v>40800</v>
      </c>
      <c r="B679" s="348">
        <v>2.2939000000000002E-3</v>
      </c>
      <c r="C679" s="348">
        <v>2.8211E-3</v>
      </c>
      <c r="D679" s="348">
        <v>3.4911E-3</v>
      </c>
      <c r="E679" s="348">
        <v>5.2088999999999998E-3</v>
      </c>
      <c r="F679" s="349">
        <v>8.3411000000000006E-3</v>
      </c>
    </row>
    <row r="680" spans="1:6" ht="12" thickBot="1">
      <c r="A680" s="347">
        <v>40799</v>
      </c>
      <c r="B680" s="348">
        <v>2.2899999999999999E-3</v>
      </c>
      <c r="C680" s="348">
        <v>2.8089E-3</v>
      </c>
      <c r="D680" s="348">
        <v>3.4711E-3</v>
      </c>
      <c r="E680" s="348">
        <v>5.1694000000000002E-3</v>
      </c>
      <c r="F680" s="349">
        <v>8.3082999999999994E-3</v>
      </c>
    </row>
    <row r="681" spans="1:6" ht="12" thickBot="1">
      <c r="A681" s="347">
        <v>40798</v>
      </c>
      <c r="B681" s="348">
        <v>2.2861000000000001E-3</v>
      </c>
      <c r="C681" s="348">
        <v>2.7927999999999998E-3</v>
      </c>
      <c r="D681" s="348">
        <v>3.4288999999999999E-3</v>
      </c>
      <c r="E681" s="348">
        <v>5.1327999999999999E-3</v>
      </c>
      <c r="F681" s="349">
        <v>8.2799999999999992E-3</v>
      </c>
    </row>
    <row r="682" spans="1:6" ht="12" thickBot="1">
      <c r="A682" s="347">
        <v>40795</v>
      </c>
      <c r="B682" s="348">
        <v>2.2610999999999998E-3</v>
      </c>
      <c r="C682" s="348">
        <v>2.7528000000000001E-3</v>
      </c>
      <c r="D682" s="348">
        <v>3.3793999999999999E-3</v>
      </c>
      <c r="E682" s="348">
        <v>5.0438999999999996E-3</v>
      </c>
      <c r="F682" s="349">
        <v>8.2132999999999998E-3</v>
      </c>
    </row>
    <row r="683" spans="1:6" ht="12" thickBot="1">
      <c r="A683" s="347">
        <v>40794</v>
      </c>
      <c r="B683" s="348">
        <v>2.2499999999999998E-3</v>
      </c>
      <c r="C683" s="348">
        <v>2.7388999999999998E-3</v>
      </c>
      <c r="D683" s="348">
        <v>3.3682999999999999E-3</v>
      </c>
      <c r="E683" s="348">
        <v>5.0410999999999997E-3</v>
      </c>
      <c r="F683" s="349">
        <v>8.1843999999999997E-3</v>
      </c>
    </row>
    <row r="684" spans="1:6" ht="12" thickBot="1">
      <c r="A684" s="347">
        <v>40793</v>
      </c>
      <c r="B684" s="348">
        <v>2.2610999999999998E-3</v>
      </c>
      <c r="C684" s="348">
        <v>2.7472E-3</v>
      </c>
      <c r="D684" s="348">
        <v>3.3682999999999999E-3</v>
      </c>
      <c r="E684" s="348">
        <v>5.0293999999999998E-3</v>
      </c>
      <c r="F684" s="349">
        <v>8.1539000000000004E-3</v>
      </c>
    </row>
    <row r="685" spans="1:6" ht="12" thickBot="1">
      <c r="A685" s="347">
        <v>40792</v>
      </c>
      <c r="B685" s="348">
        <v>2.2599999999999999E-3</v>
      </c>
      <c r="C685" s="348">
        <v>2.7461E-3</v>
      </c>
      <c r="D685" s="348">
        <v>3.3560999999999999E-3</v>
      </c>
      <c r="E685" s="348">
        <v>5.0160999999999999E-3</v>
      </c>
      <c r="F685" s="349">
        <v>8.1417E-3</v>
      </c>
    </row>
    <row r="686" spans="1:6" ht="12" thickBot="1">
      <c r="A686" s="347">
        <v>40791</v>
      </c>
      <c r="B686" s="348">
        <v>2.2439000000000001E-3</v>
      </c>
      <c r="C686" s="348">
        <v>2.7217000000000001E-3</v>
      </c>
      <c r="D686" s="348">
        <v>3.3278000000000001E-3</v>
      </c>
      <c r="E686" s="348">
        <v>4.9605999999999999E-3</v>
      </c>
      <c r="F686" s="349">
        <v>8.0706000000000007E-3</v>
      </c>
    </row>
    <row r="687" spans="1:6" ht="12" thickBot="1">
      <c r="A687" s="347">
        <v>40788</v>
      </c>
      <c r="B687" s="348">
        <v>2.2177999999999998E-3</v>
      </c>
      <c r="C687" s="348">
        <v>2.7066999999999998E-3</v>
      </c>
      <c r="D687" s="348">
        <v>3.3056000000000001E-3</v>
      </c>
      <c r="E687" s="348">
        <v>4.9039000000000001E-3</v>
      </c>
      <c r="F687" s="349">
        <v>8.0321999999999998E-3</v>
      </c>
    </row>
    <row r="688" spans="1:6" ht="12" thickBot="1">
      <c r="A688" s="347">
        <v>40787</v>
      </c>
      <c r="B688" s="348">
        <v>2.215E-3</v>
      </c>
      <c r="C688" s="348">
        <v>2.6900000000000001E-3</v>
      </c>
      <c r="D688" s="348">
        <v>3.2943999999999998E-3</v>
      </c>
      <c r="E688" s="348">
        <v>4.8878000000000003E-3</v>
      </c>
      <c r="F688" s="349">
        <v>8.0216999999999997E-3</v>
      </c>
    </row>
    <row r="689" spans="1:6" ht="12" thickBot="1">
      <c r="A689" s="347">
        <v>40786</v>
      </c>
      <c r="B689" s="348">
        <v>2.215E-3</v>
      </c>
      <c r="C689" s="348">
        <v>2.6867000000000002E-3</v>
      </c>
      <c r="D689" s="348">
        <v>3.2721999999999998E-3</v>
      </c>
      <c r="E689" s="348">
        <v>4.8577999999999998E-3</v>
      </c>
      <c r="F689" s="349">
        <v>8.0000000000000002E-3</v>
      </c>
    </row>
    <row r="690" spans="1:6" ht="12" thickBot="1">
      <c r="A690" s="347">
        <v>40785</v>
      </c>
      <c r="B690" s="348">
        <v>2.215E-3</v>
      </c>
      <c r="C690" s="348">
        <v>2.6744E-3</v>
      </c>
      <c r="D690" s="348">
        <v>3.2556E-3</v>
      </c>
      <c r="E690" s="348">
        <v>4.8332999999999996E-3</v>
      </c>
      <c r="F690" s="349">
        <v>7.9810999999999997E-3</v>
      </c>
    </row>
    <row r="691" spans="1:6" ht="12" thickBot="1">
      <c r="A691" s="347">
        <v>40784</v>
      </c>
      <c r="B691" s="348">
        <v>2.2093999999999998E-3</v>
      </c>
      <c r="C691" s="348">
        <v>2.6633E-3</v>
      </c>
      <c r="D691" s="348">
        <v>3.2277999999999999E-3</v>
      </c>
      <c r="E691" s="348">
        <v>4.7993999999999997E-3</v>
      </c>
      <c r="F691" s="349">
        <v>7.9588999999999997E-3</v>
      </c>
    </row>
    <row r="692" spans="1:6" ht="12" thickBot="1">
      <c r="A692" s="347">
        <v>40781</v>
      </c>
      <c r="B692" s="348">
        <v>2.2093999999999998E-3</v>
      </c>
      <c r="C692" s="348">
        <v>2.6633E-3</v>
      </c>
      <c r="D692" s="348">
        <v>3.2277999999999999E-3</v>
      </c>
      <c r="E692" s="348">
        <v>4.7993999999999997E-3</v>
      </c>
      <c r="F692" s="349">
        <v>7.9588999999999997E-3</v>
      </c>
    </row>
    <row r="693" spans="1:6" ht="12" thickBot="1">
      <c r="A693" s="347">
        <v>40780</v>
      </c>
      <c r="B693" s="348">
        <v>2.2082999999999998E-3</v>
      </c>
      <c r="C693" s="348">
        <v>2.6556000000000001E-3</v>
      </c>
      <c r="D693" s="348">
        <v>3.1900000000000001E-3</v>
      </c>
      <c r="E693" s="348">
        <v>4.8028000000000003E-3</v>
      </c>
      <c r="F693" s="349">
        <v>7.9789000000000006E-3</v>
      </c>
    </row>
    <row r="694" spans="1:6" ht="12" thickBot="1">
      <c r="A694" s="347">
        <v>40779</v>
      </c>
      <c r="B694" s="348">
        <v>2.1894000000000002E-3</v>
      </c>
      <c r="C694" s="348">
        <v>2.6305999999999999E-3</v>
      </c>
      <c r="D694" s="348">
        <v>3.1427999999999998E-3</v>
      </c>
      <c r="E694" s="348">
        <v>4.7638999999999997E-3</v>
      </c>
      <c r="F694" s="349">
        <v>7.9456000000000006E-3</v>
      </c>
    </row>
    <row r="695" spans="1:6" ht="12" thickBot="1">
      <c r="A695" s="347">
        <v>40778</v>
      </c>
      <c r="B695" s="348">
        <v>2.1838999999999999E-3</v>
      </c>
      <c r="C695" s="348">
        <v>2.6083E-3</v>
      </c>
      <c r="D695" s="348">
        <v>3.1178E-3</v>
      </c>
      <c r="E695" s="348">
        <v>4.7527999999999997E-3</v>
      </c>
      <c r="F695" s="349">
        <v>7.9232999999999994E-3</v>
      </c>
    </row>
    <row r="696" spans="1:6" ht="12" thickBot="1">
      <c r="A696" s="347">
        <v>40777</v>
      </c>
      <c r="B696" s="348">
        <v>2.1678000000000001E-3</v>
      </c>
      <c r="C696" s="348">
        <v>2.5777999999999999E-3</v>
      </c>
      <c r="D696" s="348">
        <v>3.0844000000000002E-3</v>
      </c>
      <c r="E696" s="348">
        <v>4.7111000000000002E-3</v>
      </c>
      <c r="F696" s="349">
        <v>7.8817000000000002E-3</v>
      </c>
    </row>
    <row r="697" spans="1:6" ht="12" thickBot="1">
      <c r="A697" s="347">
        <v>40774</v>
      </c>
      <c r="B697" s="348">
        <v>2.1543999999999999E-3</v>
      </c>
      <c r="C697" s="348">
        <v>2.5588999999999998E-3</v>
      </c>
      <c r="D697" s="348">
        <v>3.0300000000000001E-3</v>
      </c>
      <c r="E697" s="348">
        <v>4.6705999999999996E-3</v>
      </c>
      <c r="F697" s="349">
        <v>7.8438999999999991E-3</v>
      </c>
    </row>
    <row r="698" spans="1:6" ht="12" thickBot="1">
      <c r="A698" s="347">
        <v>40773</v>
      </c>
      <c r="B698" s="348">
        <v>2.1299999999999999E-3</v>
      </c>
      <c r="C698" s="348">
        <v>2.5233E-3</v>
      </c>
      <c r="D698" s="348">
        <v>2.9778000000000001E-3</v>
      </c>
      <c r="E698" s="348">
        <v>4.6293999999999997E-3</v>
      </c>
      <c r="F698" s="349">
        <v>7.8017E-3</v>
      </c>
    </row>
    <row r="699" spans="1:6" ht="12" thickBot="1">
      <c r="A699" s="347">
        <v>40772</v>
      </c>
      <c r="B699" s="348">
        <v>2.1243999999999998E-3</v>
      </c>
      <c r="C699" s="348">
        <v>2.5111000000000001E-3</v>
      </c>
      <c r="D699" s="348">
        <v>2.9589E-3</v>
      </c>
      <c r="E699" s="348">
        <v>4.5982999999999996E-3</v>
      </c>
      <c r="F699" s="349">
        <v>7.7761000000000002E-3</v>
      </c>
    </row>
    <row r="700" spans="1:6" ht="12" thickBot="1">
      <c r="A700" s="347">
        <v>40771</v>
      </c>
      <c r="B700" s="348">
        <v>2.1021999999999998E-3</v>
      </c>
      <c r="C700" s="348">
        <v>2.5056000000000002E-3</v>
      </c>
      <c r="D700" s="348">
        <v>2.9283E-3</v>
      </c>
      <c r="E700" s="348">
        <v>4.5982999999999996E-3</v>
      </c>
      <c r="F700" s="349">
        <v>7.7593999999999996E-3</v>
      </c>
    </row>
    <row r="701" spans="1:6" ht="12" thickBot="1">
      <c r="A701" s="347">
        <v>40767</v>
      </c>
      <c r="B701" s="348">
        <v>2.0833000000000002E-3</v>
      </c>
      <c r="C701" s="348">
        <v>2.4978000000000001E-3</v>
      </c>
      <c r="D701" s="348">
        <v>2.9006000000000001E-3</v>
      </c>
      <c r="E701" s="348">
        <v>4.5672000000000004E-3</v>
      </c>
      <c r="F701" s="349">
        <v>7.7282999999999996E-3</v>
      </c>
    </row>
    <row r="702" spans="1:6" ht="12" thickBot="1">
      <c r="A702" s="347">
        <v>40766</v>
      </c>
      <c r="B702" s="348">
        <v>2.0722000000000002E-3</v>
      </c>
      <c r="C702" s="348">
        <v>2.4589E-3</v>
      </c>
      <c r="D702" s="348">
        <v>2.8617E-3</v>
      </c>
      <c r="E702" s="348">
        <v>4.5183000000000003E-3</v>
      </c>
      <c r="F702" s="349">
        <v>7.6961E-3</v>
      </c>
    </row>
    <row r="703" spans="1:6" ht="12" thickBot="1">
      <c r="A703" s="347">
        <v>40765</v>
      </c>
      <c r="B703" s="348">
        <v>2.0711000000000002E-3</v>
      </c>
      <c r="C703" s="348">
        <v>2.4244000000000002E-3</v>
      </c>
      <c r="D703" s="348">
        <v>2.8061000000000002E-3</v>
      </c>
      <c r="E703" s="348">
        <v>4.4828000000000003E-3</v>
      </c>
      <c r="F703" s="349">
        <v>7.6661000000000003E-3</v>
      </c>
    </row>
    <row r="704" spans="1:6" ht="12" thickBot="1">
      <c r="A704" s="347">
        <v>40764</v>
      </c>
      <c r="B704" s="348">
        <v>2.0799999999999998E-3</v>
      </c>
      <c r="C704" s="348">
        <v>2.4022000000000002E-3</v>
      </c>
      <c r="D704" s="348">
        <v>2.7839000000000002E-3</v>
      </c>
      <c r="E704" s="348">
        <v>4.4828000000000003E-3</v>
      </c>
      <c r="F704" s="349">
        <v>7.6994000000000003E-3</v>
      </c>
    </row>
    <row r="705" spans="1:6" ht="12" thickBot="1">
      <c r="A705" s="347">
        <v>40763</v>
      </c>
      <c r="B705" s="348">
        <v>2.0577999999999998E-3</v>
      </c>
      <c r="C705" s="348">
        <v>2.3578000000000002E-3</v>
      </c>
      <c r="D705" s="348">
        <v>2.7477999999999999E-3</v>
      </c>
      <c r="E705" s="348">
        <v>4.4333000000000003E-3</v>
      </c>
      <c r="F705" s="349">
        <v>7.6667000000000003E-3</v>
      </c>
    </row>
    <row r="706" spans="1:6" ht="12" thickBot="1">
      <c r="A706" s="347">
        <v>40760</v>
      </c>
      <c r="B706" s="348">
        <v>2.055E-3</v>
      </c>
      <c r="C706" s="348">
        <v>2.3494000000000002E-3</v>
      </c>
      <c r="D706" s="348">
        <v>2.7160999999999999E-3</v>
      </c>
      <c r="E706" s="348">
        <v>4.4278E-3</v>
      </c>
      <c r="F706" s="349">
        <v>7.6471999999999998E-3</v>
      </c>
    </row>
    <row r="707" spans="1:6" ht="12" thickBot="1">
      <c r="A707" s="347">
        <v>40759</v>
      </c>
      <c r="B707" s="348">
        <v>2.0506000000000001E-3</v>
      </c>
      <c r="C707" s="348">
        <v>2.3283000000000002E-3</v>
      </c>
      <c r="D707" s="348">
        <v>2.6938999999999999E-3</v>
      </c>
      <c r="E707" s="348">
        <v>4.4056E-3</v>
      </c>
      <c r="F707" s="349">
        <v>7.6610999999999997E-3</v>
      </c>
    </row>
    <row r="708" spans="1:6" ht="12" thickBot="1">
      <c r="A708" s="347">
        <v>40758</v>
      </c>
      <c r="B708" s="348">
        <v>2.0555999999999999E-3</v>
      </c>
      <c r="C708" s="348">
        <v>2.3256000000000001E-3</v>
      </c>
      <c r="D708" s="348">
        <v>2.6827999999999999E-3</v>
      </c>
      <c r="E708" s="348">
        <v>4.4028000000000001E-3</v>
      </c>
      <c r="F708" s="349">
        <v>7.6499999999999997E-3</v>
      </c>
    </row>
    <row r="709" spans="1:6" ht="12" thickBot="1">
      <c r="A709" s="347">
        <v>40757</v>
      </c>
      <c r="B709" s="348">
        <v>2.0083000000000002E-3</v>
      </c>
      <c r="C709" s="348">
        <v>2.2972000000000001E-3</v>
      </c>
      <c r="D709" s="348">
        <v>2.6443999999999999E-3</v>
      </c>
      <c r="E709" s="348">
        <v>4.3750000000000004E-3</v>
      </c>
      <c r="F709" s="349">
        <v>7.6306000000000004E-3</v>
      </c>
    </row>
    <row r="710" spans="1:6" ht="12" thickBot="1">
      <c r="A710" s="347">
        <v>40756</v>
      </c>
      <c r="B710" s="348">
        <v>1.9206E-3</v>
      </c>
      <c r="C710" s="348">
        <v>2.2277999999999998E-3</v>
      </c>
      <c r="D710" s="348">
        <v>2.5722000000000002E-3</v>
      </c>
      <c r="E710" s="348">
        <v>4.3166999999999997E-3</v>
      </c>
      <c r="F710" s="349">
        <v>7.5944000000000003E-3</v>
      </c>
    </row>
    <row r="711" spans="1:6" ht="12" thickBot="1">
      <c r="A711" s="347">
        <v>40753</v>
      </c>
      <c r="B711" s="348">
        <v>1.9109999999999999E-3</v>
      </c>
      <c r="C711" s="348">
        <v>2.2074999999999998E-3</v>
      </c>
      <c r="D711" s="348">
        <v>2.555E-3</v>
      </c>
      <c r="E711" s="348">
        <v>4.3024999999999999E-3</v>
      </c>
      <c r="F711" s="349">
        <v>7.6024999999999999E-3</v>
      </c>
    </row>
    <row r="712" spans="1:6" ht="12" thickBot="1">
      <c r="A712" s="347">
        <v>40752</v>
      </c>
      <c r="B712" s="348">
        <v>1.8825000000000001E-3</v>
      </c>
      <c r="C712" s="348">
        <v>2.1974999999999998E-3</v>
      </c>
      <c r="D712" s="348">
        <v>2.5395000000000001E-3</v>
      </c>
      <c r="E712" s="348">
        <v>4.2849999999999997E-3</v>
      </c>
      <c r="F712" s="349">
        <v>7.5775E-3</v>
      </c>
    </row>
    <row r="713" spans="1:6" ht="12" thickBot="1">
      <c r="A713" s="347">
        <v>40751</v>
      </c>
      <c r="B713" s="348">
        <v>1.8725E-3</v>
      </c>
      <c r="C713" s="348">
        <v>2.1925E-3</v>
      </c>
      <c r="D713" s="348">
        <v>2.5284999999999999E-3</v>
      </c>
      <c r="E713" s="348">
        <v>4.2624999999999998E-3</v>
      </c>
      <c r="F713" s="349">
        <v>7.5599999999999999E-3</v>
      </c>
    </row>
    <row r="714" spans="1:6" ht="12" thickBot="1">
      <c r="A714" s="347">
        <v>40750</v>
      </c>
      <c r="B714" s="348">
        <v>1.8725E-3</v>
      </c>
      <c r="C714" s="348">
        <v>2.1925E-3</v>
      </c>
      <c r="D714" s="348">
        <v>2.526E-3</v>
      </c>
      <c r="E714" s="348">
        <v>4.2500000000000003E-3</v>
      </c>
      <c r="F714" s="349">
        <v>7.5475000000000004E-3</v>
      </c>
    </row>
    <row r="715" spans="1:6" ht="12" thickBot="1">
      <c r="A715" s="347">
        <v>40749</v>
      </c>
      <c r="B715" s="348">
        <v>1.8725E-3</v>
      </c>
      <c r="C715" s="348">
        <v>2.1925E-3</v>
      </c>
      <c r="D715" s="348">
        <v>2.5209999999999998E-3</v>
      </c>
      <c r="E715" s="348">
        <v>4.2449999999999996E-3</v>
      </c>
      <c r="F715" s="349">
        <v>7.5424999999999997E-3</v>
      </c>
    </row>
    <row r="716" spans="1:6" ht="12" thickBot="1">
      <c r="A716" s="347">
        <v>40746</v>
      </c>
      <c r="B716" s="348">
        <v>1.8725E-3</v>
      </c>
      <c r="C716" s="348">
        <v>2.1925E-3</v>
      </c>
      <c r="D716" s="348">
        <v>2.5300000000000001E-3</v>
      </c>
      <c r="E716" s="348">
        <v>4.2249999999999996E-3</v>
      </c>
      <c r="F716" s="349">
        <v>7.5224999999999997E-3</v>
      </c>
    </row>
    <row r="717" spans="1:6" ht="12" thickBot="1">
      <c r="A717" s="347">
        <v>40745</v>
      </c>
      <c r="B717" s="348">
        <v>1.8725E-3</v>
      </c>
      <c r="C717" s="348">
        <v>2.1925E-3</v>
      </c>
      <c r="D717" s="348">
        <v>2.5300000000000001E-3</v>
      </c>
      <c r="E717" s="348">
        <v>4.235E-3</v>
      </c>
      <c r="F717" s="349">
        <v>7.5174999999999999E-3</v>
      </c>
    </row>
    <row r="718" spans="1:6" ht="12" thickBot="1">
      <c r="A718" s="347">
        <v>40743</v>
      </c>
      <c r="B718" s="348">
        <v>1.8625E-3</v>
      </c>
      <c r="C718" s="348">
        <v>2.1875000000000002E-3</v>
      </c>
      <c r="D718" s="348">
        <v>2.5200000000000001E-3</v>
      </c>
      <c r="E718" s="348">
        <v>4.2300000000000003E-3</v>
      </c>
      <c r="F718" s="349">
        <v>7.4974999999999998E-3</v>
      </c>
    </row>
    <row r="719" spans="1:6" ht="12" thickBot="1">
      <c r="A719" s="347">
        <v>40742</v>
      </c>
      <c r="B719" s="348">
        <v>1.8625E-3</v>
      </c>
      <c r="C719" s="348">
        <v>2.1849999999999999E-3</v>
      </c>
      <c r="D719" s="348">
        <v>2.5125E-3</v>
      </c>
      <c r="E719" s="348">
        <v>4.1999999999999997E-3</v>
      </c>
      <c r="F719" s="349">
        <v>7.4850000000000003E-3</v>
      </c>
    </row>
    <row r="720" spans="1:6" ht="12" thickBot="1">
      <c r="A720" s="347">
        <v>40739</v>
      </c>
      <c r="B720" s="348">
        <v>1.8575E-3</v>
      </c>
      <c r="C720" s="348">
        <v>2.1695E-3</v>
      </c>
      <c r="D720" s="348">
        <v>2.4605E-3</v>
      </c>
      <c r="E720" s="348">
        <v>4.0274999999999998E-3</v>
      </c>
      <c r="F720" s="349">
        <v>7.3474999999999999E-3</v>
      </c>
    </row>
    <row r="721" spans="1:6" ht="12" thickBot="1">
      <c r="A721" s="347">
        <v>40738</v>
      </c>
      <c r="B721" s="348">
        <v>1.8649999999999999E-3</v>
      </c>
      <c r="C721" s="348">
        <v>2.1795E-3</v>
      </c>
      <c r="D721" s="348">
        <v>2.4975000000000002E-3</v>
      </c>
      <c r="E721" s="348">
        <v>4.1574999999999997E-3</v>
      </c>
      <c r="F721" s="349">
        <v>7.43E-3</v>
      </c>
    </row>
    <row r="722" spans="1:6" ht="12" thickBot="1">
      <c r="A722" s="347">
        <v>40737</v>
      </c>
      <c r="B722" s="348">
        <v>1.8649999999999999E-3</v>
      </c>
      <c r="C722" s="348">
        <v>2.1795E-3</v>
      </c>
      <c r="D722" s="348">
        <v>2.4924999999999999E-3</v>
      </c>
      <c r="E722" s="348">
        <v>4.1324999999999999E-3</v>
      </c>
      <c r="F722" s="349">
        <v>7.4250000000000002E-3</v>
      </c>
    </row>
    <row r="723" spans="1:6" ht="12" thickBot="1">
      <c r="A723" s="347">
        <v>40736</v>
      </c>
      <c r="B723" s="348">
        <v>1.8649999999999999E-3</v>
      </c>
      <c r="C723" s="348">
        <v>2.1795E-3</v>
      </c>
      <c r="D723" s="348">
        <v>2.49E-3</v>
      </c>
      <c r="E723" s="348">
        <v>4.0974999999999996E-3</v>
      </c>
      <c r="F723" s="349">
        <v>7.4050000000000001E-3</v>
      </c>
    </row>
    <row r="724" spans="1:6" ht="12" thickBot="1">
      <c r="A724" s="347">
        <v>40735</v>
      </c>
      <c r="B724" s="348">
        <v>1.8575E-3</v>
      </c>
      <c r="C724" s="348">
        <v>2.1695E-3</v>
      </c>
      <c r="D724" s="348">
        <v>2.4605E-3</v>
      </c>
      <c r="E724" s="348">
        <v>4.0274999999999998E-3</v>
      </c>
      <c r="F724" s="349">
        <v>7.3474999999999999E-3</v>
      </c>
    </row>
    <row r="725" spans="1:6" ht="12" thickBot="1">
      <c r="A725" s="347">
        <v>40732</v>
      </c>
      <c r="B725" s="348">
        <v>1.8575E-3</v>
      </c>
      <c r="C725" s="348">
        <v>2.1695E-3</v>
      </c>
      <c r="D725" s="348">
        <v>2.4605E-3</v>
      </c>
      <c r="E725" s="348">
        <v>3.9874999999999997E-3</v>
      </c>
      <c r="F725" s="349">
        <v>7.3575000000000003E-3</v>
      </c>
    </row>
    <row r="726" spans="1:6" ht="12" thickBot="1">
      <c r="A726" s="347">
        <v>40731</v>
      </c>
      <c r="B726" s="348">
        <v>1.8575E-3</v>
      </c>
      <c r="C726" s="348">
        <v>2.1695E-3</v>
      </c>
      <c r="D726" s="348">
        <v>2.4605E-3</v>
      </c>
      <c r="E726" s="348">
        <v>3.9874999999999997E-3</v>
      </c>
      <c r="F726" s="349">
        <v>7.3524999999999997E-3</v>
      </c>
    </row>
    <row r="727" spans="1:6" ht="12" thickBot="1">
      <c r="A727" s="347">
        <v>40730</v>
      </c>
      <c r="B727" s="348">
        <v>1.8525E-3</v>
      </c>
      <c r="C727" s="348">
        <v>2.1675000000000002E-3</v>
      </c>
      <c r="D727" s="348">
        <v>2.4575E-3</v>
      </c>
      <c r="E727" s="348">
        <v>3.9874999999999997E-3</v>
      </c>
      <c r="F727" s="349">
        <v>7.3499999999999998E-3</v>
      </c>
    </row>
    <row r="728" spans="1:6" ht="12" thickBot="1">
      <c r="A728" s="347">
        <v>40729</v>
      </c>
      <c r="B728" s="348">
        <v>1.8504999999999999E-3</v>
      </c>
      <c r="C728" s="348">
        <v>2.1675000000000002E-3</v>
      </c>
      <c r="D728" s="348">
        <v>2.4575E-3</v>
      </c>
      <c r="E728" s="348">
        <v>3.9725000000000003E-3</v>
      </c>
      <c r="F728" s="349">
        <v>7.345E-3</v>
      </c>
    </row>
    <row r="729" spans="1:6" ht="12" thickBot="1">
      <c r="A729" s="347">
        <v>40725</v>
      </c>
      <c r="B729" s="348">
        <v>1.8504999999999999E-3</v>
      </c>
      <c r="C729" s="348">
        <v>2.1675000000000002E-3</v>
      </c>
      <c r="D729" s="348">
        <v>2.4575E-3</v>
      </c>
      <c r="E729" s="348">
        <v>3.9725000000000003E-3</v>
      </c>
      <c r="F729" s="349">
        <v>7.3400000000000002E-3</v>
      </c>
    </row>
    <row r="730" spans="1:6" ht="12" thickBot="1">
      <c r="A730" s="347">
        <v>40724</v>
      </c>
      <c r="B730" s="348">
        <v>1.8554999999999999E-3</v>
      </c>
      <c r="C730" s="348">
        <v>2.1725E-3</v>
      </c>
      <c r="D730" s="348">
        <v>2.4575E-3</v>
      </c>
      <c r="E730" s="348">
        <v>3.9775000000000001E-3</v>
      </c>
      <c r="F730" s="349">
        <v>7.3350000000000004E-3</v>
      </c>
    </row>
    <row r="731" spans="1:6" ht="12" thickBot="1">
      <c r="A731" s="347">
        <v>40723</v>
      </c>
      <c r="B731" s="348">
        <v>1.8554999999999999E-3</v>
      </c>
      <c r="C731" s="348">
        <v>2.1725E-3</v>
      </c>
      <c r="D731" s="348">
        <v>2.4575E-3</v>
      </c>
      <c r="E731" s="348">
        <v>4.0025E-3</v>
      </c>
      <c r="F731" s="349">
        <v>7.3499999999999998E-3</v>
      </c>
    </row>
    <row r="732" spans="1:6" ht="12" thickBot="1">
      <c r="A732" s="347">
        <v>40722</v>
      </c>
      <c r="B732" s="348">
        <v>1.8554999999999999E-3</v>
      </c>
      <c r="C732" s="348">
        <v>2.1725E-3</v>
      </c>
      <c r="D732" s="348">
        <v>2.4575E-3</v>
      </c>
      <c r="E732" s="348">
        <v>4.0074999999999998E-3</v>
      </c>
      <c r="F732" s="349">
        <v>7.3499999999999998E-3</v>
      </c>
    </row>
    <row r="733" spans="1:6" ht="12" thickBot="1">
      <c r="A733" s="347">
        <v>40718</v>
      </c>
      <c r="B733" s="348">
        <v>1.8554999999999999E-3</v>
      </c>
      <c r="C733" s="348">
        <v>2.1749999999999999E-3</v>
      </c>
      <c r="D733" s="348">
        <v>2.4624999999999998E-3</v>
      </c>
      <c r="E733" s="348">
        <v>3.9674999999999997E-3</v>
      </c>
      <c r="F733" s="349">
        <v>7.2874999999999997E-3</v>
      </c>
    </row>
    <row r="734" spans="1:6" ht="12" thickBot="1">
      <c r="A734" s="347">
        <v>40717</v>
      </c>
      <c r="B734" s="348">
        <v>1.8580000000000001E-3</v>
      </c>
      <c r="C734" s="348">
        <v>2.1749999999999999E-3</v>
      </c>
      <c r="D734" s="348">
        <v>2.4650000000000002E-3</v>
      </c>
      <c r="E734" s="348">
        <v>3.9575000000000001E-3</v>
      </c>
      <c r="F734" s="349">
        <v>7.2725000000000003E-3</v>
      </c>
    </row>
    <row r="735" spans="1:6" ht="12" thickBot="1">
      <c r="A735" s="347">
        <v>40716</v>
      </c>
      <c r="B735" s="348">
        <v>1.8580000000000001E-3</v>
      </c>
      <c r="C735" s="348">
        <v>2.1749999999999999E-3</v>
      </c>
      <c r="D735" s="348">
        <v>2.4550000000000002E-3</v>
      </c>
      <c r="E735" s="348">
        <v>3.9474999999999996E-3</v>
      </c>
      <c r="F735" s="349">
        <v>7.2624999999999999E-3</v>
      </c>
    </row>
    <row r="736" spans="1:6" ht="12" thickBot="1">
      <c r="A736" s="347">
        <v>40715</v>
      </c>
      <c r="B736" s="348">
        <v>1.8580000000000001E-3</v>
      </c>
      <c r="C736" s="348">
        <v>2.1749999999999999E-3</v>
      </c>
      <c r="D736" s="348">
        <v>2.4550000000000002E-3</v>
      </c>
      <c r="E736" s="348">
        <v>3.9474999999999996E-3</v>
      </c>
      <c r="F736" s="349">
        <v>7.2775000000000001E-3</v>
      </c>
    </row>
    <row r="737" spans="1:6" ht="12" thickBot="1">
      <c r="A737" s="347">
        <v>40714</v>
      </c>
      <c r="B737" s="348">
        <v>1.8580000000000001E-3</v>
      </c>
      <c r="C737" s="348">
        <v>2.1749999999999999E-3</v>
      </c>
      <c r="D737" s="348">
        <v>2.4650000000000002E-3</v>
      </c>
      <c r="E737" s="348">
        <v>3.9474999999999996E-3</v>
      </c>
      <c r="F737" s="349">
        <v>7.2775000000000001E-3</v>
      </c>
    </row>
    <row r="738" spans="1:6" ht="12" thickBot="1">
      <c r="A738" s="347">
        <v>40711</v>
      </c>
      <c r="B738" s="348">
        <v>1.8580000000000001E-3</v>
      </c>
      <c r="C738" s="348">
        <v>2.1749999999999999E-3</v>
      </c>
      <c r="D738" s="348">
        <v>2.4650000000000002E-3</v>
      </c>
      <c r="E738" s="348">
        <v>3.9500000000000004E-3</v>
      </c>
      <c r="F738" s="349">
        <v>7.2775000000000001E-3</v>
      </c>
    </row>
    <row r="739" spans="1:6" ht="12" thickBot="1">
      <c r="A739" s="347">
        <v>40710</v>
      </c>
      <c r="B739" s="348">
        <v>1.8580000000000001E-3</v>
      </c>
      <c r="C739" s="348">
        <v>2.1749999999999999E-3</v>
      </c>
      <c r="D739" s="348">
        <v>2.4650000000000002E-3</v>
      </c>
      <c r="E739" s="348">
        <v>3.9500000000000004E-3</v>
      </c>
      <c r="F739" s="349">
        <v>7.2725000000000003E-3</v>
      </c>
    </row>
    <row r="740" spans="1:6" ht="12" thickBot="1">
      <c r="A740" s="347">
        <v>40709</v>
      </c>
      <c r="B740" s="348">
        <v>1.853E-3</v>
      </c>
      <c r="C740" s="348">
        <v>2.1700000000000001E-3</v>
      </c>
      <c r="D740" s="348">
        <v>2.4499999999999999E-3</v>
      </c>
      <c r="E740" s="348">
        <v>3.9325000000000002E-3</v>
      </c>
      <c r="F740" s="349">
        <v>7.2125000000000002E-3</v>
      </c>
    </row>
    <row r="741" spans="1:6" ht="12" thickBot="1">
      <c r="A741" s="347">
        <v>40708</v>
      </c>
      <c r="B741" s="348">
        <v>1.8554999999999999E-3</v>
      </c>
      <c r="C741" s="348">
        <v>2.1725E-3</v>
      </c>
      <c r="D741" s="348">
        <v>2.4524999999999998E-3</v>
      </c>
      <c r="E741" s="348">
        <v>3.9350000000000001E-3</v>
      </c>
      <c r="F741" s="349">
        <v>7.2024999999999997E-3</v>
      </c>
    </row>
    <row r="742" spans="1:6" ht="12" thickBot="1">
      <c r="A742" s="347">
        <v>40707</v>
      </c>
      <c r="B742" s="348">
        <v>1.8705E-3</v>
      </c>
      <c r="C742" s="348">
        <v>2.1875000000000002E-3</v>
      </c>
      <c r="D742" s="348">
        <v>2.47E-3</v>
      </c>
      <c r="E742" s="348">
        <v>3.9449999999999997E-3</v>
      </c>
      <c r="F742" s="349">
        <v>7.2024999999999997E-3</v>
      </c>
    </row>
    <row r="743" spans="1:6" ht="12" thickBot="1">
      <c r="A743" s="347">
        <v>40704</v>
      </c>
      <c r="B743" s="348">
        <v>1.8855E-3</v>
      </c>
      <c r="C743" s="348">
        <v>2.2025E-3</v>
      </c>
      <c r="D743" s="348">
        <v>2.4849999999999998E-3</v>
      </c>
      <c r="E743" s="348">
        <v>3.9674999999999997E-3</v>
      </c>
      <c r="F743" s="349">
        <v>7.2249999999999997E-3</v>
      </c>
    </row>
    <row r="744" spans="1:6" ht="12" thickBot="1">
      <c r="A744" s="347">
        <v>40703</v>
      </c>
      <c r="B744" s="348">
        <v>1.8955E-3</v>
      </c>
      <c r="C744" s="348">
        <v>2.2125000000000001E-3</v>
      </c>
      <c r="D744" s="348">
        <v>2.4949999999999998E-3</v>
      </c>
      <c r="E744" s="348">
        <v>3.9674999999999997E-3</v>
      </c>
      <c r="F744" s="349">
        <v>7.2249999999999997E-3</v>
      </c>
    </row>
    <row r="745" spans="1:6" ht="12" thickBot="1">
      <c r="A745" s="347">
        <v>40702</v>
      </c>
      <c r="B745" s="348">
        <v>1.8955E-3</v>
      </c>
      <c r="C745" s="348">
        <v>2.2225000000000001E-3</v>
      </c>
      <c r="D745" s="348">
        <v>2.5025E-3</v>
      </c>
      <c r="E745" s="348">
        <v>3.9775000000000001E-3</v>
      </c>
      <c r="F745" s="349">
        <v>7.2175E-3</v>
      </c>
    </row>
    <row r="746" spans="1:6" ht="12" thickBot="1">
      <c r="A746" s="347">
        <v>40701</v>
      </c>
      <c r="B746" s="348">
        <v>1.8955E-3</v>
      </c>
      <c r="C746" s="348">
        <v>2.2225000000000001E-3</v>
      </c>
      <c r="D746" s="348">
        <v>2.5175000000000002E-3</v>
      </c>
      <c r="E746" s="348">
        <v>4.0000000000000001E-3</v>
      </c>
      <c r="F746" s="349">
        <v>7.2500000000000004E-3</v>
      </c>
    </row>
    <row r="747" spans="1:6" ht="12" thickBot="1">
      <c r="A747" s="347">
        <v>40697</v>
      </c>
      <c r="B747" s="348">
        <v>1.8979999999999999E-3</v>
      </c>
      <c r="C747" s="348">
        <v>2.2325000000000001E-3</v>
      </c>
      <c r="D747" s="348">
        <v>2.5200000000000001E-3</v>
      </c>
      <c r="E747" s="348">
        <v>4.0099999999999997E-3</v>
      </c>
      <c r="F747" s="349">
        <v>7.2725000000000003E-3</v>
      </c>
    </row>
    <row r="748" spans="1:6" ht="12" thickBot="1">
      <c r="A748" s="347">
        <v>40696</v>
      </c>
      <c r="B748" s="348">
        <v>1.9017999999999999E-3</v>
      </c>
      <c r="C748" s="348">
        <v>2.2338000000000002E-3</v>
      </c>
      <c r="D748" s="348">
        <v>2.5200000000000001E-3</v>
      </c>
      <c r="E748" s="348">
        <v>4.0137999999999997E-3</v>
      </c>
      <c r="F748" s="349">
        <v>7.2725000000000003E-3</v>
      </c>
    </row>
    <row r="749" spans="1:6" ht="12" thickBot="1">
      <c r="A749" s="347">
        <v>40695</v>
      </c>
      <c r="B749" s="348">
        <v>1.9043E-3</v>
      </c>
      <c r="C749" s="348">
        <v>2.2363000000000001E-3</v>
      </c>
      <c r="D749" s="348">
        <v>2.5287999999999999E-3</v>
      </c>
      <c r="E749" s="348">
        <v>4.0263E-3</v>
      </c>
      <c r="F749" s="349">
        <v>7.2950000000000003E-3</v>
      </c>
    </row>
    <row r="750" spans="1:6" ht="12" thickBot="1">
      <c r="A750" s="347">
        <v>40694</v>
      </c>
      <c r="B750" s="348">
        <v>1.9043E-3</v>
      </c>
      <c r="C750" s="348">
        <v>2.2412999999999999E-3</v>
      </c>
      <c r="D750" s="348">
        <v>2.5287999999999999E-3</v>
      </c>
      <c r="E750" s="348">
        <v>4.0312999999999998E-3</v>
      </c>
      <c r="F750" s="349">
        <v>7.2950000000000003E-3</v>
      </c>
    </row>
    <row r="751" spans="1:6" ht="12" thickBot="1">
      <c r="A751" s="347">
        <v>40693</v>
      </c>
      <c r="B751" s="348">
        <v>1.9103E-3</v>
      </c>
      <c r="C751" s="348">
        <v>2.2412999999999999E-3</v>
      </c>
      <c r="D751" s="348">
        <v>2.5387999999999999E-3</v>
      </c>
      <c r="E751" s="348">
        <v>4.0263E-3</v>
      </c>
      <c r="F751" s="349">
        <v>7.2950000000000003E-3</v>
      </c>
    </row>
    <row r="752" spans="1:6" ht="12" thickBot="1">
      <c r="A752" s="347">
        <v>40690</v>
      </c>
      <c r="B752" s="348">
        <v>1.9103E-3</v>
      </c>
      <c r="C752" s="348">
        <v>2.2412999999999999E-3</v>
      </c>
      <c r="D752" s="348">
        <v>2.5387999999999999E-3</v>
      </c>
      <c r="E752" s="348">
        <v>4.0263E-3</v>
      </c>
      <c r="F752" s="349">
        <v>7.2950000000000003E-3</v>
      </c>
    </row>
    <row r="753" spans="1:6" ht="12" thickBot="1">
      <c r="A753" s="347">
        <v>40689</v>
      </c>
      <c r="B753" s="348">
        <v>1.9124999999999999E-3</v>
      </c>
      <c r="C753" s="348">
        <v>2.2425000000000001E-3</v>
      </c>
      <c r="D753" s="348">
        <v>2.5400000000000002E-3</v>
      </c>
      <c r="E753" s="348">
        <v>4.0375000000000003E-3</v>
      </c>
      <c r="F753" s="349">
        <v>7.3125000000000004E-3</v>
      </c>
    </row>
    <row r="754" spans="1:6" ht="12" thickBot="1">
      <c r="A754" s="347">
        <v>40688</v>
      </c>
      <c r="B754" s="348">
        <v>1.9235000000000001E-3</v>
      </c>
      <c r="C754" s="348">
        <v>2.2474999999999999E-3</v>
      </c>
      <c r="D754" s="348">
        <v>2.545E-3</v>
      </c>
      <c r="E754" s="348">
        <v>4.0375000000000003E-3</v>
      </c>
      <c r="F754" s="349">
        <v>7.3125000000000004E-3</v>
      </c>
    </row>
    <row r="755" spans="1:6" ht="12" thickBot="1">
      <c r="A755" s="347">
        <v>40687</v>
      </c>
      <c r="B755" s="348">
        <v>1.9269999999999999E-3</v>
      </c>
      <c r="C755" s="348">
        <v>2.2599999999999999E-3</v>
      </c>
      <c r="D755" s="348">
        <v>2.5500000000000002E-3</v>
      </c>
      <c r="E755" s="348">
        <v>4.045E-3</v>
      </c>
      <c r="F755" s="349">
        <v>7.3175000000000002E-3</v>
      </c>
    </row>
    <row r="756" spans="1:6" ht="12" thickBot="1">
      <c r="A756" s="347">
        <v>40686</v>
      </c>
      <c r="B756" s="348">
        <v>1.9400000000000001E-3</v>
      </c>
      <c r="C756" s="348">
        <v>2.2699999999999999E-3</v>
      </c>
      <c r="D756" s="348">
        <v>2.5674999999999999E-3</v>
      </c>
      <c r="E756" s="348">
        <v>4.0549999999999996E-3</v>
      </c>
      <c r="F756" s="349">
        <v>7.3049999999999999E-3</v>
      </c>
    </row>
    <row r="757" spans="1:6" ht="12" thickBot="1">
      <c r="A757" s="347">
        <v>40683</v>
      </c>
      <c r="B757" s="348">
        <v>1.9475E-3</v>
      </c>
      <c r="C757" s="348">
        <v>2.2775E-3</v>
      </c>
      <c r="D757" s="348">
        <v>2.575E-3</v>
      </c>
      <c r="E757" s="348">
        <v>4.0724999999999997E-3</v>
      </c>
      <c r="F757" s="349">
        <v>7.3299999999999997E-3</v>
      </c>
    </row>
    <row r="758" spans="1:6" ht="12" thickBot="1">
      <c r="A758" s="347">
        <v>40682</v>
      </c>
      <c r="B758" s="348">
        <v>1.9525E-3</v>
      </c>
      <c r="C758" s="348">
        <v>2.2824999999999998E-3</v>
      </c>
      <c r="D758" s="348">
        <v>2.5850000000000001E-3</v>
      </c>
      <c r="E758" s="348">
        <v>4.0875E-3</v>
      </c>
      <c r="F758" s="349">
        <v>7.3699999999999998E-3</v>
      </c>
    </row>
    <row r="759" spans="1:6" ht="12" thickBot="1">
      <c r="A759" s="347">
        <v>40681</v>
      </c>
      <c r="B759" s="348">
        <v>1.9575E-3</v>
      </c>
      <c r="C759" s="348">
        <v>2.2899999999999999E-3</v>
      </c>
      <c r="D759" s="348">
        <v>2.5999999999999999E-3</v>
      </c>
      <c r="E759" s="348">
        <v>4.1000000000000003E-3</v>
      </c>
      <c r="F759" s="349">
        <v>7.3474999999999999E-3</v>
      </c>
    </row>
    <row r="760" spans="1:6" ht="12" thickBot="1">
      <c r="A760" s="347">
        <v>40680</v>
      </c>
      <c r="B760" s="348">
        <v>1.97E-3</v>
      </c>
      <c r="C760" s="348">
        <v>2.3050000000000002E-3</v>
      </c>
      <c r="D760" s="348">
        <v>2.5975E-3</v>
      </c>
      <c r="E760" s="348">
        <v>4.1200000000000004E-3</v>
      </c>
      <c r="F760" s="349">
        <v>7.3550000000000004E-3</v>
      </c>
    </row>
    <row r="761" spans="1:6" ht="12" thickBot="1">
      <c r="A761" s="347">
        <v>40679</v>
      </c>
      <c r="B761" s="348">
        <v>1.97E-3</v>
      </c>
      <c r="C761" s="348">
        <v>2.3050000000000002E-3</v>
      </c>
      <c r="D761" s="348">
        <v>2.6050000000000001E-3</v>
      </c>
      <c r="E761" s="348">
        <v>4.1250000000000002E-3</v>
      </c>
      <c r="F761" s="349">
        <v>7.3550000000000004E-3</v>
      </c>
    </row>
    <row r="762" spans="1:6" ht="12" thickBot="1">
      <c r="A762" s="347">
        <v>40676</v>
      </c>
      <c r="B762" s="348">
        <v>1.9710000000000001E-3</v>
      </c>
      <c r="C762" s="348">
        <v>2.3075000000000001E-3</v>
      </c>
      <c r="D762" s="348">
        <v>2.6050000000000001E-3</v>
      </c>
      <c r="E762" s="348">
        <v>4.15E-3</v>
      </c>
      <c r="F762" s="349">
        <v>7.3800000000000003E-3</v>
      </c>
    </row>
    <row r="763" spans="1:6" ht="12" thickBot="1">
      <c r="A763" s="347">
        <v>40675</v>
      </c>
      <c r="B763" s="348">
        <v>1.98E-3</v>
      </c>
      <c r="C763" s="348">
        <v>2.31E-3</v>
      </c>
      <c r="D763" s="348">
        <v>2.6075E-3</v>
      </c>
      <c r="E763" s="348">
        <v>4.1700000000000001E-3</v>
      </c>
      <c r="F763" s="349">
        <v>7.3800000000000003E-3</v>
      </c>
    </row>
    <row r="764" spans="1:6" ht="12" thickBot="1">
      <c r="A764" s="347">
        <v>40674</v>
      </c>
      <c r="B764" s="348">
        <v>1.9875000000000001E-3</v>
      </c>
      <c r="C764" s="348">
        <v>2.32E-3</v>
      </c>
      <c r="D764" s="348">
        <v>2.6224999999999998E-3</v>
      </c>
      <c r="E764" s="348">
        <v>4.2050000000000004E-3</v>
      </c>
      <c r="F764" s="349">
        <v>7.4250000000000002E-3</v>
      </c>
    </row>
    <row r="765" spans="1:6" ht="12" thickBot="1">
      <c r="A765" s="347">
        <v>40673</v>
      </c>
      <c r="B765" s="348">
        <v>2.0024999999999999E-3</v>
      </c>
      <c r="C765" s="348">
        <v>2.3375000000000002E-3</v>
      </c>
      <c r="D765" s="348">
        <v>2.64E-3</v>
      </c>
      <c r="E765" s="348">
        <v>4.2125000000000001E-3</v>
      </c>
      <c r="F765" s="349">
        <v>7.4349999999999998E-3</v>
      </c>
    </row>
    <row r="766" spans="1:6" ht="12" thickBot="1">
      <c r="A766" s="347">
        <v>40672</v>
      </c>
      <c r="B766" s="348">
        <v>2.0184999999999999E-3</v>
      </c>
      <c r="C766" s="348">
        <v>2.3574999999999998E-3</v>
      </c>
      <c r="D766" s="348">
        <v>2.6575000000000001E-3</v>
      </c>
      <c r="E766" s="348">
        <v>4.2325000000000002E-3</v>
      </c>
      <c r="F766" s="349">
        <v>7.4650000000000003E-3</v>
      </c>
    </row>
    <row r="767" spans="1:6" ht="12" thickBot="1">
      <c r="A767" s="347">
        <v>40669</v>
      </c>
      <c r="B767" s="348">
        <v>2.0384999999999999E-3</v>
      </c>
      <c r="C767" s="348">
        <v>2.3700000000000001E-3</v>
      </c>
      <c r="D767" s="348">
        <v>2.6700000000000001E-3</v>
      </c>
      <c r="E767" s="348">
        <v>4.2500000000000003E-3</v>
      </c>
      <c r="F767" s="349">
        <v>7.4900000000000001E-3</v>
      </c>
    </row>
    <row r="768" spans="1:6" ht="12" thickBot="1">
      <c r="A768" s="347">
        <v>40668</v>
      </c>
      <c r="B768" s="348">
        <v>2.062E-3</v>
      </c>
      <c r="C768" s="348">
        <v>2.3825000000000001E-3</v>
      </c>
      <c r="D768" s="348">
        <v>2.6825E-3</v>
      </c>
      <c r="E768" s="348">
        <v>4.2700000000000004E-3</v>
      </c>
      <c r="F768" s="349">
        <v>7.5199999999999998E-3</v>
      </c>
    </row>
    <row r="769" spans="1:6" ht="12" thickBot="1">
      <c r="A769" s="347">
        <v>40667</v>
      </c>
      <c r="B769" s="348">
        <v>2.0899999999999998E-3</v>
      </c>
      <c r="C769" s="348">
        <v>2.3974999999999999E-3</v>
      </c>
      <c r="D769" s="348">
        <v>2.7025E-3</v>
      </c>
      <c r="E769" s="348">
        <v>4.2849999999999997E-3</v>
      </c>
      <c r="F769" s="349">
        <v>7.5624999999999998E-3</v>
      </c>
    </row>
    <row r="770" spans="1:6" ht="12" thickBot="1">
      <c r="A770" s="347">
        <v>40666</v>
      </c>
      <c r="B770" s="348">
        <v>2.0950000000000001E-3</v>
      </c>
      <c r="C770" s="348">
        <v>2.4125000000000001E-3</v>
      </c>
      <c r="D770" s="348">
        <v>2.7225000000000001E-3</v>
      </c>
      <c r="E770" s="348">
        <v>4.3024999999999999E-3</v>
      </c>
      <c r="F770" s="349">
        <v>7.5775E-3</v>
      </c>
    </row>
    <row r="771" spans="1:6" ht="12" thickBot="1">
      <c r="A771" s="347">
        <v>40665</v>
      </c>
      <c r="B771" s="348">
        <v>2.1025000000000002E-3</v>
      </c>
      <c r="C771" s="348">
        <v>2.4225000000000002E-3</v>
      </c>
      <c r="D771" s="348">
        <v>2.7299999999999998E-3</v>
      </c>
      <c r="E771" s="348">
        <v>4.3049999999999998E-3</v>
      </c>
      <c r="F771" s="349">
        <v>7.6099999999999996E-3</v>
      </c>
    </row>
    <row r="772" spans="1:6" ht="12" thickBot="1">
      <c r="A772" s="347">
        <v>40662</v>
      </c>
      <c r="B772" s="348">
        <v>2.1025000000000002E-3</v>
      </c>
      <c r="C772" s="348">
        <v>2.4225000000000002E-3</v>
      </c>
      <c r="D772" s="348">
        <v>2.7299999999999998E-3</v>
      </c>
      <c r="E772" s="348">
        <v>4.3049999999999998E-3</v>
      </c>
      <c r="F772" s="349">
        <v>7.6099999999999996E-3</v>
      </c>
    </row>
    <row r="773" spans="1:6" ht="12" thickBot="1">
      <c r="A773" s="347">
        <v>40661</v>
      </c>
      <c r="B773" s="348">
        <v>2.1025000000000002E-3</v>
      </c>
      <c r="C773" s="348">
        <v>2.4225000000000002E-3</v>
      </c>
      <c r="D773" s="348">
        <v>2.7299999999999998E-3</v>
      </c>
      <c r="E773" s="348">
        <v>4.3049999999999998E-3</v>
      </c>
      <c r="F773" s="349">
        <v>7.6099999999999996E-3</v>
      </c>
    </row>
    <row r="774" spans="1:6" ht="12" thickBot="1">
      <c r="A774" s="347">
        <v>40660</v>
      </c>
      <c r="B774" s="348">
        <v>2.1050000000000001E-3</v>
      </c>
      <c r="C774" s="348">
        <v>2.4225000000000002E-3</v>
      </c>
      <c r="D774" s="348">
        <v>2.7325000000000001E-3</v>
      </c>
      <c r="E774" s="348">
        <v>4.3175000000000002E-3</v>
      </c>
      <c r="F774" s="349">
        <v>7.6249999999999998E-3</v>
      </c>
    </row>
    <row r="775" spans="1:6" ht="12" thickBot="1">
      <c r="A775" s="347">
        <v>40659</v>
      </c>
      <c r="B775" s="348">
        <v>2.1134999999999999E-3</v>
      </c>
      <c r="C775" s="348">
        <v>2.4225000000000002E-3</v>
      </c>
      <c r="D775" s="348">
        <v>2.7274999999999999E-3</v>
      </c>
      <c r="E775" s="348">
        <v>4.3225E-3</v>
      </c>
      <c r="F775" s="349">
        <v>7.62E-3</v>
      </c>
    </row>
    <row r="776" spans="1:6" ht="12" thickBot="1">
      <c r="A776" s="347">
        <v>40658</v>
      </c>
      <c r="B776" s="348">
        <v>2.1259999999999999E-3</v>
      </c>
      <c r="C776" s="348">
        <v>2.4325000000000002E-3</v>
      </c>
      <c r="D776" s="348">
        <v>2.7374999999999999E-3</v>
      </c>
      <c r="E776" s="348">
        <v>4.3325000000000004E-3</v>
      </c>
      <c r="F776" s="349">
        <v>7.62E-3</v>
      </c>
    </row>
    <row r="777" spans="1:6" ht="12" thickBot="1">
      <c r="A777" s="347">
        <v>40653</v>
      </c>
      <c r="B777" s="348">
        <v>2.1259999999999999E-3</v>
      </c>
      <c r="C777" s="348">
        <v>2.4325000000000002E-3</v>
      </c>
      <c r="D777" s="348">
        <v>2.7374999999999999E-3</v>
      </c>
      <c r="E777" s="348">
        <v>4.3325000000000004E-3</v>
      </c>
      <c r="F777" s="349">
        <v>7.6299999999999996E-3</v>
      </c>
    </row>
    <row r="778" spans="1:6" ht="12" thickBot="1">
      <c r="A778" s="347">
        <v>40652</v>
      </c>
      <c r="B778" s="348">
        <v>2.1259999999999999E-3</v>
      </c>
      <c r="C778" s="348">
        <v>2.4325000000000002E-3</v>
      </c>
      <c r="D778" s="348">
        <v>2.7374999999999999E-3</v>
      </c>
      <c r="E778" s="348">
        <v>4.3375000000000002E-3</v>
      </c>
      <c r="F778" s="349">
        <v>7.6249999999999998E-3</v>
      </c>
    </row>
    <row r="779" spans="1:6" ht="12" thickBot="1">
      <c r="A779" s="347">
        <v>40651</v>
      </c>
      <c r="B779" s="348">
        <v>2.1294999999999999E-3</v>
      </c>
      <c r="C779" s="348">
        <v>2.4350000000000001E-3</v>
      </c>
      <c r="D779" s="348">
        <v>2.7399999999999998E-3</v>
      </c>
      <c r="E779" s="348">
        <v>4.3499999999999997E-3</v>
      </c>
      <c r="F779" s="349">
        <v>7.6274999999999997E-3</v>
      </c>
    </row>
    <row r="780" spans="1:6" ht="12" thickBot="1">
      <c r="A780" s="347">
        <v>40648</v>
      </c>
      <c r="B780" s="348">
        <v>2.1375000000000001E-3</v>
      </c>
      <c r="C780" s="348">
        <v>2.4350000000000001E-3</v>
      </c>
      <c r="D780" s="348">
        <v>2.7474999999999999E-3</v>
      </c>
      <c r="E780" s="348">
        <v>4.3699999999999998E-3</v>
      </c>
      <c r="F780" s="349">
        <v>7.6499999999999997E-3</v>
      </c>
    </row>
    <row r="781" spans="1:6" ht="12" thickBot="1">
      <c r="A781" s="347">
        <v>40647</v>
      </c>
      <c r="B781" s="348">
        <v>2.1584999999999998E-3</v>
      </c>
      <c r="C781" s="348">
        <v>2.4499999999999999E-3</v>
      </c>
      <c r="D781" s="348">
        <v>2.7550000000000001E-3</v>
      </c>
      <c r="E781" s="348">
        <v>4.385E-3</v>
      </c>
      <c r="F781" s="349">
        <v>7.6499999999999997E-3</v>
      </c>
    </row>
    <row r="782" spans="1:6" ht="12" thickBot="1">
      <c r="A782" s="347">
        <v>40646</v>
      </c>
      <c r="B782" s="348">
        <v>2.1875000000000002E-3</v>
      </c>
      <c r="C782" s="348">
        <v>2.49E-3</v>
      </c>
      <c r="D782" s="348">
        <v>2.7799999999999999E-3</v>
      </c>
      <c r="E782" s="348">
        <v>4.4149999999999997E-3</v>
      </c>
      <c r="F782" s="349">
        <v>7.7149999999999996E-3</v>
      </c>
    </row>
    <row r="783" spans="1:6" ht="12" thickBot="1">
      <c r="A783" s="347">
        <v>40645</v>
      </c>
      <c r="B783" s="348">
        <v>2.2109999999999999E-3</v>
      </c>
      <c r="C783" s="348">
        <v>2.5175000000000002E-3</v>
      </c>
      <c r="D783" s="348">
        <v>2.8075000000000001E-3</v>
      </c>
      <c r="E783" s="348">
        <v>4.4250000000000001E-3</v>
      </c>
      <c r="F783" s="349">
        <v>7.7250000000000001E-3</v>
      </c>
    </row>
    <row r="784" spans="1:6" ht="12" thickBot="1">
      <c r="A784" s="347">
        <v>40644</v>
      </c>
      <c r="B784" s="348">
        <v>2.238E-3</v>
      </c>
      <c r="C784" s="348">
        <v>2.5374999999999998E-3</v>
      </c>
      <c r="D784" s="348">
        <v>2.8275000000000002E-3</v>
      </c>
      <c r="E784" s="348">
        <v>4.4450000000000002E-3</v>
      </c>
      <c r="F784" s="349">
        <v>7.7400000000000004E-3</v>
      </c>
    </row>
    <row r="785" spans="1:6" ht="12" thickBot="1">
      <c r="A785" s="347">
        <v>40641</v>
      </c>
      <c r="B785" s="348">
        <v>2.2650000000000001E-3</v>
      </c>
      <c r="C785" s="348">
        <v>2.5600000000000002E-3</v>
      </c>
      <c r="D785" s="348">
        <v>2.8525E-3</v>
      </c>
      <c r="E785" s="348">
        <v>4.4749999999999998E-3</v>
      </c>
      <c r="F785" s="349">
        <v>7.7724999999999999E-3</v>
      </c>
    </row>
    <row r="786" spans="1:6" ht="12" thickBot="1">
      <c r="A786" s="347">
        <v>40640</v>
      </c>
      <c r="B786" s="348">
        <v>2.3138E-3</v>
      </c>
      <c r="C786" s="348">
        <v>2.6150000000000001E-3</v>
      </c>
      <c r="D786" s="348">
        <v>2.895E-3</v>
      </c>
      <c r="E786" s="348">
        <v>4.5088000000000003E-3</v>
      </c>
      <c r="F786" s="349">
        <v>7.7774999999999997E-3</v>
      </c>
    </row>
    <row r="787" spans="1:6" ht="12" thickBot="1">
      <c r="A787" s="347">
        <v>40639</v>
      </c>
      <c r="B787" s="348">
        <v>2.3349999999999998E-3</v>
      </c>
      <c r="C787" s="348">
        <v>2.6475000000000001E-3</v>
      </c>
      <c r="D787" s="348">
        <v>2.9263000000000002E-3</v>
      </c>
      <c r="E787" s="348">
        <v>4.5450000000000004E-3</v>
      </c>
      <c r="F787" s="349">
        <v>7.7825000000000004E-3</v>
      </c>
    </row>
    <row r="788" spans="1:6" ht="12" thickBot="1">
      <c r="A788" s="347">
        <v>40638</v>
      </c>
      <c r="B788" s="348">
        <v>2.3549999999999999E-3</v>
      </c>
      <c r="C788" s="348">
        <v>2.6624999999999999E-3</v>
      </c>
      <c r="D788" s="348">
        <v>2.9375E-3</v>
      </c>
      <c r="E788" s="348">
        <v>4.5649999999999996E-3</v>
      </c>
      <c r="F788" s="349">
        <v>7.7774999999999997E-3</v>
      </c>
    </row>
    <row r="789" spans="1:6" ht="12" thickBot="1">
      <c r="A789" s="347">
        <v>40637</v>
      </c>
      <c r="B789" s="348">
        <v>2.3990000000000001E-3</v>
      </c>
      <c r="C789" s="348">
        <v>2.7025E-3</v>
      </c>
      <c r="D789" s="348">
        <v>2.9675000000000001E-3</v>
      </c>
      <c r="E789" s="348">
        <v>4.5875000000000004E-3</v>
      </c>
      <c r="F789" s="349">
        <v>7.8100000000000001E-3</v>
      </c>
    </row>
    <row r="790" spans="1:6" ht="12" thickBot="1">
      <c r="A790" s="347">
        <v>40634</v>
      </c>
      <c r="B790" s="348">
        <v>2.4294999999999998E-3</v>
      </c>
      <c r="C790" s="348">
        <v>2.725E-3</v>
      </c>
      <c r="D790" s="348">
        <v>3.0100000000000001E-3</v>
      </c>
      <c r="E790" s="348">
        <v>4.5950000000000001E-3</v>
      </c>
      <c r="F790" s="349">
        <v>7.8525000000000001E-3</v>
      </c>
    </row>
    <row r="791" spans="1:6" ht="12" thickBot="1">
      <c r="A791" s="347">
        <v>40633</v>
      </c>
      <c r="B791" s="348">
        <v>2.4345E-3</v>
      </c>
      <c r="C791" s="348">
        <v>2.7399999999999998E-3</v>
      </c>
      <c r="D791" s="348">
        <v>3.0300000000000001E-3</v>
      </c>
      <c r="E791" s="348">
        <v>4.5950000000000001E-3</v>
      </c>
      <c r="F791" s="349">
        <v>7.8250000000000004E-3</v>
      </c>
    </row>
    <row r="792" spans="1:6" ht="12" thickBot="1">
      <c r="A792" s="347">
        <v>40632</v>
      </c>
      <c r="B792" s="348">
        <v>2.4380000000000001E-3</v>
      </c>
      <c r="C792" s="348">
        <v>2.7575E-3</v>
      </c>
      <c r="D792" s="348">
        <v>3.045E-3</v>
      </c>
      <c r="E792" s="348">
        <v>4.6049999999999997E-3</v>
      </c>
      <c r="F792" s="349">
        <v>7.8200000000000006E-3</v>
      </c>
    </row>
    <row r="793" spans="1:6" ht="12" thickBot="1">
      <c r="A793" s="347">
        <v>40631</v>
      </c>
      <c r="B793" s="348">
        <v>2.4615000000000001E-3</v>
      </c>
      <c r="C793" s="348">
        <v>2.8E-3</v>
      </c>
      <c r="D793" s="348">
        <v>3.0699999999999998E-3</v>
      </c>
      <c r="E793" s="348">
        <v>4.6049999999999997E-3</v>
      </c>
      <c r="F793" s="349">
        <v>7.7949999999999998E-3</v>
      </c>
    </row>
    <row r="794" spans="1:6" ht="12" thickBot="1">
      <c r="A794" s="347">
        <v>40630</v>
      </c>
      <c r="B794" s="348">
        <v>2.4765E-3</v>
      </c>
      <c r="C794" s="348">
        <v>2.8050000000000002E-3</v>
      </c>
      <c r="D794" s="348">
        <v>3.0699999999999998E-3</v>
      </c>
      <c r="E794" s="348">
        <v>4.6049999999999997E-3</v>
      </c>
      <c r="F794" s="349">
        <v>7.7949999999999998E-3</v>
      </c>
    </row>
    <row r="795" spans="1:6" ht="12" thickBot="1">
      <c r="A795" s="347">
        <v>40627</v>
      </c>
      <c r="B795" s="348">
        <v>2.4824999999999999E-3</v>
      </c>
      <c r="C795" s="348">
        <v>2.8149999999999998E-3</v>
      </c>
      <c r="D795" s="348">
        <v>3.075E-3</v>
      </c>
      <c r="E795" s="348">
        <v>4.5999999999999999E-3</v>
      </c>
      <c r="F795" s="349">
        <v>7.7650000000000002E-3</v>
      </c>
    </row>
    <row r="796" spans="1:6" ht="12" thickBot="1">
      <c r="A796" s="347">
        <v>40626</v>
      </c>
      <c r="B796" s="348">
        <v>2.4824999999999999E-3</v>
      </c>
      <c r="C796" s="348">
        <v>2.8149999999999998E-3</v>
      </c>
      <c r="D796" s="348">
        <v>3.0850000000000001E-3</v>
      </c>
      <c r="E796" s="348">
        <v>4.5999999999999999E-3</v>
      </c>
      <c r="F796" s="349">
        <v>7.7549999999999997E-3</v>
      </c>
    </row>
    <row r="797" spans="1:6" ht="12" thickBot="1">
      <c r="A797" s="347">
        <v>40625</v>
      </c>
      <c r="B797" s="348">
        <v>2.4949999999999998E-3</v>
      </c>
      <c r="C797" s="348">
        <v>2.8149999999999998E-3</v>
      </c>
      <c r="D797" s="348">
        <v>3.0799999999999998E-3</v>
      </c>
      <c r="E797" s="348">
        <v>4.5999999999999999E-3</v>
      </c>
      <c r="F797" s="349">
        <v>7.7450000000000001E-3</v>
      </c>
    </row>
    <row r="798" spans="1:6" ht="12" thickBot="1">
      <c r="A798" s="347">
        <v>40624</v>
      </c>
      <c r="B798" s="348">
        <v>2.5200000000000001E-3</v>
      </c>
      <c r="C798" s="348">
        <v>2.8249999999999998E-3</v>
      </c>
      <c r="D798" s="348">
        <v>3.0899999999999999E-3</v>
      </c>
      <c r="E798" s="348">
        <v>4.5999999999999999E-3</v>
      </c>
      <c r="F798" s="349">
        <v>7.7450000000000001E-3</v>
      </c>
    </row>
    <row r="799" spans="1:6" ht="12" thickBot="1">
      <c r="A799" s="347">
        <v>40620</v>
      </c>
      <c r="B799" s="348">
        <v>2.5349999999999999E-3</v>
      </c>
      <c r="C799" s="348">
        <v>2.8400000000000001E-3</v>
      </c>
      <c r="D799" s="348">
        <v>3.0899999999999999E-3</v>
      </c>
      <c r="E799" s="348">
        <v>4.5999999999999999E-3</v>
      </c>
      <c r="F799" s="349">
        <v>7.705E-3</v>
      </c>
    </row>
    <row r="800" spans="1:6" ht="12" thickBot="1">
      <c r="A800" s="347">
        <v>40619</v>
      </c>
      <c r="B800" s="348">
        <v>2.5349999999999999E-3</v>
      </c>
      <c r="C800" s="348">
        <v>2.8349999999999998E-3</v>
      </c>
      <c r="D800" s="348">
        <v>3.0899999999999999E-3</v>
      </c>
      <c r="E800" s="348">
        <v>4.5999999999999999E-3</v>
      </c>
      <c r="F800" s="349">
        <v>7.7250000000000001E-3</v>
      </c>
    </row>
    <row r="801" spans="1:6" ht="12" thickBot="1">
      <c r="A801" s="347">
        <v>40618</v>
      </c>
      <c r="B801" s="348">
        <v>2.5349999999999999E-3</v>
      </c>
      <c r="C801" s="348">
        <v>2.8349999999999998E-3</v>
      </c>
      <c r="D801" s="348">
        <v>3.0899999999999999E-3</v>
      </c>
      <c r="E801" s="348">
        <v>4.5999999999999999E-3</v>
      </c>
      <c r="F801" s="349">
        <v>7.7149999999999996E-3</v>
      </c>
    </row>
    <row r="802" spans="1:6" ht="12" thickBot="1">
      <c r="A802" s="347">
        <v>40617</v>
      </c>
      <c r="B802" s="348">
        <v>2.5349999999999999E-3</v>
      </c>
      <c r="C802" s="348">
        <v>2.8349999999999998E-3</v>
      </c>
      <c r="D802" s="348">
        <v>3.0899999999999999E-3</v>
      </c>
      <c r="E802" s="348">
        <v>4.5999999999999999E-3</v>
      </c>
      <c r="F802" s="349">
        <v>7.685E-3</v>
      </c>
    </row>
    <row r="803" spans="1:6" ht="12" thickBot="1">
      <c r="A803" s="347">
        <v>40616</v>
      </c>
      <c r="B803" s="348">
        <v>2.5349999999999999E-3</v>
      </c>
      <c r="C803" s="348">
        <v>2.8349999999999998E-3</v>
      </c>
      <c r="D803" s="348">
        <v>3.0899999999999999E-3</v>
      </c>
      <c r="E803" s="348">
        <v>4.6100000000000004E-3</v>
      </c>
      <c r="F803" s="349">
        <v>7.7749999999999998E-3</v>
      </c>
    </row>
    <row r="804" spans="1:6" ht="12" thickBot="1">
      <c r="A804" s="347">
        <v>40613</v>
      </c>
      <c r="B804" s="348">
        <v>2.5500000000000002E-3</v>
      </c>
      <c r="C804" s="348">
        <v>2.8400000000000001E-3</v>
      </c>
      <c r="D804" s="348">
        <v>3.0950000000000001E-3</v>
      </c>
      <c r="E804" s="348">
        <v>4.6100000000000004E-3</v>
      </c>
      <c r="F804" s="349">
        <v>7.7999999999999996E-3</v>
      </c>
    </row>
    <row r="805" spans="1:6" ht="12" thickBot="1">
      <c r="A805" s="347">
        <v>40612</v>
      </c>
      <c r="B805" s="348">
        <v>2.555E-3</v>
      </c>
      <c r="C805" s="348">
        <v>2.8400000000000001E-3</v>
      </c>
      <c r="D805" s="348">
        <v>3.0950000000000001E-3</v>
      </c>
      <c r="E805" s="348">
        <v>4.6150000000000002E-3</v>
      </c>
      <c r="F805" s="349">
        <v>7.8549999999999991E-3</v>
      </c>
    </row>
    <row r="806" spans="1:6" ht="12" thickBot="1">
      <c r="A806" s="347">
        <v>40611</v>
      </c>
      <c r="B806" s="348">
        <v>2.5799999999999998E-3</v>
      </c>
      <c r="C806" s="348">
        <v>2.8600000000000001E-3</v>
      </c>
      <c r="D806" s="348">
        <v>3.0950000000000001E-3</v>
      </c>
      <c r="E806" s="348">
        <v>4.6150000000000002E-3</v>
      </c>
      <c r="F806" s="349">
        <v>7.8549999999999991E-3</v>
      </c>
    </row>
    <row r="807" spans="1:6" ht="12" thickBot="1">
      <c r="A807" s="347">
        <v>40610</v>
      </c>
      <c r="B807" s="348">
        <v>2.5799999999999998E-3</v>
      </c>
      <c r="C807" s="348">
        <v>2.8600000000000001E-3</v>
      </c>
      <c r="D807" s="348">
        <v>3.0950000000000001E-3</v>
      </c>
      <c r="E807" s="348">
        <v>4.6150000000000002E-3</v>
      </c>
      <c r="F807" s="349">
        <v>7.8449999999999995E-3</v>
      </c>
    </row>
    <row r="808" spans="1:6" ht="12" thickBot="1">
      <c r="A808" s="347">
        <v>40609</v>
      </c>
      <c r="B808" s="348">
        <v>2.5899999999999999E-3</v>
      </c>
      <c r="C808" s="348">
        <v>2.8600000000000001E-3</v>
      </c>
      <c r="D808" s="348">
        <v>3.0950000000000001E-3</v>
      </c>
      <c r="E808" s="348">
        <v>4.6249999999999998E-3</v>
      </c>
      <c r="F808" s="349">
        <v>7.8650000000000005E-3</v>
      </c>
    </row>
    <row r="809" spans="1:6" ht="12" thickBot="1">
      <c r="A809" s="347">
        <v>40606</v>
      </c>
      <c r="B809" s="348">
        <v>2.5999999999999999E-3</v>
      </c>
      <c r="C809" s="348">
        <v>2.8600000000000001E-3</v>
      </c>
      <c r="D809" s="348">
        <v>3.0950000000000001E-3</v>
      </c>
      <c r="E809" s="348">
        <v>4.6249999999999998E-3</v>
      </c>
      <c r="F809" s="349">
        <v>7.92E-3</v>
      </c>
    </row>
    <row r="810" spans="1:6" ht="12" thickBot="1">
      <c r="A810" s="347">
        <v>40605</v>
      </c>
      <c r="B810" s="348">
        <v>2.5999999999999999E-3</v>
      </c>
      <c r="C810" s="348">
        <v>2.8600000000000001E-3</v>
      </c>
      <c r="D810" s="348">
        <v>3.0950000000000001E-3</v>
      </c>
      <c r="E810" s="348">
        <v>4.6150000000000002E-3</v>
      </c>
      <c r="F810" s="349">
        <v>7.8724999999999993E-3</v>
      </c>
    </row>
    <row r="811" spans="1:6" ht="12" thickBot="1">
      <c r="A811" s="347">
        <v>40604</v>
      </c>
      <c r="B811" s="348">
        <v>2.5999999999999999E-3</v>
      </c>
      <c r="C811" s="348">
        <v>2.8600000000000001E-3</v>
      </c>
      <c r="D811" s="348">
        <v>3.0950000000000001E-3</v>
      </c>
      <c r="E811" s="348">
        <v>4.6150000000000002E-3</v>
      </c>
      <c r="F811" s="349">
        <v>7.8624999999999997E-3</v>
      </c>
    </row>
    <row r="812" spans="1:6" ht="12" thickBot="1">
      <c r="A812" s="347">
        <v>40603</v>
      </c>
      <c r="B812" s="348">
        <v>2.6099999999999999E-3</v>
      </c>
      <c r="C812" s="348">
        <v>2.8549999999999999E-3</v>
      </c>
      <c r="D812" s="348">
        <v>3.0950000000000001E-3</v>
      </c>
      <c r="E812" s="348">
        <v>4.6249999999999998E-3</v>
      </c>
      <c r="F812" s="349">
        <v>7.8875000000000004E-3</v>
      </c>
    </row>
    <row r="813" spans="1:6" ht="12" thickBot="1">
      <c r="A813" s="347">
        <v>40602</v>
      </c>
      <c r="B813" s="348">
        <v>2.6099999999999999E-3</v>
      </c>
      <c r="C813" s="348">
        <v>2.8649999999999999E-3</v>
      </c>
      <c r="D813" s="348">
        <v>3.0950000000000001E-3</v>
      </c>
      <c r="E813" s="348">
        <v>4.64E-3</v>
      </c>
      <c r="F813" s="349">
        <v>7.9024999999999998E-3</v>
      </c>
    </row>
    <row r="814" spans="1:6" ht="12" thickBot="1">
      <c r="A814" s="347">
        <v>40599</v>
      </c>
      <c r="B814" s="348">
        <v>2.6099999999999999E-3</v>
      </c>
      <c r="C814" s="348">
        <v>2.8600000000000001E-3</v>
      </c>
      <c r="D814" s="348">
        <v>3.1050000000000001E-3</v>
      </c>
      <c r="E814" s="348">
        <v>4.64E-3</v>
      </c>
      <c r="F814" s="349">
        <v>7.9225000000000007E-3</v>
      </c>
    </row>
    <row r="815" spans="1:6" ht="12" thickBot="1">
      <c r="A815" s="347">
        <v>40598</v>
      </c>
      <c r="B815" s="348">
        <v>2.6150000000000001E-3</v>
      </c>
      <c r="C815" s="348">
        <v>2.8449999999999999E-3</v>
      </c>
      <c r="D815" s="348">
        <v>3.1050000000000001E-3</v>
      </c>
      <c r="E815" s="348">
        <v>4.64E-3</v>
      </c>
      <c r="F815" s="349">
        <v>7.9124999999999994E-3</v>
      </c>
    </row>
    <row r="816" spans="1:6" ht="12" thickBot="1">
      <c r="A816" s="347">
        <v>40597</v>
      </c>
      <c r="B816" s="348">
        <v>2.6150000000000001E-3</v>
      </c>
      <c r="C816" s="348">
        <v>2.8549999999999999E-3</v>
      </c>
      <c r="D816" s="348">
        <v>3.1150000000000001E-3</v>
      </c>
      <c r="E816" s="348">
        <v>4.6499999999999996E-3</v>
      </c>
      <c r="F816" s="349">
        <v>7.9375000000000001E-3</v>
      </c>
    </row>
    <row r="817" spans="1:6" ht="12" thickBot="1">
      <c r="A817" s="347">
        <v>40596</v>
      </c>
      <c r="B817" s="348">
        <v>2.6150000000000001E-3</v>
      </c>
      <c r="C817" s="348">
        <v>2.8549999999999999E-3</v>
      </c>
      <c r="D817" s="348">
        <v>3.1250000000000002E-3</v>
      </c>
      <c r="E817" s="348">
        <v>4.6499999999999996E-3</v>
      </c>
      <c r="F817" s="349">
        <v>7.9275000000000005E-3</v>
      </c>
    </row>
    <row r="818" spans="1:6" ht="12" thickBot="1">
      <c r="A818" s="347">
        <v>40595</v>
      </c>
      <c r="B818" s="348">
        <v>2.6199999999999999E-3</v>
      </c>
      <c r="C818" s="348">
        <v>2.8649999999999999E-3</v>
      </c>
      <c r="D818" s="348">
        <v>3.1250000000000002E-3</v>
      </c>
      <c r="E818" s="348">
        <v>4.6499999999999996E-3</v>
      </c>
      <c r="F818" s="349">
        <v>7.9299999999999995E-3</v>
      </c>
    </row>
    <row r="819" spans="1:6" ht="12" thickBot="1">
      <c r="A819" s="347">
        <v>40592</v>
      </c>
      <c r="B819" s="348">
        <v>2.6199999999999999E-3</v>
      </c>
      <c r="C819" s="348">
        <v>2.8649999999999999E-3</v>
      </c>
      <c r="D819" s="348">
        <v>3.1250000000000002E-3</v>
      </c>
      <c r="E819" s="348">
        <v>4.6550000000000003E-3</v>
      </c>
      <c r="F819" s="349">
        <v>7.9500000000000005E-3</v>
      </c>
    </row>
    <row r="820" spans="1:6" ht="12" thickBot="1">
      <c r="A820" s="347">
        <v>40591</v>
      </c>
      <c r="B820" s="348">
        <v>2.63E-3</v>
      </c>
      <c r="C820" s="348">
        <v>2.885E-3</v>
      </c>
      <c r="D820" s="348">
        <v>3.1350000000000002E-3</v>
      </c>
      <c r="E820" s="348">
        <v>4.6550000000000003E-3</v>
      </c>
      <c r="F820" s="349">
        <v>7.9574999999999993E-3</v>
      </c>
    </row>
    <row r="821" spans="1:6" ht="12" thickBot="1">
      <c r="A821" s="347">
        <v>40590</v>
      </c>
      <c r="B821" s="348">
        <v>2.63E-3</v>
      </c>
      <c r="C821" s="348">
        <v>2.885E-3</v>
      </c>
      <c r="D821" s="348">
        <v>3.1350000000000002E-3</v>
      </c>
      <c r="E821" s="348">
        <v>4.6519999999999999E-3</v>
      </c>
      <c r="F821" s="349">
        <v>7.9775000000000002E-3</v>
      </c>
    </row>
    <row r="822" spans="1:6" ht="12" thickBot="1">
      <c r="A822" s="347">
        <v>40589</v>
      </c>
      <c r="B822" s="348">
        <v>2.64E-3</v>
      </c>
      <c r="C822" s="348">
        <v>2.885E-3</v>
      </c>
      <c r="D822" s="348">
        <v>3.1350000000000002E-3</v>
      </c>
      <c r="E822" s="348">
        <v>4.6569999999999997E-3</v>
      </c>
      <c r="F822" s="349">
        <v>7.9874999999999998E-3</v>
      </c>
    </row>
    <row r="823" spans="1:6" ht="12" thickBot="1">
      <c r="A823" s="347">
        <v>40588</v>
      </c>
      <c r="B823" s="348">
        <v>2.6475000000000001E-3</v>
      </c>
      <c r="C823" s="348">
        <v>2.8900000000000002E-3</v>
      </c>
      <c r="D823" s="348">
        <v>3.14E-3</v>
      </c>
      <c r="E823" s="348">
        <v>4.6569999999999997E-3</v>
      </c>
      <c r="F823" s="349">
        <v>7.9749999999999995E-3</v>
      </c>
    </row>
    <row r="824" spans="1:6" ht="12" thickBot="1">
      <c r="A824" s="347">
        <v>40585</v>
      </c>
      <c r="B824" s="348">
        <v>2.6575000000000001E-3</v>
      </c>
      <c r="C824" s="348">
        <v>2.8900000000000002E-3</v>
      </c>
      <c r="D824" s="348">
        <v>3.13E-3</v>
      </c>
      <c r="E824" s="348">
        <v>4.6519999999999999E-3</v>
      </c>
      <c r="F824" s="349">
        <v>7.9649999999999999E-3</v>
      </c>
    </row>
    <row r="825" spans="1:6" ht="12" thickBot="1">
      <c r="A825" s="347">
        <v>40584</v>
      </c>
      <c r="B825" s="348">
        <v>2.64E-3</v>
      </c>
      <c r="C825" s="348">
        <v>2.8800000000000002E-3</v>
      </c>
      <c r="D825" s="348">
        <v>3.1199999999999999E-3</v>
      </c>
      <c r="E825" s="348">
        <v>4.6470000000000001E-3</v>
      </c>
      <c r="F825" s="349">
        <v>7.9699999999999997E-3</v>
      </c>
    </row>
    <row r="826" spans="1:6" ht="12" thickBot="1">
      <c r="A826" s="347">
        <v>40583</v>
      </c>
      <c r="B826" s="348">
        <v>2.64E-3</v>
      </c>
      <c r="C826" s="348">
        <v>2.885E-3</v>
      </c>
      <c r="D826" s="348">
        <v>3.1199999999999999E-3</v>
      </c>
      <c r="E826" s="348">
        <v>4.6519999999999999E-3</v>
      </c>
      <c r="F826" s="349">
        <v>7.9900000000000006E-3</v>
      </c>
    </row>
    <row r="827" spans="1:6" ht="12" thickBot="1">
      <c r="A827" s="347">
        <v>40582</v>
      </c>
      <c r="B827" s="348">
        <v>2.64E-3</v>
      </c>
      <c r="C827" s="348">
        <v>2.8825000000000001E-3</v>
      </c>
      <c r="D827" s="348">
        <v>3.1199999999999999E-3</v>
      </c>
      <c r="E827" s="348">
        <v>4.6435000000000001E-3</v>
      </c>
      <c r="F827" s="349">
        <v>7.9325000000000003E-3</v>
      </c>
    </row>
    <row r="828" spans="1:6" ht="12" thickBot="1">
      <c r="A828" s="347">
        <v>40581</v>
      </c>
      <c r="B828" s="348">
        <v>2.6375000000000001E-3</v>
      </c>
      <c r="C828" s="348">
        <v>2.8800000000000002E-3</v>
      </c>
      <c r="D828" s="348">
        <v>3.1199999999999999E-3</v>
      </c>
      <c r="E828" s="348">
        <v>4.6284999999999998E-3</v>
      </c>
      <c r="F828" s="349">
        <v>7.9275000000000005E-3</v>
      </c>
    </row>
    <row r="829" spans="1:6" ht="12" thickBot="1">
      <c r="A829" s="347">
        <v>40578</v>
      </c>
      <c r="B829" s="348">
        <v>2.6275000000000001E-3</v>
      </c>
      <c r="C829" s="348">
        <v>2.8700000000000002E-3</v>
      </c>
      <c r="D829" s="348">
        <v>3.1150000000000001E-3</v>
      </c>
      <c r="E829" s="348">
        <v>4.6125000000000003E-3</v>
      </c>
      <c r="F829" s="349">
        <v>7.9124999999999994E-3</v>
      </c>
    </row>
    <row r="830" spans="1:6" ht="12" thickBot="1">
      <c r="A830" s="347">
        <v>40577</v>
      </c>
      <c r="B830" s="348">
        <v>2.63E-3</v>
      </c>
      <c r="C830" s="348">
        <v>2.875E-3</v>
      </c>
      <c r="D830" s="348">
        <v>3.1050000000000001E-3</v>
      </c>
      <c r="E830" s="348">
        <v>4.6125000000000003E-3</v>
      </c>
      <c r="F830" s="349">
        <v>7.8860000000000006E-3</v>
      </c>
    </row>
    <row r="831" spans="1:6" ht="12" thickBot="1">
      <c r="A831" s="347">
        <v>40576</v>
      </c>
      <c r="B831" s="348">
        <v>2.63E-3</v>
      </c>
      <c r="C831" s="348">
        <v>2.8700000000000002E-3</v>
      </c>
      <c r="D831" s="348">
        <v>3.1050000000000001E-3</v>
      </c>
      <c r="E831" s="348">
        <v>4.6074999999999996E-3</v>
      </c>
      <c r="F831" s="349">
        <v>7.8604999999999994E-3</v>
      </c>
    </row>
    <row r="832" spans="1:6" ht="12" thickBot="1">
      <c r="A832" s="347">
        <v>40575</v>
      </c>
      <c r="B832" s="348">
        <v>2.63E-3</v>
      </c>
      <c r="C832" s="348">
        <v>2.875E-3</v>
      </c>
      <c r="D832" s="348">
        <v>3.1050000000000001E-3</v>
      </c>
      <c r="E832" s="348">
        <v>4.6074999999999996E-3</v>
      </c>
      <c r="F832" s="349">
        <v>7.8549999999999991E-3</v>
      </c>
    </row>
    <row r="833" spans="1:6" ht="12" thickBot="1">
      <c r="A833" s="347">
        <v>40574</v>
      </c>
      <c r="B833" s="348">
        <v>2.5999999999999999E-3</v>
      </c>
      <c r="C833" s="348">
        <v>2.8313000000000001E-3</v>
      </c>
      <c r="D833" s="348">
        <v>3.0438000000000002E-3</v>
      </c>
      <c r="E833" s="348">
        <v>4.5380999999999998E-3</v>
      </c>
      <c r="F833" s="349">
        <v>7.8125E-3</v>
      </c>
    </row>
    <row r="834" spans="1:6" ht="12" thickBot="1">
      <c r="A834" s="347">
        <v>40571</v>
      </c>
      <c r="B834" s="348">
        <v>2.5999999999999999E-3</v>
      </c>
      <c r="C834" s="348">
        <v>2.8313000000000001E-3</v>
      </c>
      <c r="D834" s="348">
        <v>3.0438000000000002E-3</v>
      </c>
      <c r="E834" s="348">
        <v>4.5380999999999998E-3</v>
      </c>
      <c r="F834" s="349">
        <v>7.8063000000000004E-3</v>
      </c>
    </row>
    <row r="835" spans="1:6" ht="12" thickBot="1">
      <c r="A835" s="347">
        <v>40570</v>
      </c>
      <c r="B835" s="348">
        <v>2.5999999999999999E-3</v>
      </c>
      <c r="C835" s="348">
        <v>2.8313000000000001E-3</v>
      </c>
      <c r="D835" s="348">
        <v>3.0438000000000002E-3</v>
      </c>
      <c r="E835" s="348">
        <v>4.5469000000000004E-3</v>
      </c>
      <c r="F835" s="349">
        <v>7.8125E-3</v>
      </c>
    </row>
    <row r="836" spans="1:6" ht="12" thickBot="1">
      <c r="A836" s="347">
        <v>40569</v>
      </c>
      <c r="B836" s="348">
        <v>2.5999999999999999E-3</v>
      </c>
      <c r="C836" s="348">
        <v>2.8313000000000001E-3</v>
      </c>
      <c r="D836" s="348">
        <v>3.0438000000000002E-3</v>
      </c>
      <c r="E836" s="348">
        <v>4.5469000000000004E-3</v>
      </c>
      <c r="F836" s="349">
        <v>7.8125E-3</v>
      </c>
    </row>
    <row r="837" spans="1:6" ht="12" thickBot="1">
      <c r="A837" s="347">
        <v>40568</v>
      </c>
      <c r="B837" s="348">
        <v>2.5999999999999999E-3</v>
      </c>
      <c r="C837" s="348">
        <v>2.8313000000000001E-3</v>
      </c>
      <c r="D837" s="348">
        <v>3.0438000000000002E-3</v>
      </c>
      <c r="E837" s="348">
        <v>4.5469000000000004E-3</v>
      </c>
      <c r="F837" s="349">
        <v>7.8094000000000002E-3</v>
      </c>
    </row>
    <row r="838" spans="1:6" ht="12" thickBot="1">
      <c r="A838" s="347">
        <v>40567</v>
      </c>
      <c r="B838" s="348">
        <v>2.5999999999999999E-3</v>
      </c>
      <c r="C838" s="348">
        <v>2.8313000000000001E-3</v>
      </c>
      <c r="D838" s="348">
        <v>3.0312999999999998E-3</v>
      </c>
      <c r="E838" s="348">
        <v>4.5469000000000004E-3</v>
      </c>
      <c r="F838" s="349">
        <v>7.8094000000000002E-3</v>
      </c>
    </row>
    <row r="839" spans="1:6" ht="12" thickBot="1">
      <c r="A839" s="347">
        <v>40564</v>
      </c>
      <c r="B839" s="348">
        <v>2.5999999999999999E-3</v>
      </c>
      <c r="C839" s="348">
        <v>2.8313000000000001E-3</v>
      </c>
      <c r="D839" s="348">
        <v>3.0312999999999998E-3</v>
      </c>
      <c r="E839" s="348">
        <v>4.5469000000000004E-3</v>
      </c>
      <c r="F839" s="349">
        <v>7.8063000000000004E-3</v>
      </c>
    </row>
    <row r="840" spans="1:6" ht="12" thickBot="1">
      <c r="A840" s="347">
        <v>40563</v>
      </c>
      <c r="B840" s="348">
        <v>2.5999999999999999E-3</v>
      </c>
      <c r="C840" s="348">
        <v>2.8313000000000001E-3</v>
      </c>
      <c r="D840" s="348">
        <v>3.0312999999999998E-3</v>
      </c>
      <c r="E840" s="348">
        <v>4.5469000000000004E-3</v>
      </c>
      <c r="F840" s="349">
        <v>7.8031000000000003E-3</v>
      </c>
    </row>
    <row r="841" spans="1:6" ht="12" thickBot="1">
      <c r="A841" s="347">
        <v>40562</v>
      </c>
      <c r="B841" s="348">
        <v>2.5999999999999999E-3</v>
      </c>
      <c r="C841" s="348">
        <v>2.8313000000000001E-3</v>
      </c>
      <c r="D841" s="348">
        <v>3.0312999999999998E-3</v>
      </c>
      <c r="E841" s="348">
        <v>4.5469000000000004E-3</v>
      </c>
      <c r="F841" s="349">
        <v>7.8031000000000003E-3</v>
      </c>
    </row>
    <row r="842" spans="1:6" ht="12" thickBot="1">
      <c r="A842" s="347">
        <v>40561</v>
      </c>
      <c r="B842" s="348">
        <v>2.6063000000000002E-3</v>
      </c>
      <c r="C842" s="348">
        <v>2.8249999999999998E-3</v>
      </c>
      <c r="D842" s="348">
        <v>3.0312999999999998E-3</v>
      </c>
      <c r="E842" s="348">
        <v>4.5469000000000004E-3</v>
      </c>
      <c r="F842" s="349">
        <v>7.7906E-3</v>
      </c>
    </row>
    <row r="843" spans="1:6" ht="12" thickBot="1">
      <c r="A843" s="347">
        <v>40560</v>
      </c>
      <c r="B843" s="348">
        <v>2.6124999999999998E-3</v>
      </c>
      <c r="C843" s="348">
        <v>2.8249999999999998E-3</v>
      </c>
      <c r="D843" s="348">
        <v>3.0312999999999998E-3</v>
      </c>
      <c r="E843" s="348">
        <v>4.5469000000000004E-3</v>
      </c>
      <c r="F843" s="349">
        <v>7.7968999999999998E-3</v>
      </c>
    </row>
    <row r="844" spans="1:6" ht="12" thickBot="1">
      <c r="A844" s="347">
        <v>40557</v>
      </c>
      <c r="B844" s="348">
        <v>2.6124999999999998E-3</v>
      </c>
      <c r="C844" s="348">
        <v>2.8249999999999998E-3</v>
      </c>
      <c r="D844" s="348">
        <v>3.0312999999999998E-3</v>
      </c>
      <c r="E844" s="348">
        <v>4.5593999999999999E-3</v>
      </c>
      <c r="F844" s="349">
        <v>7.8218999999999997E-3</v>
      </c>
    </row>
    <row r="845" spans="1:6" ht="12" thickBot="1">
      <c r="A845" s="347">
        <v>40556</v>
      </c>
      <c r="B845" s="348">
        <v>2.6124999999999998E-3</v>
      </c>
      <c r="C845" s="348">
        <v>2.8249999999999998E-3</v>
      </c>
      <c r="D845" s="348">
        <v>3.0312999999999998E-3</v>
      </c>
      <c r="E845" s="348">
        <v>4.5656000000000004E-3</v>
      </c>
      <c r="F845" s="349">
        <v>7.8375000000000007E-3</v>
      </c>
    </row>
    <row r="846" spans="1:6" ht="12" thickBot="1">
      <c r="A846" s="347">
        <v>40555</v>
      </c>
      <c r="B846" s="348">
        <v>2.6124999999999998E-3</v>
      </c>
      <c r="C846" s="348">
        <v>2.8249999999999998E-3</v>
      </c>
      <c r="D846" s="348">
        <v>3.0312999999999998E-3</v>
      </c>
      <c r="E846" s="348">
        <v>4.5681000000000003E-3</v>
      </c>
      <c r="F846" s="349">
        <v>7.8375000000000007E-3</v>
      </c>
    </row>
    <row r="847" spans="1:6" ht="12" thickBot="1">
      <c r="A847" s="347">
        <v>40554</v>
      </c>
      <c r="B847" s="348">
        <v>2.6124999999999998E-3</v>
      </c>
      <c r="C847" s="348">
        <v>2.8249999999999998E-3</v>
      </c>
      <c r="D847" s="348">
        <v>3.0312999999999998E-3</v>
      </c>
      <c r="E847" s="348">
        <v>4.5694000000000004E-3</v>
      </c>
      <c r="F847" s="349">
        <v>7.8387999999999999E-3</v>
      </c>
    </row>
    <row r="848" spans="1:6" ht="12" thickBot="1">
      <c r="A848" s="347">
        <v>40550</v>
      </c>
      <c r="B848" s="348">
        <v>2.6124999999999998E-3</v>
      </c>
      <c r="C848" s="348">
        <v>2.8249999999999998E-3</v>
      </c>
      <c r="D848" s="348">
        <v>3.0312999999999998E-3</v>
      </c>
      <c r="E848" s="348">
        <v>4.5731000000000001E-3</v>
      </c>
      <c r="F848" s="349">
        <v>7.8549999999999991E-3</v>
      </c>
    </row>
    <row r="849" spans="1:6" ht="12" thickBot="1">
      <c r="A849" s="347">
        <v>40549</v>
      </c>
      <c r="B849" s="348">
        <v>2.6124999999999998E-3</v>
      </c>
      <c r="C849" s="348">
        <v>2.8249999999999998E-3</v>
      </c>
      <c r="D849" s="348">
        <v>3.0312999999999998E-3</v>
      </c>
      <c r="E849" s="348">
        <v>4.5719000000000003E-3</v>
      </c>
      <c r="F849" s="349">
        <v>7.8525000000000001E-3</v>
      </c>
    </row>
    <row r="850" spans="1:6" ht="12" thickBot="1">
      <c r="A850" s="347">
        <v>40548</v>
      </c>
      <c r="B850" s="348">
        <v>2.6124999999999998E-3</v>
      </c>
      <c r="C850" s="348">
        <v>2.8249999999999998E-3</v>
      </c>
      <c r="D850" s="348">
        <v>3.0281000000000001E-3</v>
      </c>
      <c r="E850" s="348">
        <v>4.5456000000000003E-3</v>
      </c>
      <c r="F850" s="349">
        <v>7.8094000000000002E-3</v>
      </c>
    </row>
    <row r="851" spans="1:6" ht="12" thickBot="1">
      <c r="A851" s="347">
        <v>40547</v>
      </c>
      <c r="B851" s="348">
        <v>2.6063000000000002E-3</v>
      </c>
      <c r="C851" s="348">
        <v>2.8249999999999998E-3</v>
      </c>
      <c r="D851" s="348">
        <v>3.0281000000000001E-3</v>
      </c>
      <c r="E851" s="348">
        <v>4.5580999999999998E-3</v>
      </c>
      <c r="F851" s="349">
        <v>7.8094000000000002E-3</v>
      </c>
    </row>
    <row r="852" spans="1:6" ht="12" thickBot="1">
      <c r="A852" s="350">
        <v>40546</v>
      </c>
      <c r="B852" s="351">
        <v>2.6063000000000002E-3</v>
      </c>
      <c r="C852" s="351">
        <v>2.8249999999999998E-3</v>
      </c>
      <c r="D852" s="351">
        <v>3.0281000000000001E-3</v>
      </c>
      <c r="E852" s="351">
        <v>4.5593999999999999E-3</v>
      </c>
      <c r="F852" s="352">
        <v>7.8094000000000002E-3</v>
      </c>
    </row>
    <row r="853" spans="1:6">
      <c r="A853" s="341">
        <v>2010</v>
      </c>
      <c r="B853" s="342"/>
      <c r="C853" s="342"/>
      <c r="D853" s="342"/>
      <c r="E853" s="342"/>
      <c r="F853" s="342"/>
    </row>
    <row r="854" spans="1:6" ht="12" thickBot="1">
      <c r="A854" s="343"/>
      <c r="B854" s="688"/>
      <c r="C854" s="689"/>
      <c r="D854" s="689"/>
      <c r="E854" s="689"/>
      <c r="F854" s="690"/>
    </row>
    <row r="855" spans="1:6" ht="23.25" thickBot="1">
      <c r="A855" s="344" t="s">
        <v>319</v>
      </c>
      <c r="B855" s="345" t="s">
        <v>323</v>
      </c>
      <c r="C855" s="345" t="s">
        <v>324</v>
      </c>
      <c r="D855" s="345" t="s">
        <v>325</v>
      </c>
      <c r="E855" s="345" t="s">
        <v>326</v>
      </c>
      <c r="F855" s="346" t="s">
        <v>327</v>
      </c>
    </row>
    <row r="856" spans="1:6" ht="12" thickBot="1">
      <c r="A856" s="347">
        <v>40542</v>
      </c>
      <c r="B856" s="348">
        <v>2.6063000000000002E-3</v>
      </c>
      <c r="C856" s="348">
        <v>2.8249999999999998E-3</v>
      </c>
      <c r="D856" s="348">
        <v>3.0281000000000001E-3</v>
      </c>
      <c r="E856" s="348">
        <v>4.5656000000000004E-3</v>
      </c>
      <c r="F856" s="349">
        <v>7.8156000000000007E-3</v>
      </c>
    </row>
    <row r="857" spans="1:6" ht="12" thickBot="1">
      <c r="A857" s="347">
        <v>40541</v>
      </c>
      <c r="B857" s="348">
        <v>2.6063000000000002E-3</v>
      </c>
      <c r="C857" s="348">
        <v>2.8249999999999998E-3</v>
      </c>
      <c r="D857" s="348">
        <v>3.0281000000000001E-3</v>
      </c>
      <c r="E857" s="348">
        <v>4.5687999999999996E-3</v>
      </c>
      <c r="F857" s="349">
        <v>7.8312999999999994E-3</v>
      </c>
    </row>
    <row r="858" spans="1:6" ht="12" thickBot="1">
      <c r="A858" s="347">
        <v>40540</v>
      </c>
      <c r="B858" s="348">
        <v>2.6063000000000002E-3</v>
      </c>
      <c r="C858" s="348">
        <v>2.8249999999999998E-3</v>
      </c>
      <c r="D858" s="348">
        <v>3.0281000000000001E-3</v>
      </c>
      <c r="E858" s="348">
        <v>4.5719000000000003E-3</v>
      </c>
      <c r="F858" s="349">
        <v>7.8312999999999994E-3</v>
      </c>
    </row>
    <row r="859" spans="1:6" ht="12" thickBot="1">
      <c r="A859" s="347">
        <v>40539</v>
      </c>
      <c r="B859" s="348">
        <v>2.6063000000000002E-3</v>
      </c>
      <c r="C859" s="348">
        <v>2.8249999999999998E-3</v>
      </c>
      <c r="D859" s="348">
        <v>3.0281000000000001E-3</v>
      </c>
      <c r="E859" s="348">
        <v>4.5719000000000003E-3</v>
      </c>
      <c r="F859" s="349">
        <v>7.8312999999999994E-3</v>
      </c>
    </row>
    <row r="860" spans="1:6" ht="12" thickBot="1">
      <c r="A860" s="347">
        <v>40536</v>
      </c>
      <c r="B860" s="348">
        <v>2.6063000000000002E-3</v>
      </c>
      <c r="C860" s="348">
        <v>2.8249999999999998E-3</v>
      </c>
      <c r="D860" s="348">
        <v>3.0281000000000001E-3</v>
      </c>
      <c r="E860" s="348">
        <v>4.5719000000000003E-3</v>
      </c>
      <c r="F860" s="349">
        <v>7.8312999999999994E-3</v>
      </c>
    </row>
    <row r="861" spans="1:6" ht="12" thickBot="1">
      <c r="A861" s="347">
        <v>40535</v>
      </c>
      <c r="B861" s="348">
        <v>2.6063000000000002E-3</v>
      </c>
      <c r="C861" s="348">
        <v>2.8249999999999998E-3</v>
      </c>
      <c r="D861" s="348">
        <v>3.0281000000000001E-3</v>
      </c>
      <c r="E861" s="348">
        <v>4.5719000000000003E-3</v>
      </c>
      <c r="F861" s="349">
        <v>7.8312999999999994E-3</v>
      </c>
    </row>
    <row r="862" spans="1:6" ht="12" thickBot="1">
      <c r="A862" s="347">
        <v>40534</v>
      </c>
      <c r="B862" s="348">
        <v>2.6063000000000002E-3</v>
      </c>
      <c r="C862" s="348">
        <v>2.8249999999999998E-3</v>
      </c>
      <c r="D862" s="348">
        <v>3.0281000000000001E-3</v>
      </c>
      <c r="E862" s="348">
        <v>4.5719000000000003E-3</v>
      </c>
      <c r="F862" s="349">
        <v>7.8312999999999994E-3</v>
      </c>
    </row>
    <row r="863" spans="1:6" ht="12" thickBot="1">
      <c r="A863" s="347">
        <v>40533</v>
      </c>
      <c r="B863" s="348">
        <v>2.6063000000000002E-3</v>
      </c>
      <c r="C863" s="348">
        <v>2.8249999999999998E-3</v>
      </c>
      <c r="D863" s="348">
        <v>3.0281000000000001E-3</v>
      </c>
      <c r="E863" s="348">
        <v>4.5719000000000003E-3</v>
      </c>
      <c r="F863" s="349">
        <v>7.8324999999999992E-3</v>
      </c>
    </row>
    <row r="864" spans="1:6" ht="12" thickBot="1">
      <c r="A864" s="347">
        <v>40532</v>
      </c>
      <c r="B864" s="348">
        <v>2.6063000000000002E-3</v>
      </c>
      <c r="C864" s="348">
        <v>2.8249999999999998E-3</v>
      </c>
      <c r="D864" s="348">
        <v>3.0281000000000001E-3</v>
      </c>
      <c r="E864" s="348">
        <v>4.5719000000000003E-3</v>
      </c>
      <c r="F864" s="349">
        <v>7.8324999999999992E-3</v>
      </c>
    </row>
    <row r="865" spans="1:6" ht="12" thickBot="1">
      <c r="A865" s="347">
        <v>40529</v>
      </c>
      <c r="B865" s="348">
        <v>2.6063000000000002E-3</v>
      </c>
      <c r="C865" s="348">
        <v>2.8249999999999998E-3</v>
      </c>
      <c r="D865" s="348">
        <v>3.0374999999999998E-3</v>
      </c>
      <c r="E865" s="348">
        <v>4.5719000000000003E-3</v>
      </c>
      <c r="F865" s="349">
        <v>7.8387999999999999E-3</v>
      </c>
    </row>
    <row r="866" spans="1:6" ht="12" thickBot="1">
      <c r="A866" s="347">
        <v>40528</v>
      </c>
      <c r="B866" s="348">
        <v>2.6063000000000002E-3</v>
      </c>
      <c r="C866" s="348">
        <v>2.8249999999999998E-3</v>
      </c>
      <c r="D866" s="348">
        <v>3.0374999999999998E-3</v>
      </c>
      <c r="E866" s="348">
        <v>4.5969000000000001E-3</v>
      </c>
      <c r="F866" s="349">
        <v>7.8513000000000003E-3</v>
      </c>
    </row>
    <row r="867" spans="1:6" ht="12" thickBot="1">
      <c r="A867" s="347">
        <v>40527</v>
      </c>
      <c r="B867" s="348">
        <v>2.6063000000000002E-3</v>
      </c>
      <c r="C867" s="348">
        <v>2.8062999999999999E-3</v>
      </c>
      <c r="D867" s="348">
        <v>3.0187999999999999E-3</v>
      </c>
      <c r="E867" s="348">
        <v>4.5780999999999999E-3</v>
      </c>
      <c r="F867" s="349">
        <v>7.8344E-3</v>
      </c>
    </row>
    <row r="868" spans="1:6" ht="12" thickBot="1">
      <c r="A868" s="347">
        <v>40526</v>
      </c>
      <c r="B868" s="348">
        <v>2.6063000000000002E-3</v>
      </c>
      <c r="C868" s="348">
        <v>2.8062999999999999E-3</v>
      </c>
      <c r="D868" s="348">
        <v>3.0187999999999999E-3</v>
      </c>
      <c r="E868" s="348">
        <v>4.5618999999999998E-3</v>
      </c>
      <c r="F868" s="349">
        <v>7.8375000000000007E-3</v>
      </c>
    </row>
    <row r="869" spans="1:6" ht="12" thickBot="1">
      <c r="A869" s="347">
        <v>40525</v>
      </c>
      <c r="B869" s="348">
        <v>2.6031000000000001E-3</v>
      </c>
      <c r="C869" s="348">
        <v>2.8062999999999999E-3</v>
      </c>
      <c r="D869" s="348">
        <v>3.0155999999999998E-3</v>
      </c>
      <c r="E869" s="348">
        <v>4.5630999999999996E-3</v>
      </c>
      <c r="F869" s="349">
        <v>7.8499999999999993E-3</v>
      </c>
    </row>
    <row r="870" spans="1:6" ht="12" thickBot="1">
      <c r="A870" s="347">
        <v>40522</v>
      </c>
      <c r="B870" s="348">
        <v>2.6031000000000001E-3</v>
      </c>
      <c r="C870" s="348">
        <v>2.8062999999999999E-3</v>
      </c>
      <c r="D870" s="348">
        <v>3.0155999999999998E-3</v>
      </c>
      <c r="E870" s="348">
        <v>4.5719000000000003E-3</v>
      </c>
      <c r="F870" s="349">
        <v>7.8250000000000004E-3</v>
      </c>
    </row>
    <row r="871" spans="1:6" ht="12" thickBot="1">
      <c r="A871" s="347">
        <v>40521</v>
      </c>
      <c r="B871" s="348">
        <v>2.6218999999999999E-3</v>
      </c>
      <c r="C871" s="348">
        <v>2.8188000000000002E-3</v>
      </c>
      <c r="D871" s="348">
        <v>3.0219000000000001E-3</v>
      </c>
      <c r="E871" s="348">
        <v>4.5719000000000003E-3</v>
      </c>
      <c r="F871" s="349">
        <v>7.8250000000000004E-3</v>
      </c>
    </row>
    <row r="872" spans="1:6" ht="12" thickBot="1">
      <c r="A872" s="347">
        <v>40519</v>
      </c>
      <c r="B872" s="348">
        <v>2.6375000000000001E-3</v>
      </c>
      <c r="C872" s="348">
        <v>2.8124999999999999E-3</v>
      </c>
      <c r="D872" s="348">
        <v>3.0219000000000001E-3</v>
      </c>
      <c r="E872" s="348">
        <v>4.5719000000000003E-3</v>
      </c>
      <c r="F872" s="349">
        <v>7.8125E-3</v>
      </c>
    </row>
    <row r="873" spans="1:6" ht="12" thickBot="1">
      <c r="A873" s="347">
        <v>40518</v>
      </c>
      <c r="B873" s="348">
        <v>2.65E-3</v>
      </c>
      <c r="C873" s="348">
        <v>2.8249999999999998E-3</v>
      </c>
      <c r="D873" s="348">
        <v>3.0344E-3</v>
      </c>
      <c r="E873" s="348">
        <v>4.5969000000000001E-3</v>
      </c>
      <c r="F873" s="349">
        <v>7.8250000000000004E-3</v>
      </c>
    </row>
    <row r="874" spans="1:6" ht="12" thickBot="1">
      <c r="A874" s="347">
        <v>40515</v>
      </c>
      <c r="B874" s="348">
        <v>2.65E-3</v>
      </c>
      <c r="C874" s="348">
        <v>2.8249999999999998E-3</v>
      </c>
      <c r="D874" s="348">
        <v>3.0344E-3</v>
      </c>
      <c r="E874" s="348">
        <v>4.6219E-3</v>
      </c>
      <c r="F874" s="349">
        <v>7.8793999999999999E-3</v>
      </c>
    </row>
    <row r="875" spans="1:6" ht="12" thickBot="1">
      <c r="A875" s="347">
        <v>40514</v>
      </c>
      <c r="B875" s="348">
        <v>2.6562999999999999E-3</v>
      </c>
      <c r="C875" s="348">
        <v>2.8249999999999998E-3</v>
      </c>
      <c r="D875" s="348">
        <v>3.0344E-3</v>
      </c>
      <c r="E875" s="348">
        <v>4.6531000000000003E-3</v>
      </c>
      <c r="F875" s="349">
        <v>7.9000000000000008E-3</v>
      </c>
    </row>
    <row r="876" spans="1:6" ht="12" thickBot="1">
      <c r="A876" s="347">
        <v>40513</v>
      </c>
      <c r="B876" s="348">
        <v>2.6530999999999998E-3</v>
      </c>
      <c r="C876" s="348">
        <v>2.8249999999999998E-3</v>
      </c>
      <c r="D876" s="348">
        <v>3.0344E-3</v>
      </c>
      <c r="E876" s="348">
        <v>4.6655999999999998E-3</v>
      </c>
      <c r="F876" s="349">
        <v>7.9000000000000008E-3</v>
      </c>
    </row>
    <row r="877" spans="1:6" ht="12" thickBot="1">
      <c r="A877" s="347">
        <v>40512</v>
      </c>
      <c r="B877" s="348">
        <v>2.6063000000000002E-3</v>
      </c>
      <c r="C877" s="348">
        <v>2.8E-3</v>
      </c>
      <c r="D877" s="348">
        <v>3.0030999999999999E-3</v>
      </c>
      <c r="E877" s="348">
        <v>4.6100000000000004E-3</v>
      </c>
      <c r="F877" s="349">
        <v>7.8656000000000004E-3</v>
      </c>
    </row>
    <row r="878" spans="1:6" ht="12" thickBot="1">
      <c r="A878" s="347">
        <v>40511</v>
      </c>
      <c r="B878" s="348">
        <v>2.575E-3</v>
      </c>
      <c r="C878" s="348">
        <v>2.7750000000000001E-3</v>
      </c>
      <c r="D878" s="348">
        <v>2.9594000000000001E-3</v>
      </c>
      <c r="E878" s="348">
        <v>4.5906000000000002E-3</v>
      </c>
      <c r="F878" s="349">
        <v>7.8493999999999994E-3</v>
      </c>
    </row>
    <row r="879" spans="1:6" ht="12" thickBot="1">
      <c r="A879" s="347">
        <v>40508</v>
      </c>
      <c r="B879" s="348">
        <v>2.5625000000000001E-3</v>
      </c>
      <c r="C879" s="348">
        <v>2.7594E-3</v>
      </c>
      <c r="D879" s="348">
        <v>2.9437999999999999E-3</v>
      </c>
      <c r="E879" s="348">
        <v>4.5875000000000004E-3</v>
      </c>
      <c r="F879" s="349">
        <v>7.8463000000000005E-3</v>
      </c>
    </row>
    <row r="880" spans="1:6" ht="12" thickBot="1">
      <c r="A880" s="347">
        <v>40507</v>
      </c>
      <c r="B880" s="348">
        <v>2.5500000000000002E-3</v>
      </c>
      <c r="C880" s="348">
        <v>2.7437999999999998E-3</v>
      </c>
      <c r="D880" s="348">
        <v>2.9188E-3</v>
      </c>
      <c r="E880" s="348">
        <v>4.5624999999999997E-3</v>
      </c>
      <c r="F880" s="349">
        <v>7.8025000000000004E-3</v>
      </c>
    </row>
    <row r="881" spans="1:6" ht="12" thickBot="1">
      <c r="A881" s="347">
        <v>40506</v>
      </c>
      <c r="B881" s="348">
        <v>2.5344E-3</v>
      </c>
      <c r="C881" s="348">
        <v>2.7141000000000001E-3</v>
      </c>
      <c r="D881" s="348">
        <v>2.875E-3</v>
      </c>
      <c r="E881" s="348">
        <v>4.4688000000000002E-3</v>
      </c>
      <c r="F881" s="349">
        <v>7.6649999999999999E-3</v>
      </c>
    </row>
    <row r="882" spans="1:6" ht="12" thickBot="1">
      <c r="A882" s="347">
        <v>40505</v>
      </c>
      <c r="B882" s="348">
        <v>2.5344E-3</v>
      </c>
      <c r="C882" s="348">
        <v>2.6827999999999999E-3</v>
      </c>
      <c r="D882" s="348">
        <v>2.8438000000000001E-3</v>
      </c>
      <c r="E882" s="348">
        <v>4.4219000000000003E-3</v>
      </c>
      <c r="F882" s="349">
        <v>7.6312999999999997E-3</v>
      </c>
    </row>
    <row r="883" spans="1:6" ht="12" thickBot="1">
      <c r="A883" s="347">
        <v>40504</v>
      </c>
      <c r="B883" s="348">
        <v>2.5344E-3</v>
      </c>
      <c r="C883" s="348">
        <v>2.6827999999999999E-3</v>
      </c>
      <c r="D883" s="348">
        <v>2.8438000000000001E-3</v>
      </c>
      <c r="E883" s="348">
        <v>4.4219000000000003E-3</v>
      </c>
      <c r="F883" s="349">
        <v>7.6312999999999997E-3</v>
      </c>
    </row>
    <row r="884" spans="1:6" ht="12" thickBot="1">
      <c r="A884" s="347">
        <v>40501</v>
      </c>
      <c r="B884" s="348">
        <v>2.5344E-3</v>
      </c>
      <c r="C884" s="348">
        <v>2.6827999999999999E-3</v>
      </c>
      <c r="D884" s="348">
        <v>2.8438000000000001E-3</v>
      </c>
      <c r="E884" s="348">
        <v>4.4219000000000003E-3</v>
      </c>
      <c r="F884" s="349">
        <v>7.6312999999999997E-3</v>
      </c>
    </row>
    <row r="885" spans="1:6" ht="12" thickBot="1">
      <c r="A885" s="347">
        <v>40500</v>
      </c>
      <c r="B885" s="348">
        <v>2.5344E-3</v>
      </c>
      <c r="C885" s="348">
        <v>2.6827999999999999E-3</v>
      </c>
      <c r="D885" s="348">
        <v>2.8438000000000001E-3</v>
      </c>
      <c r="E885" s="348">
        <v>4.4219000000000003E-3</v>
      </c>
      <c r="F885" s="349">
        <v>7.6325000000000004E-3</v>
      </c>
    </row>
    <row r="886" spans="1:6" ht="12" thickBot="1">
      <c r="A886" s="347">
        <v>40499</v>
      </c>
      <c r="B886" s="348">
        <v>2.5344E-3</v>
      </c>
      <c r="C886" s="348">
        <v>2.6827999999999999E-3</v>
      </c>
      <c r="D886" s="348">
        <v>2.8438000000000001E-3</v>
      </c>
      <c r="E886" s="348">
        <v>4.4219000000000003E-3</v>
      </c>
      <c r="F886" s="349">
        <v>7.6249999999999998E-3</v>
      </c>
    </row>
    <row r="887" spans="1:6" ht="12" thickBot="1">
      <c r="A887" s="347">
        <v>40498</v>
      </c>
      <c r="B887" s="348">
        <v>2.5344E-3</v>
      </c>
      <c r="C887" s="348">
        <v>2.6827999999999999E-3</v>
      </c>
      <c r="D887" s="348">
        <v>2.8438000000000001E-3</v>
      </c>
      <c r="E887" s="348">
        <v>4.4219000000000003E-3</v>
      </c>
      <c r="F887" s="349">
        <v>7.6249999999999998E-3</v>
      </c>
    </row>
    <row r="888" spans="1:6" ht="12" thickBot="1">
      <c r="A888" s="347">
        <v>40494</v>
      </c>
      <c r="B888" s="348">
        <v>2.5344E-3</v>
      </c>
      <c r="C888" s="348">
        <v>2.6827999999999999E-3</v>
      </c>
      <c r="D888" s="348">
        <v>2.8438000000000001E-3</v>
      </c>
      <c r="E888" s="348">
        <v>4.4280999999999999E-3</v>
      </c>
      <c r="F888" s="349">
        <v>7.6280999999999996E-3</v>
      </c>
    </row>
    <row r="889" spans="1:6" ht="12" thickBot="1">
      <c r="A889" s="347">
        <v>40493</v>
      </c>
      <c r="B889" s="348">
        <v>2.5344E-3</v>
      </c>
      <c r="C889" s="348">
        <v>2.6827999999999999E-3</v>
      </c>
      <c r="D889" s="348">
        <v>2.8563E-3</v>
      </c>
      <c r="E889" s="348">
        <v>4.4280999999999999E-3</v>
      </c>
      <c r="F889" s="349">
        <v>7.5906000000000003E-3</v>
      </c>
    </row>
    <row r="890" spans="1:6" ht="12" thickBot="1">
      <c r="A890" s="347">
        <v>40492</v>
      </c>
      <c r="B890" s="348">
        <v>2.5344E-3</v>
      </c>
      <c r="C890" s="348">
        <v>2.6827999999999999E-3</v>
      </c>
      <c r="D890" s="348">
        <v>2.8563E-3</v>
      </c>
      <c r="E890" s="348">
        <v>4.4280999999999999E-3</v>
      </c>
      <c r="F890" s="349">
        <v>7.5906000000000003E-3</v>
      </c>
    </row>
    <row r="891" spans="1:6" ht="12" thickBot="1">
      <c r="A891" s="347">
        <v>40491</v>
      </c>
      <c r="B891" s="348">
        <v>2.5344E-3</v>
      </c>
      <c r="C891" s="348">
        <v>2.6827999999999999E-3</v>
      </c>
      <c r="D891" s="348">
        <v>2.8563E-3</v>
      </c>
      <c r="E891" s="348">
        <v>4.4280999999999999E-3</v>
      </c>
      <c r="F891" s="349">
        <v>7.5874999999999996E-3</v>
      </c>
    </row>
    <row r="892" spans="1:6" ht="12" thickBot="1">
      <c r="A892" s="347">
        <v>40490</v>
      </c>
      <c r="B892" s="348">
        <v>2.5344E-3</v>
      </c>
      <c r="C892" s="348">
        <v>2.6827999999999999E-3</v>
      </c>
      <c r="D892" s="348">
        <v>2.8563E-3</v>
      </c>
      <c r="E892" s="348">
        <v>4.4250000000000001E-3</v>
      </c>
      <c r="F892" s="349">
        <v>7.5556E-3</v>
      </c>
    </row>
    <row r="893" spans="1:6" ht="12" thickBot="1">
      <c r="A893" s="347">
        <v>40487</v>
      </c>
      <c r="B893" s="348">
        <v>2.5344E-3</v>
      </c>
      <c r="C893" s="348">
        <v>2.6827999999999999E-3</v>
      </c>
      <c r="D893" s="348">
        <v>2.8563E-3</v>
      </c>
      <c r="E893" s="348">
        <v>4.4187999999999996E-3</v>
      </c>
      <c r="F893" s="349">
        <v>7.5525000000000002E-3</v>
      </c>
    </row>
    <row r="894" spans="1:6" ht="12" thickBot="1">
      <c r="A894" s="347">
        <v>40486</v>
      </c>
      <c r="B894" s="348">
        <v>2.5344E-3</v>
      </c>
      <c r="C894" s="348">
        <v>2.6827999999999999E-3</v>
      </c>
      <c r="D894" s="348">
        <v>2.8563E-3</v>
      </c>
      <c r="E894" s="348">
        <v>4.4250000000000001E-3</v>
      </c>
      <c r="F894" s="349">
        <v>7.5599999999999999E-3</v>
      </c>
    </row>
    <row r="895" spans="1:6" ht="12" thickBot="1">
      <c r="A895" s="347">
        <v>40485</v>
      </c>
      <c r="B895" s="348">
        <v>2.5374999999999998E-3</v>
      </c>
      <c r="C895" s="348">
        <v>2.6859000000000002E-3</v>
      </c>
      <c r="D895" s="348">
        <v>2.8593999999999998E-3</v>
      </c>
      <c r="E895" s="348">
        <v>4.4438000000000004E-3</v>
      </c>
      <c r="F895" s="349">
        <v>7.6038E-3</v>
      </c>
    </row>
    <row r="896" spans="1:6" ht="12" thickBot="1">
      <c r="A896" s="347">
        <v>40484</v>
      </c>
      <c r="B896" s="348">
        <v>2.5374999999999998E-3</v>
      </c>
      <c r="C896" s="348">
        <v>2.6859000000000002E-3</v>
      </c>
      <c r="D896" s="348">
        <v>2.8593999999999998E-3</v>
      </c>
      <c r="E896" s="348">
        <v>4.4562999999999998E-3</v>
      </c>
      <c r="F896" s="349">
        <v>7.6038E-3</v>
      </c>
    </row>
    <row r="897" spans="1:6" ht="12" thickBot="1">
      <c r="A897" s="347">
        <v>40480</v>
      </c>
      <c r="B897" s="348">
        <v>2.5374999999999998E-3</v>
      </c>
      <c r="C897" s="348">
        <v>2.6765999999999999E-3</v>
      </c>
      <c r="D897" s="348">
        <v>2.8593999999999998E-3</v>
      </c>
      <c r="E897" s="348">
        <v>4.4844000000000004E-3</v>
      </c>
      <c r="F897" s="349">
        <v>7.6219E-3</v>
      </c>
    </row>
    <row r="898" spans="1:6" ht="12" thickBot="1">
      <c r="A898" s="347">
        <v>40479</v>
      </c>
      <c r="B898" s="348">
        <v>2.5406000000000001E-3</v>
      </c>
      <c r="C898" s="348">
        <v>2.7016000000000002E-3</v>
      </c>
      <c r="D898" s="348">
        <v>2.8687999999999999E-3</v>
      </c>
      <c r="E898" s="348">
        <v>4.4980999999999997E-3</v>
      </c>
      <c r="F898" s="349">
        <v>7.6400000000000001E-3</v>
      </c>
    </row>
    <row r="899" spans="1:6" ht="12" thickBot="1">
      <c r="A899" s="347">
        <v>40478</v>
      </c>
      <c r="B899" s="348">
        <v>2.5531E-3</v>
      </c>
      <c r="C899" s="348">
        <v>2.7077999999999998E-3</v>
      </c>
      <c r="D899" s="348">
        <v>2.8812999999999998E-3</v>
      </c>
      <c r="E899" s="348">
        <v>4.5031000000000003E-3</v>
      </c>
      <c r="F899" s="349">
        <v>7.6537999999999997E-3</v>
      </c>
    </row>
    <row r="900" spans="1:6" ht="12" thickBot="1">
      <c r="A900" s="347">
        <v>40477</v>
      </c>
      <c r="B900" s="348">
        <v>2.5531E-3</v>
      </c>
      <c r="C900" s="348">
        <v>2.7109E-3</v>
      </c>
      <c r="D900" s="348">
        <v>2.8844000000000001E-3</v>
      </c>
      <c r="E900" s="348">
        <v>4.5125E-3</v>
      </c>
      <c r="F900" s="349">
        <v>7.6524999999999996E-3</v>
      </c>
    </row>
    <row r="901" spans="1:6" ht="12" thickBot="1">
      <c r="A901" s="347">
        <v>40476</v>
      </c>
      <c r="B901" s="348">
        <v>2.5625000000000001E-3</v>
      </c>
      <c r="C901" s="348">
        <v>2.7109E-3</v>
      </c>
      <c r="D901" s="348">
        <v>2.8844000000000001E-3</v>
      </c>
      <c r="E901" s="348">
        <v>4.5250000000000004E-3</v>
      </c>
      <c r="F901" s="349">
        <v>7.6524999999999996E-3</v>
      </c>
    </row>
    <row r="902" spans="1:6" ht="12" thickBot="1">
      <c r="A902" s="347">
        <v>40473</v>
      </c>
      <c r="B902" s="348">
        <v>2.5625000000000001E-3</v>
      </c>
      <c r="C902" s="348">
        <v>2.7109E-3</v>
      </c>
      <c r="D902" s="348">
        <v>2.8844000000000001E-3</v>
      </c>
      <c r="E902" s="348">
        <v>4.5250000000000004E-3</v>
      </c>
      <c r="F902" s="349">
        <v>7.6537999999999997E-3</v>
      </c>
    </row>
    <row r="903" spans="1:6" ht="12" thickBot="1">
      <c r="A903" s="347">
        <v>40472</v>
      </c>
      <c r="B903" s="348">
        <v>2.5625000000000001E-3</v>
      </c>
      <c r="C903" s="348">
        <v>2.7109E-3</v>
      </c>
      <c r="D903" s="348">
        <v>2.8844000000000001E-3</v>
      </c>
      <c r="E903" s="348">
        <v>4.5250000000000004E-3</v>
      </c>
      <c r="F903" s="349">
        <v>7.6537999999999997E-3</v>
      </c>
    </row>
    <row r="904" spans="1:6" ht="12" thickBot="1">
      <c r="A904" s="347">
        <v>40471</v>
      </c>
      <c r="B904" s="348">
        <v>2.5625000000000001E-3</v>
      </c>
      <c r="C904" s="348">
        <v>2.7109E-3</v>
      </c>
      <c r="D904" s="348">
        <v>2.8844000000000001E-3</v>
      </c>
      <c r="E904" s="348">
        <v>4.5374999999999999E-3</v>
      </c>
      <c r="F904" s="349">
        <v>7.6550000000000003E-3</v>
      </c>
    </row>
    <row r="905" spans="1:6" ht="12" thickBot="1">
      <c r="A905" s="347">
        <v>40470</v>
      </c>
      <c r="B905" s="348">
        <v>2.5625000000000001E-3</v>
      </c>
      <c r="C905" s="348">
        <v>2.7171999999999999E-3</v>
      </c>
      <c r="D905" s="348">
        <v>2.8906000000000001E-3</v>
      </c>
      <c r="E905" s="348">
        <v>4.5250000000000004E-3</v>
      </c>
      <c r="F905" s="349">
        <v>7.6550000000000003E-3</v>
      </c>
    </row>
    <row r="906" spans="1:6" ht="12" thickBot="1">
      <c r="A906" s="347">
        <v>40466</v>
      </c>
      <c r="B906" s="348">
        <v>2.5625000000000001E-3</v>
      </c>
      <c r="C906" s="348">
        <v>2.7296999999999998E-3</v>
      </c>
      <c r="D906" s="348">
        <v>2.8906000000000001E-3</v>
      </c>
      <c r="E906" s="348">
        <v>4.5250000000000004E-3</v>
      </c>
      <c r="F906" s="349">
        <v>7.6663E-3</v>
      </c>
    </row>
    <row r="907" spans="1:6" ht="12" thickBot="1">
      <c r="A907" s="347">
        <v>40465</v>
      </c>
      <c r="B907" s="348">
        <v>2.5625000000000001E-3</v>
      </c>
      <c r="C907" s="348">
        <v>2.7296999999999998E-3</v>
      </c>
      <c r="D907" s="348">
        <v>2.8906000000000001E-3</v>
      </c>
      <c r="E907" s="348">
        <v>4.5374999999999999E-3</v>
      </c>
      <c r="F907" s="349">
        <v>7.6649999999999999E-3</v>
      </c>
    </row>
    <row r="908" spans="1:6" ht="12" thickBot="1">
      <c r="A908" s="347">
        <v>40464</v>
      </c>
      <c r="B908" s="348">
        <v>2.5625000000000001E-3</v>
      </c>
      <c r="C908" s="348">
        <v>2.7296999999999998E-3</v>
      </c>
      <c r="D908" s="348">
        <v>2.8906000000000001E-3</v>
      </c>
      <c r="E908" s="348">
        <v>4.5500000000000002E-3</v>
      </c>
      <c r="F908" s="349">
        <v>7.6680999999999997E-3</v>
      </c>
    </row>
    <row r="909" spans="1:6" ht="12" thickBot="1">
      <c r="A909" s="347">
        <v>40463</v>
      </c>
      <c r="B909" s="348">
        <v>2.5625000000000001E-3</v>
      </c>
      <c r="C909" s="348">
        <v>2.7296999999999998E-3</v>
      </c>
      <c r="D909" s="348">
        <v>2.8906000000000001E-3</v>
      </c>
      <c r="E909" s="348">
        <v>4.5500000000000002E-3</v>
      </c>
      <c r="F909" s="349">
        <v>7.6649999999999999E-3</v>
      </c>
    </row>
    <row r="910" spans="1:6" ht="12" thickBot="1">
      <c r="A910" s="347">
        <v>40462</v>
      </c>
      <c r="B910" s="348">
        <v>2.5625000000000001E-3</v>
      </c>
      <c r="C910" s="348">
        <v>2.7296999999999998E-3</v>
      </c>
      <c r="D910" s="348">
        <v>2.8906000000000001E-3</v>
      </c>
      <c r="E910" s="348">
        <v>4.5656000000000004E-3</v>
      </c>
      <c r="F910" s="349">
        <v>7.6693999999999998E-3</v>
      </c>
    </row>
    <row r="911" spans="1:6" ht="12" thickBot="1">
      <c r="A911" s="347">
        <v>40459</v>
      </c>
      <c r="B911" s="348">
        <v>2.5625000000000001E-3</v>
      </c>
      <c r="C911" s="348">
        <v>2.7296999999999998E-3</v>
      </c>
      <c r="D911" s="348">
        <v>2.8906000000000001E-3</v>
      </c>
      <c r="E911" s="348">
        <v>4.5750000000000001E-3</v>
      </c>
      <c r="F911" s="349">
        <v>7.6956000000000004E-3</v>
      </c>
    </row>
    <row r="912" spans="1:6" ht="12" thickBot="1">
      <c r="A912" s="347">
        <v>40458</v>
      </c>
      <c r="B912" s="348">
        <v>2.5625000000000001E-3</v>
      </c>
      <c r="C912" s="348">
        <v>2.7296999999999998E-3</v>
      </c>
      <c r="D912" s="348">
        <v>2.8906000000000001E-3</v>
      </c>
      <c r="E912" s="348">
        <v>4.5875000000000004E-3</v>
      </c>
      <c r="F912" s="349">
        <v>7.7149999999999996E-3</v>
      </c>
    </row>
    <row r="913" spans="1:6" ht="12" thickBot="1">
      <c r="A913" s="347">
        <v>40457</v>
      </c>
      <c r="B913" s="348">
        <v>2.5688E-3</v>
      </c>
      <c r="C913" s="348">
        <v>2.7358999999999999E-3</v>
      </c>
      <c r="D913" s="348">
        <v>2.8969E-3</v>
      </c>
      <c r="E913" s="348">
        <v>4.6156000000000001E-3</v>
      </c>
      <c r="F913" s="349">
        <v>7.7412999999999996E-3</v>
      </c>
    </row>
    <row r="914" spans="1:6" ht="12" thickBot="1">
      <c r="A914" s="347">
        <v>40456</v>
      </c>
      <c r="B914" s="348">
        <v>2.5688E-3</v>
      </c>
      <c r="C914" s="348">
        <v>2.7358999999999999E-3</v>
      </c>
      <c r="D914" s="348">
        <v>2.8999999999999998E-3</v>
      </c>
      <c r="E914" s="348">
        <v>4.6188000000000002E-3</v>
      </c>
      <c r="F914" s="349">
        <v>7.7675000000000001E-3</v>
      </c>
    </row>
    <row r="915" spans="1:6" ht="12" thickBot="1">
      <c r="A915" s="347">
        <v>40455</v>
      </c>
      <c r="B915" s="348">
        <v>2.5688E-3</v>
      </c>
      <c r="C915" s="348">
        <v>2.7358999999999999E-3</v>
      </c>
      <c r="D915" s="348">
        <v>2.9063000000000001E-3</v>
      </c>
      <c r="E915" s="348">
        <v>4.6312999999999997E-3</v>
      </c>
      <c r="F915" s="349">
        <v>7.77E-3</v>
      </c>
    </row>
    <row r="916" spans="1:6" ht="12" thickBot="1">
      <c r="A916" s="347">
        <v>40452</v>
      </c>
      <c r="B916" s="348">
        <v>2.5688E-3</v>
      </c>
      <c r="C916" s="348">
        <v>2.7358999999999999E-3</v>
      </c>
      <c r="D916" s="348">
        <v>2.9063000000000001E-3</v>
      </c>
      <c r="E916" s="348">
        <v>4.6312999999999997E-3</v>
      </c>
      <c r="F916" s="349">
        <v>7.7837999999999996E-3</v>
      </c>
    </row>
    <row r="917" spans="1:6" ht="12" thickBot="1">
      <c r="A917" s="347">
        <v>40451</v>
      </c>
      <c r="B917" s="348">
        <v>2.5625000000000001E-3</v>
      </c>
      <c r="C917" s="348">
        <v>2.7296999999999998E-3</v>
      </c>
      <c r="D917" s="348">
        <v>2.8999999999999998E-3</v>
      </c>
      <c r="E917" s="348">
        <v>4.6249999999999998E-3</v>
      </c>
      <c r="F917" s="349">
        <v>7.7774999999999997E-3</v>
      </c>
    </row>
    <row r="918" spans="1:6" ht="12" thickBot="1">
      <c r="A918" s="347">
        <v>40450</v>
      </c>
      <c r="B918" s="348">
        <v>2.5625000000000001E-3</v>
      </c>
      <c r="C918" s="348">
        <v>2.7296999999999998E-3</v>
      </c>
      <c r="D918" s="348">
        <v>2.8999999999999998E-3</v>
      </c>
      <c r="E918" s="348">
        <v>4.6249999999999998E-3</v>
      </c>
      <c r="F918" s="349">
        <v>7.7825000000000004E-3</v>
      </c>
    </row>
    <row r="919" spans="1:6" ht="12" thickBot="1">
      <c r="A919" s="347">
        <v>40449</v>
      </c>
      <c r="B919" s="348">
        <v>2.5625000000000001E-3</v>
      </c>
      <c r="C919" s="348">
        <v>2.7296999999999998E-3</v>
      </c>
      <c r="D919" s="348">
        <v>2.8938000000000002E-3</v>
      </c>
      <c r="E919" s="348">
        <v>4.6249999999999998E-3</v>
      </c>
      <c r="F919" s="349">
        <v>7.7850000000000003E-3</v>
      </c>
    </row>
    <row r="920" spans="1:6" ht="12" thickBot="1">
      <c r="A920" s="347">
        <v>40448</v>
      </c>
      <c r="B920" s="348">
        <v>2.5625000000000001E-3</v>
      </c>
      <c r="C920" s="348">
        <v>2.7296999999999998E-3</v>
      </c>
      <c r="D920" s="348">
        <v>2.8938000000000002E-3</v>
      </c>
      <c r="E920" s="348">
        <v>4.6249999999999998E-3</v>
      </c>
      <c r="F920" s="349">
        <v>7.7863000000000003E-3</v>
      </c>
    </row>
    <row r="921" spans="1:6" ht="12" thickBot="1">
      <c r="A921" s="347">
        <v>40445</v>
      </c>
      <c r="B921" s="348">
        <v>2.5625000000000001E-3</v>
      </c>
      <c r="C921" s="348">
        <v>2.7296999999999998E-3</v>
      </c>
      <c r="D921" s="348">
        <v>2.8938000000000002E-3</v>
      </c>
      <c r="E921" s="348">
        <v>4.6405999999999999E-3</v>
      </c>
      <c r="F921" s="349">
        <v>7.8063000000000004E-3</v>
      </c>
    </row>
    <row r="922" spans="1:6" ht="12" thickBot="1">
      <c r="A922" s="347">
        <v>40444</v>
      </c>
      <c r="B922" s="348">
        <v>2.5625000000000001E-3</v>
      </c>
      <c r="C922" s="348">
        <v>2.7296999999999998E-3</v>
      </c>
      <c r="D922" s="348">
        <v>2.8938000000000002E-3</v>
      </c>
      <c r="E922" s="348">
        <v>4.6280999999999996E-3</v>
      </c>
      <c r="F922" s="349">
        <v>7.8125E-3</v>
      </c>
    </row>
    <row r="923" spans="1:6" ht="12" thickBot="1">
      <c r="A923" s="347">
        <v>40443</v>
      </c>
      <c r="B923" s="348">
        <v>2.5625000000000001E-3</v>
      </c>
      <c r="C923" s="348">
        <v>2.7296999999999998E-3</v>
      </c>
      <c r="D923" s="348">
        <v>2.8938000000000002E-3</v>
      </c>
      <c r="E923" s="348">
        <v>4.6405999999999999E-3</v>
      </c>
      <c r="F923" s="349">
        <v>7.8168999999999999E-3</v>
      </c>
    </row>
    <row r="924" spans="1:6" ht="12" thickBot="1">
      <c r="A924" s="347">
        <v>40442</v>
      </c>
      <c r="B924" s="348">
        <v>2.5625000000000001E-3</v>
      </c>
      <c r="C924" s="348">
        <v>2.7312999999999999E-3</v>
      </c>
      <c r="D924" s="348">
        <v>2.8969E-3</v>
      </c>
      <c r="E924" s="348">
        <v>4.7312999999999999E-3</v>
      </c>
      <c r="F924" s="349">
        <v>7.9337999999999995E-3</v>
      </c>
    </row>
    <row r="925" spans="1:6" ht="12" thickBot="1">
      <c r="A925" s="347">
        <v>40441</v>
      </c>
      <c r="B925" s="348">
        <v>2.5625000000000001E-3</v>
      </c>
      <c r="C925" s="348">
        <v>2.7312999999999999E-3</v>
      </c>
      <c r="D925" s="348">
        <v>2.9031E-3</v>
      </c>
      <c r="E925" s="348">
        <v>4.7312999999999999E-3</v>
      </c>
      <c r="F925" s="349">
        <v>7.9363000000000003E-3</v>
      </c>
    </row>
    <row r="926" spans="1:6" ht="12" thickBot="1">
      <c r="A926" s="347">
        <v>40438</v>
      </c>
      <c r="B926" s="348">
        <v>2.575E-3</v>
      </c>
      <c r="C926" s="348">
        <v>2.7437999999999998E-3</v>
      </c>
      <c r="D926" s="348">
        <v>2.9156E-3</v>
      </c>
      <c r="E926" s="348">
        <v>4.7312999999999999E-3</v>
      </c>
      <c r="F926" s="349">
        <v>7.9363000000000003E-3</v>
      </c>
    </row>
    <row r="927" spans="1:6" ht="12" thickBot="1">
      <c r="A927" s="347">
        <v>40437</v>
      </c>
      <c r="B927" s="348">
        <v>2.5734E-3</v>
      </c>
      <c r="C927" s="348">
        <v>2.7406000000000002E-3</v>
      </c>
      <c r="D927" s="348">
        <v>2.9141000000000002E-3</v>
      </c>
      <c r="E927" s="348">
        <v>4.7438000000000003E-3</v>
      </c>
      <c r="F927" s="349">
        <v>7.9399999999999991E-3</v>
      </c>
    </row>
    <row r="928" spans="1:6" ht="12" thickBot="1">
      <c r="A928" s="347">
        <v>40436</v>
      </c>
      <c r="B928" s="348">
        <v>2.5734E-3</v>
      </c>
      <c r="C928" s="348">
        <v>2.7406000000000002E-3</v>
      </c>
      <c r="D928" s="348">
        <v>2.9202999999999998E-3</v>
      </c>
      <c r="E928" s="348">
        <v>4.7453E-3</v>
      </c>
      <c r="F928" s="349">
        <v>7.9749999999999995E-3</v>
      </c>
    </row>
    <row r="929" spans="1:6" ht="12" thickBot="1">
      <c r="A929" s="347">
        <v>40435</v>
      </c>
      <c r="B929" s="348">
        <v>2.5734E-3</v>
      </c>
      <c r="C929" s="348">
        <v>2.7406000000000002E-3</v>
      </c>
      <c r="D929" s="348">
        <v>2.9188E-3</v>
      </c>
      <c r="E929" s="348">
        <v>4.8187999999999998E-3</v>
      </c>
      <c r="F929" s="349">
        <v>8.0788000000000006E-3</v>
      </c>
    </row>
    <row r="930" spans="1:6" ht="12" thickBot="1">
      <c r="A930" s="347">
        <v>40434</v>
      </c>
      <c r="B930" s="348">
        <v>2.5734E-3</v>
      </c>
      <c r="C930" s="348">
        <v>2.7437999999999998E-3</v>
      </c>
      <c r="D930" s="348">
        <v>2.9218999999999998E-3</v>
      </c>
      <c r="E930" s="348">
        <v>4.8719000000000002E-3</v>
      </c>
      <c r="F930" s="349">
        <v>8.1987999999999991E-3</v>
      </c>
    </row>
    <row r="931" spans="1:6" ht="12" thickBot="1">
      <c r="A931" s="347">
        <v>40431</v>
      </c>
      <c r="B931" s="348">
        <v>2.5734E-3</v>
      </c>
      <c r="C931" s="348">
        <v>2.7437999999999998E-3</v>
      </c>
      <c r="D931" s="348">
        <v>2.9218999999999998E-3</v>
      </c>
      <c r="E931" s="348">
        <v>4.8969E-3</v>
      </c>
      <c r="F931" s="349">
        <v>8.2219000000000007E-3</v>
      </c>
    </row>
    <row r="932" spans="1:6" ht="12" thickBot="1">
      <c r="A932" s="347">
        <v>40430</v>
      </c>
      <c r="B932" s="348">
        <v>2.5734E-3</v>
      </c>
      <c r="C932" s="348">
        <v>2.7437999999999998E-3</v>
      </c>
      <c r="D932" s="348">
        <v>2.9250000000000001E-3</v>
      </c>
      <c r="E932" s="348">
        <v>4.8999999999999998E-3</v>
      </c>
      <c r="F932" s="349">
        <v>8.2424999999999998E-3</v>
      </c>
    </row>
    <row r="933" spans="1:6" ht="12" thickBot="1">
      <c r="A933" s="347">
        <v>40429</v>
      </c>
      <c r="B933" s="348">
        <v>2.5734E-3</v>
      </c>
      <c r="C933" s="348">
        <v>2.7437999999999998E-3</v>
      </c>
      <c r="D933" s="348">
        <v>2.9250000000000001E-3</v>
      </c>
      <c r="E933" s="348">
        <v>4.8953E-3</v>
      </c>
      <c r="F933" s="349">
        <v>8.2331000000000001E-3</v>
      </c>
    </row>
    <row r="934" spans="1:6" ht="12" thickBot="1">
      <c r="A934" s="347">
        <v>40428</v>
      </c>
      <c r="B934" s="348">
        <v>2.5766000000000001E-3</v>
      </c>
      <c r="C934" s="348">
        <v>2.7437999999999998E-3</v>
      </c>
      <c r="D934" s="348">
        <v>2.9188E-3</v>
      </c>
      <c r="E934" s="348">
        <v>4.8875000000000004E-3</v>
      </c>
      <c r="F934" s="349">
        <v>8.2594000000000001E-3</v>
      </c>
    </row>
    <row r="935" spans="1:6" ht="12" thickBot="1">
      <c r="A935" s="347">
        <v>40427</v>
      </c>
      <c r="B935" s="348">
        <v>2.5766000000000001E-3</v>
      </c>
      <c r="C935" s="348">
        <v>2.7437999999999998E-3</v>
      </c>
      <c r="D935" s="348">
        <v>2.9218999999999998E-3</v>
      </c>
      <c r="E935" s="348">
        <v>4.8922000000000002E-3</v>
      </c>
      <c r="F935" s="349">
        <v>8.3006E-3</v>
      </c>
    </row>
    <row r="936" spans="1:6" ht="12" thickBot="1">
      <c r="A936" s="347">
        <v>40424</v>
      </c>
      <c r="B936" s="348">
        <v>2.5780999999999998E-3</v>
      </c>
      <c r="C936" s="348">
        <v>2.7469E-3</v>
      </c>
      <c r="D936" s="348">
        <v>2.9280999999999999E-3</v>
      </c>
      <c r="E936" s="348">
        <v>4.9363000000000002E-3</v>
      </c>
      <c r="F936" s="349">
        <v>8.3488E-3</v>
      </c>
    </row>
    <row r="937" spans="1:6" ht="12" thickBot="1">
      <c r="A937" s="347">
        <v>40423</v>
      </c>
      <c r="B937" s="348">
        <v>2.5780999999999998E-3</v>
      </c>
      <c r="C937" s="348">
        <v>2.7469E-3</v>
      </c>
      <c r="D937" s="348">
        <v>2.9437999999999999E-3</v>
      </c>
      <c r="E937" s="348">
        <v>4.9563000000000003E-3</v>
      </c>
      <c r="F937" s="349">
        <v>8.3913000000000008E-3</v>
      </c>
    </row>
    <row r="938" spans="1:6" ht="12" thickBot="1">
      <c r="A938" s="347">
        <v>40422</v>
      </c>
      <c r="B938" s="348">
        <v>2.5780999999999998E-3</v>
      </c>
      <c r="C938" s="348">
        <v>2.7469E-3</v>
      </c>
      <c r="D938" s="348">
        <v>2.9562999999999998E-3</v>
      </c>
      <c r="E938" s="348">
        <v>4.9624999999999999E-3</v>
      </c>
      <c r="F938" s="349">
        <v>8.3987999999999997E-3</v>
      </c>
    </row>
    <row r="939" spans="1:6" ht="12" thickBot="1">
      <c r="A939" s="347">
        <v>40421</v>
      </c>
      <c r="B939" s="348">
        <v>2.5780999999999998E-3</v>
      </c>
      <c r="C939" s="348">
        <v>2.7469E-3</v>
      </c>
      <c r="D939" s="348">
        <v>2.9562999999999998E-3</v>
      </c>
      <c r="E939" s="348">
        <v>4.9668999999999998E-3</v>
      </c>
      <c r="F939" s="349">
        <v>8.4305999999999999E-3</v>
      </c>
    </row>
    <row r="940" spans="1:6" ht="12" thickBot="1">
      <c r="A940" s="347">
        <v>40420</v>
      </c>
      <c r="B940" s="348">
        <v>2.5937999999999998E-3</v>
      </c>
      <c r="C940" s="348">
        <v>2.7531000000000001E-3</v>
      </c>
      <c r="D940" s="348">
        <v>2.9688000000000002E-3</v>
      </c>
      <c r="E940" s="348">
        <v>5.0318999999999997E-3</v>
      </c>
      <c r="F940" s="349">
        <v>8.5830999999999998E-3</v>
      </c>
    </row>
    <row r="941" spans="1:6" ht="12" thickBot="1">
      <c r="A941" s="347">
        <v>40417</v>
      </c>
      <c r="B941" s="348">
        <v>2.5937999999999998E-3</v>
      </c>
      <c r="C941" s="348">
        <v>2.7531000000000001E-3</v>
      </c>
      <c r="D941" s="348">
        <v>2.9688000000000002E-3</v>
      </c>
      <c r="E941" s="348">
        <v>5.0318999999999997E-3</v>
      </c>
      <c r="F941" s="349">
        <v>8.5830999999999998E-3</v>
      </c>
    </row>
    <row r="942" spans="1:6" ht="12" thickBot="1">
      <c r="A942" s="347">
        <v>40416</v>
      </c>
      <c r="B942" s="348">
        <v>2.6031000000000001E-3</v>
      </c>
      <c r="C942" s="348">
        <v>2.7531000000000001E-3</v>
      </c>
      <c r="D942" s="348">
        <v>2.9938E-3</v>
      </c>
      <c r="E942" s="348">
        <v>5.0724999999999998E-3</v>
      </c>
      <c r="F942" s="349">
        <v>8.6531000000000004E-3</v>
      </c>
    </row>
    <row r="943" spans="1:6" ht="12" thickBot="1">
      <c r="A943" s="347">
        <v>40415</v>
      </c>
      <c r="B943" s="348">
        <v>2.6156E-3</v>
      </c>
      <c r="C943" s="348">
        <v>2.7969000000000002E-3</v>
      </c>
      <c r="D943" s="348">
        <v>3.0374999999999998E-3</v>
      </c>
      <c r="E943" s="348">
        <v>5.1124999999999999E-3</v>
      </c>
      <c r="F943" s="349">
        <v>8.6999999999999994E-3</v>
      </c>
    </row>
    <row r="944" spans="1:6" ht="12" thickBot="1">
      <c r="A944" s="347">
        <v>40414</v>
      </c>
      <c r="B944" s="348">
        <v>2.6156E-3</v>
      </c>
      <c r="C944" s="348">
        <v>2.8313000000000001E-3</v>
      </c>
      <c r="D944" s="348">
        <v>3.075E-3</v>
      </c>
      <c r="E944" s="348">
        <v>5.1831000000000004E-3</v>
      </c>
      <c r="F944" s="349">
        <v>8.7594000000000005E-3</v>
      </c>
    </row>
    <row r="945" spans="1:6" ht="12" thickBot="1">
      <c r="A945" s="347">
        <v>40413</v>
      </c>
      <c r="B945" s="348">
        <v>2.6375000000000001E-3</v>
      </c>
      <c r="C945" s="348">
        <v>2.8906000000000001E-3</v>
      </c>
      <c r="D945" s="348">
        <v>3.1749999999999999E-3</v>
      </c>
      <c r="E945" s="348">
        <v>5.3375000000000002E-3</v>
      </c>
      <c r="F945" s="349">
        <v>8.9425000000000008E-3</v>
      </c>
    </row>
    <row r="946" spans="1:6" ht="12" thickBot="1">
      <c r="A946" s="347">
        <v>40410</v>
      </c>
      <c r="B946" s="348">
        <v>2.6438E-3</v>
      </c>
      <c r="C946" s="348">
        <v>2.9594000000000001E-3</v>
      </c>
      <c r="D946" s="348">
        <v>3.2921999999999999E-3</v>
      </c>
      <c r="E946" s="348">
        <v>5.4562999999999999E-3</v>
      </c>
      <c r="F946" s="349">
        <v>9.0638000000000003E-3</v>
      </c>
    </row>
    <row r="947" spans="1:6" ht="12" thickBot="1">
      <c r="A947" s="347">
        <v>40409</v>
      </c>
      <c r="B947" s="348">
        <v>2.6469000000000002E-3</v>
      </c>
      <c r="C947" s="348">
        <v>2.9968999999999998E-3</v>
      </c>
      <c r="D947" s="348">
        <v>3.3906000000000001E-3</v>
      </c>
      <c r="E947" s="348">
        <v>5.5593999999999999E-3</v>
      </c>
      <c r="F947" s="349">
        <v>9.1918999999999994E-3</v>
      </c>
    </row>
    <row r="948" spans="1:6" ht="12" thickBot="1">
      <c r="A948" s="347">
        <v>40408</v>
      </c>
      <c r="B948" s="348">
        <v>2.6624999999999999E-3</v>
      </c>
      <c r="C948" s="348">
        <v>3.0000000000000001E-3</v>
      </c>
      <c r="D948" s="348">
        <v>3.4546999999999998E-3</v>
      </c>
      <c r="E948" s="348">
        <v>5.6844E-3</v>
      </c>
      <c r="F948" s="349">
        <v>9.3094000000000007E-3</v>
      </c>
    </row>
    <row r="949" spans="1:6" ht="12" thickBot="1">
      <c r="A949" s="347">
        <v>40407</v>
      </c>
      <c r="B949" s="348">
        <v>2.6656000000000002E-3</v>
      </c>
      <c r="C949" s="348">
        <v>3.0344E-3</v>
      </c>
      <c r="D949" s="348">
        <v>3.5219000000000001E-3</v>
      </c>
      <c r="E949" s="348">
        <v>5.7650000000000002E-3</v>
      </c>
      <c r="F949" s="349">
        <v>9.4619000000000005E-3</v>
      </c>
    </row>
    <row r="950" spans="1:6" ht="12" thickBot="1">
      <c r="A950" s="347">
        <v>40403</v>
      </c>
      <c r="B950" s="348">
        <v>2.7187999999999999E-3</v>
      </c>
      <c r="C950" s="348">
        <v>3.1313000000000001E-3</v>
      </c>
      <c r="D950" s="348">
        <v>3.6938000000000001E-3</v>
      </c>
      <c r="E950" s="348">
        <v>5.9188000000000001E-3</v>
      </c>
      <c r="F950" s="349">
        <v>9.6530999999999995E-3</v>
      </c>
    </row>
    <row r="951" spans="1:6" ht="12" thickBot="1">
      <c r="A951" s="347">
        <v>40402</v>
      </c>
      <c r="B951" s="348">
        <v>2.7594E-3</v>
      </c>
      <c r="C951" s="348">
        <v>3.1749999999999999E-3</v>
      </c>
      <c r="D951" s="348">
        <v>3.7624999999999998E-3</v>
      </c>
      <c r="E951" s="348">
        <v>5.9405999999999999E-3</v>
      </c>
      <c r="F951" s="349">
        <v>9.6062999999999999E-3</v>
      </c>
    </row>
    <row r="952" spans="1:6" ht="12" thickBot="1">
      <c r="A952" s="347">
        <v>40401</v>
      </c>
      <c r="B952" s="348">
        <v>2.7937999999999999E-3</v>
      </c>
      <c r="C952" s="348">
        <v>3.2469E-3</v>
      </c>
      <c r="D952" s="348">
        <v>3.8438000000000001E-3</v>
      </c>
      <c r="E952" s="348">
        <v>6.025E-3</v>
      </c>
      <c r="F952" s="349">
        <v>9.7075000000000009E-3</v>
      </c>
    </row>
    <row r="953" spans="1:6" ht="12" thickBot="1">
      <c r="A953" s="347">
        <v>40400</v>
      </c>
      <c r="B953" s="348">
        <v>2.8563E-3</v>
      </c>
      <c r="C953" s="348">
        <v>3.3313000000000001E-3</v>
      </c>
      <c r="D953" s="348">
        <v>3.9781E-3</v>
      </c>
      <c r="E953" s="348">
        <v>6.2030999999999996E-3</v>
      </c>
      <c r="F953" s="349">
        <v>9.9375000000000002E-3</v>
      </c>
    </row>
    <row r="954" spans="1:6" ht="12" thickBot="1">
      <c r="A954" s="347">
        <v>40399</v>
      </c>
      <c r="B954" s="348">
        <v>2.8999999999999998E-3</v>
      </c>
      <c r="C954" s="348">
        <v>3.375E-3</v>
      </c>
      <c r="D954" s="348">
        <v>4.0438000000000002E-3</v>
      </c>
      <c r="E954" s="348">
        <v>6.2750000000000002E-3</v>
      </c>
      <c r="F954" s="349">
        <v>9.9500000000000005E-3</v>
      </c>
    </row>
    <row r="955" spans="1:6" ht="12" thickBot="1">
      <c r="A955" s="347">
        <v>40396</v>
      </c>
      <c r="B955" s="348">
        <v>2.9344000000000002E-3</v>
      </c>
      <c r="C955" s="348">
        <v>3.4156E-3</v>
      </c>
      <c r="D955" s="348">
        <v>4.1124999999999998E-3</v>
      </c>
      <c r="E955" s="348">
        <v>6.3375000000000003E-3</v>
      </c>
      <c r="F955" s="349">
        <v>1.00313E-2</v>
      </c>
    </row>
    <row r="956" spans="1:6" ht="12" thickBot="1">
      <c r="A956" s="347">
        <v>40395</v>
      </c>
      <c r="B956" s="348">
        <v>2.9469000000000001E-3</v>
      </c>
      <c r="C956" s="348">
        <v>3.4499999999999999E-3</v>
      </c>
      <c r="D956" s="348">
        <v>4.1812999999999998E-3</v>
      </c>
      <c r="E956" s="348">
        <v>6.3893999999999999E-3</v>
      </c>
      <c r="F956" s="349">
        <v>1.0096900000000001E-2</v>
      </c>
    </row>
    <row r="957" spans="1:6" ht="12" thickBot="1">
      <c r="A957" s="347">
        <v>40394</v>
      </c>
      <c r="B957" s="348">
        <v>2.9531000000000002E-3</v>
      </c>
      <c r="C957" s="348">
        <v>3.4688000000000002E-3</v>
      </c>
      <c r="D957" s="348">
        <v>4.2405999999999998E-3</v>
      </c>
      <c r="E957" s="348">
        <v>6.3831000000000001E-3</v>
      </c>
      <c r="F957" s="349">
        <v>1.00156E-2</v>
      </c>
    </row>
    <row r="958" spans="1:6" ht="12" thickBot="1">
      <c r="A958" s="347">
        <v>40393</v>
      </c>
      <c r="B958" s="348">
        <v>3.0000000000000001E-3</v>
      </c>
      <c r="C958" s="348">
        <v>3.5312999999999998E-3</v>
      </c>
      <c r="D958" s="348">
        <v>4.3468999999999999E-3</v>
      </c>
      <c r="E958" s="348">
        <v>6.4955999999999998E-3</v>
      </c>
      <c r="F958" s="349">
        <v>1.0150599999999999E-2</v>
      </c>
    </row>
    <row r="959" spans="1:6" ht="12" thickBot="1">
      <c r="A959" s="347">
        <v>40392</v>
      </c>
      <c r="B959" s="348">
        <v>3.0281000000000001E-3</v>
      </c>
      <c r="C959" s="348">
        <v>3.6094E-3</v>
      </c>
      <c r="D959" s="348">
        <v>4.4469000000000002E-3</v>
      </c>
      <c r="E959" s="348">
        <v>6.5994000000000001E-3</v>
      </c>
      <c r="F959" s="349">
        <v>1.0297499999999999E-2</v>
      </c>
    </row>
    <row r="960" spans="1:6" ht="12" thickBot="1">
      <c r="A960" s="347">
        <v>40389</v>
      </c>
      <c r="B960" s="348">
        <v>3.0500000000000002E-3</v>
      </c>
      <c r="C960" s="348">
        <v>3.7093999999999999E-3</v>
      </c>
      <c r="D960" s="348">
        <v>4.5374999999999999E-3</v>
      </c>
      <c r="E960" s="348">
        <v>6.6781000000000002E-3</v>
      </c>
      <c r="F960" s="349">
        <v>1.03669E-2</v>
      </c>
    </row>
    <row r="961" spans="1:6" ht="12" thickBot="1">
      <c r="A961" s="347">
        <v>40388</v>
      </c>
      <c r="B961" s="348">
        <v>3.1156000000000001E-3</v>
      </c>
      <c r="C961" s="348">
        <v>3.8094000000000001E-3</v>
      </c>
      <c r="D961" s="348">
        <v>4.6563000000000004E-3</v>
      </c>
      <c r="E961" s="348">
        <v>6.7768999999999998E-3</v>
      </c>
      <c r="F961" s="349">
        <v>1.0504400000000001E-2</v>
      </c>
    </row>
    <row r="962" spans="1:6" ht="12" thickBot="1">
      <c r="A962" s="347">
        <v>40387</v>
      </c>
      <c r="B962" s="348">
        <v>3.1562999999999999E-3</v>
      </c>
      <c r="C962" s="348">
        <v>3.8906000000000001E-3</v>
      </c>
      <c r="D962" s="348">
        <v>4.7499999999999999E-3</v>
      </c>
      <c r="E962" s="348">
        <v>6.8793999999999999E-3</v>
      </c>
      <c r="F962" s="349">
        <v>1.06438E-2</v>
      </c>
    </row>
    <row r="963" spans="1:6" ht="12" thickBot="1">
      <c r="A963" s="347">
        <v>40386</v>
      </c>
      <c r="B963" s="348">
        <v>3.2063E-3</v>
      </c>
      <c r="C963" s="348">
        <v>3.9281000000000003E-3</v>
      </c>
      <c r="D963" s="348">
        <v>4.8124999999999999E-3</v>
      </c>
      <c r="E963" s="348">
        <v>6.9430999999999998E-3</v>
      </c>
      <c r="F963" s="349">
        <v>1.07469E-2</v>
      </c>
    </row>
    <row r="964" spans="1:6" ht="12" thickBot="1">
      <c r="A964" s="347">
        <v>40385</v>
      </c>
      <c r="B964" s="348">
        <v>3.2499999999999999E-3</v>
      </c>
      <c r="C964" s="348">
        <v>4.0124999999999996E-3</v>
      </c>
      <c r="D964" s="348">
        <v>4.875E-3</v>
      </c>
      <c r="E964" s="348">
        <v>6.9769000000000003E-3</v>
      </c>
      <c r="F964" s="349">
        <v>1.08031E-2</v>
      </c>
    </row>
    <row r="965" spans="1:6" ht="12" thickBot="1">
      <c r="A965" s="347">
        <v>40382</v>
      </c>
      <c r="B965" s="348">
        <v>3.2688000000000001E-3</v>
      </c>
      <c r="C965" s="348">
        <v>4.0562999999999997E-3</v>
      </c>
      <c r="D965" s="348">
        <v>4.9312999999999996E-3</v>
      </c>
      <c r="E965" s="348">
        <v>6.9699999999999996E-3</v>
      </c>
      <c r="F965" s="349">
        <v>1.07469E-2</v>
      </c>
    </row>
    <row r="966" spans="1:6" ht="12" thickBot="1">
      <c r="A966" s="347">
        <v>40381</v>
      </c>
      <c r="B966" s="348">
        <v>3.2875000000000001E-3</v>
      </c>
      <c r="C966" s="348">
        <v>4.0937999999999999E-3</v>
      </c>
      <c r="D966" s="348">
        <v>4.9781000000000001E-3</v>
      </c>
      <c r="E966" s="348">
        <v>7.0074999999999998E-3</v>
      </c>
      <c r="F966" s="349">
        <v>1.0800000000000001E-2</v>
      </c>
    </row>
    <row r="967" spans="1:6" ht="12" thickBot="1">
      <c r="A967" s="347">
        <v>40380</v>
      </c>
      <c r="B967" s="348">
        <v>3.3062999999999999E-3</v>
      </c>
      <c r="C967" s="348">
        <v>4.1343999999999999E-3</v>
      </c>
      <c r="D967" s="348">
        <v>5.0625000000000002E-3</v>
      </c>
      <c r="E967" s="348">
        <v>7.0263000000000001E-3</v>
      </c>
      <c r="F967" s="349">
        <v>1.0874999999999999E-2</v>
      </c>
    </row>
    <row r="968" spans="1:6" ht="12" thickBot="1">
      <c r="A968" s="347">
        <v>40378</v>
      </c>
      <c r="B968" s="348">
        <v>3.3687999999999999E-3</v>
      </c>
      <c r="C968" s="348">
        <v>4.2188E-3</v>
      </c>
      <c r="D968" s="348">
        <v>5.1780999999999997E-3</v>
      </c>
      <c r="E968" s="348">
        <v>7.1812999999999998E-3</v>
      </c>
      <c r="F968" s="349">
        <v>1.1165599999999999E-2</v>
      </c>
    </row>
    <row r="969" spans="1:6" ht="12" thickBot="1">
      <c r="A969" s="347">
        <v>40375</v>
      </c>
      <c r="B969" s="348">
        <v>3.3812999999999998E-3</v>
      </c>
      <c r="C969" s="348">
        <v>4.2374999999999999E-3</v>
      </c>
      <c r="D969" s="348">
        <v>5.2125000000000001E-3</v>
      </c>
      <c r="E969" s="348">
        <v>7.2655999999999997E-3</v>
      </c>
      <c r="F969" s="349">
        <v>1.1268800000000001E-2</v>
      </c>
    </row>
    <row r="970" spans="1:6" ht="12" thickBot="1">
      <c r="A970" s="347">
        <v>40374</v>
      </c>
      <c r="B970" s="348">
        <v>3.4063000000000001E-3</v>
      </c>
      <c r="C970" s="348">
        <v>4.2405999999999998E-3</v>
      </c>
      <c r="D970" s="348">
        <v>5.2468999999999997E-3</v>
      </c>
      <c r="E970" s="348">
        <v>7.2988000000000003E-3</v>
      </c>
      <c r="F970" s="349">
        <v>1.13375E-2</v>
      </c>
    </row>
    <row r="971" spans="1:6" ht="12" thickBot="1">
      <c r="A971" s="347">
        <v>40373</v>
      </c>
      <c r="B971" s="348">
        <v>3.4093999999999999E-3</v>
      </c>
      <c r="C971" s="348">
        <v>4.2531000000000001E-3</v>
      </c>
      <c r="D971" s="348">
        <v>5.2563000000000002E-3</v>
      </c>
      <c r="E971" s="348">
        <v>7.3131000000000003E-3</v>
      </c>
      <c r="F971" s="349">
        <v>1.1406299999999999E-2</v>
      </c>
    </row>
    <row r="972" spans="1:6" ht="12" thickBot="1">
      <c r="A972" s="347">
        <v>40372</v>
      </c>
      <c r="B972" s="348">
        <v>3.4093999999999999E-3</v>
      </c>
      <c r="C972" s="348">
        <v>4.2531000000000001E-3</v>
      </c>
      <c r="D972" s="348">
        <v>5.2594E-3</v>
      </c>
      <c r="E972" s="348">
        <v>7.3312999999999998E-3</v>
      </c>
      <c r="F972" s="349">
        <v>1.145E-2</v>
      </c>
    </row>
    <row r="973" spans="1:6" ht="12" thickBot="1">
      <c r="A973" s="347">
        <v>40371</v>
      </c>
      <c r="B973" s="348">
        <v>3.4093999999999999E-3</v>
      </c>
      <c r="C973" s="348">
        <v>4.2531000000000001E-3</v>
      </c>
      <c r="D973" s="348">
        <v>5.2556E-3</v>
      </c>
      <c r="E973" s="348">
        <v>7.3163000000000004E-3</v>
      </c>
      <c r="F973" s="349">
        <v>1.14375E-2</v>
      </c>
    </row>
    <row r="974" spans="1:6" ht="12" thickBot="1">
      <c r="A974" s="347">
        <v>40368</v>
      </c>
      <c r="B974" s="348">
        <v>3.4093999999999999E-3</v>
      </c>
      <c r="C974" s="348">
        <v>4.2531000000000001E-3</v>
      </c>
      <c r="D974" s="348">
        <v>5.2681000000000004E-3</v>
      </c>
      <c r="E974" s="348">
        <v>7.3318999999999997E-3</v>
      </c>
      <c r="F974" s="349">
        <v>1.14625E-2</v>
      </c>
    </row>
    <row r="975" spans="1:6" ht="12" thickBot="1">
      <c r="A975" s="347">
        <v>40367</v>
      </c>
      <c r="B975" s="348">
        <v>3.4250000000000001E-3</v>
      </c>
      <c r="C975" s="348">
        <v>4.2563000000000002E-3</v>
      </c>
      <c r="D975" s="348">
        <v>5.2750000000000002E-3</v>
      </c>
      <c r="E975" s="348">
        <v>7.3718999999999998E-3</v>
      </c>
      <c r="F975" s="349">
        <v>1.15438E-2</v>
      </c>
    </row>
    <row r="976" spans="1:6" ht="12" thickBot="1">
      <c r="A976" s="347">
        <v>40366</v>
      </c>
      <c r="B976" s="348">
        <v>3.4499999999999999E-3</v>
      </c>
      <c r="C976" s="348">
        <v>4.2813E-3</v>
      </c>
      <c r="D976" s="348">
        <v>5.2988000000000002E-3</v>
      </c>
      <c r="E976" s="348">
        <v>7.4244000000000003E-3</v>
      </c>
      <c r="F976" s="349">
        <v>1.16188E-2</v>
      </c>
    </row>
    <row r="977" spans="1:6" ht="12" thickBot="1">
      <c r="A977" s="347">
        <v>40365</v>
      </c>
      <c r="B977" s="348">
        <v>3.4624999999999999E-3</v>
      </c>
      <c r="C977" s="348">
        <v>4.2938000000000004E-3</v>
      </c>
      <c r="D977" s="348">
        <v>5.3112999999999997E-3</v>
      </c>
      <c r="E977" s="348">
        <v>7.4244000000000003E-3</v>
      </c>
      <c r="F977" s="349">
        <v>1.1631300000000001E-2</v>
      </c>
    </row>
    <row r="978" spans="1:6" ht="12" thickBot="1">
      <c r="A978" s="347">
        <v>40361</v>
      </c>
      <c r="B978" s="348">
        <v>3.4749999999999998E-3</v>
      </c>
      <c r="C978" s="348">
        <v>4.3062999999999999E-3</v>
      </c>
      <c r="D978" s="348">
        <v>5.3363000000000004E-3</v>
      </c>
      <c r="E978" s="348">
        <v>7.5005999999999996E-3</v>
      </c>
      <c r="F978" s="349">
        <v>1.17188E-2</v>
      </c>
    </row>
    <row r="979" spans="1:6" ht="12" thickBot="1">
      <c r="A979" s="347">
        <v>40360</v>
      </c>
      <c r="B979" s="348">
        <v>3.4719E-3</v>
      </c>
      <c r="C979" s="348">
        <v>4.3062999999999999E-3</v>
      </c>
      <c r="D979" s="348">
        <v>5.3331000000000003E-3</v>
      </c>
      <c r="E979" s="348">
        <v>7.5100000000000002E-3</v>
      </c>
      <c r="F979" s="349">
        <v>1.17313E-2</v>
      </c>
    </row>
    <row r="980" spans="1:6" ht="12" thickBot="1">
      <c r="A980" s="347">
        <v>40359</v>
      </c>
      <c r="B980" s="348">
        <v>3.4843999999999999E-3</v>
      </c>
      <c r="C980" s="348">
        <v>4.3188000000000002E-3</v>
      </c>
      <c r="D980" s="348">
        <v>5.3394000000000002E-3</v>
      </c>
      <c r="E980" s="348">
        <v>7.5249999999999996E-3</v>
      </c>
      <c r="F980" s="349">
        <v>1.17313E-2</v>
      </c>
    </row>
    <row r="981" spans="1:6" ht="12" thickBot="1">
      <c r="A981" s="347">
        <v>40358</v>
      </c>
      <c r="B981" s="348">
        <v>3.4562999999999998E-3</v>
      </c>
      <c r="C981" s="348">
        <v>4.3125000000000004E-3</v>
      </c>
      <c r="D981" s="348">
        <v>5.3299999999999997E-3</v>
      </c>
      <c r="E981" s="348">
        <v>7.5069000000000004E-3</v>
      </c>
      <c r="F981" s="349">
        <v>1.17438E-2</v>
      </c>
    </row>
    <row r="982" spans="1:6" ht="12" thickBot="1">
      <c r="A982" s="347">
        <v>40357</v>
      </c>
      <c r="B982" s="348">
        <v>3.4719E-3</v>
      </c>
      <c r="C982" s="348">
        <v>4.3062999999999999E-3</v>
      </c>
      <c r="D982" s="348">
        <v>5.3344000000000004E-3</v>
      </c>
      <c r="E982" s="348">
        <v>7.4719000000000001E-3</v>
      </c>
      <c r="F982" s="349">
        <v>1.1756300000000001E-2</v>
      </c>
    </row>
    <row r="983" spans="1:6" ht="12" thickBot="1">
      <c r="A983" s="347">
        <v>40354</v>
      </c>
      <c r="B983" s="348">
        <v>3.4719E-3</v>
      </c>
      <c r="C983" s="348">
        <v>4.3062999999999999E-3</v>
      </c>
      <c r="D983" s="348">
        <v>5.3468999999999999E-3</v>
      </c>
      <c r="E983" s="348">
        <v>7.5319000000000002E-3</v>
      </c>
      <c r="F983" s="349">
        <v>1.1831299999999999E-2</v>
      </c>
    </row>
    <row r="984" spans="1:6" ht="12" thickBot="1">
      <c r="A984" s="347">
        <v>40353</v>
      </c>
      <c r="B984" s="348">
        <v>3.4719E-3</v>
      </c>
      <c r="C984" s="348">
        <v>4.3188000000000002E-3</v>
      </c>
      <c r="D984" s="348">
        <v>5.3718999999999998E-3</v>
      </c>
      <c r="E984" s="348">
        <v>7.5193999999999999E-3</v>
      </c>
      <c r="F984" s="349">
        <v>1.17938E-2</v>
      </c>
    </row>
    <row r="985" spans="1:6" ht="12" thickBot="1">
      <c r="A985" s="347">
        <v>40352</v>
      </c>
      <c r="B985" s="348">
        <v>3.4719E-3</v>
      </c>
      <c r="C985" s="348">
        <v>4.3280999999999997E-3</v>
      </c>
      <c r="D985" s="348">
        <v>5.3825000000000001E-3</v>
      </c>
      <c r="E985" s="348">
        <v>7.4869000000000003E-3</v>
      </c>
      <c r="F985" s="349">
        <v>1.1787499999999999E-2</v>
      </c>
    </row>
    <row r="986" spans="1:6" ht="12" thickBot="1">
      <c r="A986" s="347">
        <v>40351</v>
      </c>
      <c r="B986" s="348">
        <v>3.4719E-3</v>
      </c>
      <c r="C986" s="348">
        <v>4.3280999999999997E-3</v>
      </c>
      <c r="D986" s="348">
        <v>5.3825000000000001E-3</v>
      </c>
      <c r="E986" s="348">
        <v>7.4700000000000001E-3</v>
      </c>
      <c r="F986" s="349">
        <v>1.175E-2</v>
      </c>
    </row>
    <row r="987" spans="1:6" ht="12" thickBot="1">
      <c r="A987" s="347">
        <v>40350</v>
      </c>
      <c r="B987" s="348">
        <v>3.4719E-3</v>
      </c>
      <c r="C987" s="348">
        <v>4.3280999999999997E-3</v>
      </c>
      <c r="D987" s="348">
        <v>5.3838000000000002E-3</v>
      </c>
      <c r="E987" s="348">
        <v>7.4955999999999998E-3</v>
      </c>
      <c r="F987" s="349">
        <v>1.1837500000000001E-2</v>
      </c>
    </row>
    <row r="988" spans="1:6" ht="12" thickBot="1">
      <c r="A988" s="347">
        <v>40347</v>
      </c>
      <c r="B988" s="348">
        <v>3.4734000000000002E-3</v>
      </c>
      <c r="C988" s="348">
        <v>4.3249999999999999E-3</v>
      </c>
      <c r="D988" s="348">
        <v>5.3819000000000002E-3</v>
      </c>
      <c r="E988" s="348">
        <v>7.5062999999999996E-3</v>
      </c>
      <c r="F988" s="349">
        <v>1.1831299999999999E-2</v>
      </c>
    </row>
    <row r="989" spans="1:6" ht="12" thickBot="1">
      <c r="A989" s="347">
        <v>40346</v>
      </c>
      <c r="B989" s="348">
        <v>3.4749999999999998E-3</v>
      </c>
      <c r="C989" s="348">
        <v>4.3344000000000004E-3</v>
      </c>
      <c r="D989" s="348">
        <v>5.3924999999999997E-3</v>
      </c>
      <c r="E989" s="348">
        <v>7.5475000000000004E-3</v>
      </c>
      <c r="F989" s="349">
        <v>1.1900000000000001E-2</v>
      </c>
    </row>
    <row r="990" spans="1:6" ht="12" thickBot="1">
      <c r="A990" s="347">
        <v>40345</v>
      </c>
      <c r="B990" s="348">
        <v>3.4843999999999999E-3</v>
      </c>
      <c r="C990" s="348">
        <v>4.3312999999999997E-3</v>
      </c>
      <c r="D990" s="348">
        <v>5.3893999999999999E-3</v>
      </c>
      <c r="E990" s="348">
        <v>7.5456000000000004E-3</v>
      </c>
      <c r="F990" s="349">
        <v>1.18875E-2</v>
      </c>
    </row>
    <row r="991" spans="1:6" ht="12" thickBot="1">
      <c r="A991" s="347">
        <v>40344</v>
      </c>
      <c r="B991" s="348">
        <v>3.4968999999999998E-3</v>
      </c>
      <c r="C991" s="348">
        <v>4.3312999999999997E-3</v>
      </c>
      <c r="D991" s="348">
        <v>5.3893999999999999E-3</v>
      </c>
      <c r="E991" s="348">
        <v>7.5481000000000003E-3</v>
      </c>
      <c r="F991" s="349">
        <v>1.19156E-2</v>
      </c>
    </row>
    <row r="992" spans="1:6" ht="12" thickBot="1">
      <c r="A992" s="347">
        <v>40340</v>
      </c>
      <c r="B992" s="348">
        <v>3.4968999999999998E-3</v>
      </c>
      <c r="C992" s="348">
        <v>4.3499999999999997E-3</v>
      </c>
      <c r="D992" s="348">
        <v>5.3705999999999997E-3</v>
      </c>
      <c r="E992" s="348">
        <v>7.4612999999999997E-3</v>
      </c>
      <c r="F992" s="349">
        <v>1.18031E-2</v>
      </c>
    </row>
    <row r="993" spans="1:6" ht="12" thickBot="1">
      <c r="A993" s="347">
        <v>40339</v>
      </c>
      <c r="B993" s="348">
        <v>3.4968999999999998E-3</v>
      </c>
      <c r="C993" s="348">
        <v>4.3499999999999997E-3</v>
      </c>
      <c r="D993" s="348">
        <v>5.3644000000000001E-3</v>
      </c>
      <c r="E993" s="348">
        <v>7.4938000000000001E-3</v>
      </c>
      <c r="F993" s="349">
        <v>1.1825E-2</v>
      </c>
    </row>
    <row r="994" spans="1:6" ht="12" thickBot="1">
      <c r="A994" s="347">
        <v>40338</v>
      </c>
      <c r="B994" s="348">
        <v>3.5030999999999999E-3</v>
      </c>
      <c r="C994" s="348">
        <v>4.3499999999999997E-3</v>
      </c>
      <c r="D994" s="348">
        <v>5.3655999999999999E-3</v>
      </c>
      <c r="E994" s="348">
        <v>7.5081000000000002E-3</v>
      </c>
      <c r="F994" s="349">
        <v>1.19063E-2</v>
      </c>
    </row>
    <row r="995" spans="1:6" ht="12" thickBot="1">
      <c r="A995" s="347">
        <v>40337</v>
      </c>
      <c r="B995" s="348">
        <v>3.5000000000000001E-3</v>
      </c>
      <c r="C995" s="348">
        <v>4.3531000000000004E-3</v>
      </c>
      <c r="D995" s="348">
        <v>5.3688E-3</v>
      </c>
      <c r="E995" s="348">
        <v>7.5363000000000001E-3</v>
      </c>
      <c r="F995" s="349">
        <v>1.19656E-2</v>
      </c>
    </row>
    <row r="996" spans="1:6" ht="12" thickBot="1">
      <c r="A996" s="347">
        <v>40333</v>
      </c>
      <c r="B996" s="348">
        <v>3.5000000000000001E-3</v>
      </c>
      <c r="C996" s="348">
        <v>4.3562999999999996E-3</v>
      </c>
      <c r="D996" s="348">
        <v>5.3655999999999999E-3</v>
      </c>
      <c r="E996" s="348">
        <v>7.4919000000000001E-3</v>
      </c>
      <c r="F996" s="349">
        <v>1.19656E-2</v>
      </c>
    </row>
    <row r="997" spans="1:6" ht="12" thickBot="1">
      <c r="A997" s="347">
        <v>40332</v>
      </c>
      <c r="B997" s="348">
        <v>3.5087999999999999E-3</v>
      </c>
      <c r="C997" s="348">
        <v>4.3687999999999999E-3</v>
      </c>
      <c r="D997" s="348">
        <v>5.3781000000000002E-3</v>
      </c>
      <c r="E997" s="348">
        <v>7.5300000000000002E-3</v>
      </c>
      <c r="F997" s="349">
        <v>1.205E-2</v>
      </c>
    </row>
    <row r="998" spans="1:6" ht="12" thickBot="1">
      <c r="A998" s="347">
        <v>40331</v>
      </c>
      <c r="B998" s="348">
        <v>3.5087999999999999E-3</v>
      </c>
      <c r="C998" s="348">
        <v>4.3687999999999999E-3</v>
      </c>
      <c r="D998" s="348">
        <v>5.3749999999999996E-3</v>
      </c>
      <c r="E998" s="348">
        <v>7.5363000000000001E-3</v>
      </c>
      <c r="F998" s="349">
        <v>1.20625E-2</v>
      </c>
    </row>
    <row r="999" spans="1:6" ht="12" thickBot="1">
      <c r="A999" s="347">
        <v>40330</v>
      </c>
      <c r="B999" s="348">
        <v>3.5087999999999999E-3</v>
      </c>
      <c r="C999" s="348">
        <v>4.3438000000000001E-3</v>
      </c>
      <c r="D999" s="348">
        <v>5.3625000000000001E-3</v>
      </c>
      <c r="E999" s="348">
        <v>7.6112999999999997E-3</v>
      </c>
      <c r="F999" s="349">
        <v>1.2087499999999999E-2</v>
      </c>
    </row>
    <row r="1000" spans="1:6" ht="12" thickBot="1">
      <c r="A1000" s="347">
        <v>40329</v>
      </c>
      <c r="B1000" s="348">
        <v>3.5125E-3</v>
      </c>
      <c r="C1000" s="348">
        <v>4.3375000000000002E-3</v>
      </c>
      <c r="D1000" s="348">
        <v>5.3625000000000001E-3</v>
      </c>
      <c r="E1000" s="348">
        <v>7.5188E-3</v>
      </c>
      <c r="F1000" s="349">
        <v>1.20406E-2</v>
      </c>
    </row>
    <row r="1001" spans="1:6" ht="12" thickBot="1">
      <c r="A1001" s="347">
        <v>40326</v>
      </c>
      <c r="B1001" s="348">
        <v>3.5125E-3</v>
      </c>
      <c r="C1001" s="348">
        <v>4.3375000000000002E-3</v>
      </c>
      <c r="D1001" s="348">
        <v>5.3625000000000001E-3</v>
      </c>
      <c r="E1001" s="348">
        <v>7.5188E-3</v>
      </c>
      <c r="F1001" s="349">
        <v>1.20406E-2</v>
      </c>
    </row>
    <row r="1002" spans="1:6" ht="12" thickBot="1">
      <c r="A1002" s="347">
        <v>40325</v>
      </c>
      <c r="B1002" s="348">
        <v>3.5374999999999998E-3</v>
      </c>
      <c r="C1002" s="348">
        <v>4.3280999999999997E-3</v>
      </c>
      <c r="D1002" s="348">
        <v>5.3844000000000001E-3</v>
      </c>
      <c r="E1002" s="348">
        <v>7.5849999999999997E-3</v>
      </c>
      <c r="F1002" s="349">
        <v>1.21263E-2</v>
      </c>
    </row>
    <row r="1003" spans="1:6" ht="12" thickBot="1">
      <c r="A1003" s="347">
        <v>40324</v>
      </c>
      <c r="B1003" s="348">
        <v>3.5406000000000001E-3</v>
      </c>
      <c r="C1003" s="348">
        <v>4.3406E-3</v>
      </c>
      <c r="D1003" s="348">
        <v>5.3781000000000002E-3</v>
      </c>
      <c r="E1003" s="348">
        <v>7.5788000000000001E-3</v>
      </c>
      <c r="F1003" s="349">
        <v>1.218E-2</v>
      </c>
    </row>
    <row r="1004" spans="1:6" ht="12" thickBot="1">
      <c r="A1004" s="347">
        <v>40323</v>
      </c>
      <c r="B1004" s="348">
        <v>3.5400000000000002E-3</v>
      </c>
      <c r="C1004" s="348">
        <v>4.3200000000000001E-3</v>
      </c>
      <c r="D1004" s="348">
        <v>5.3625000000000001E-3</v>
      </c>
      <c r="E1004" s="348">
        <v>7.5912999999999996E-3</v>
      </c>
      <c r="F1004" s="349">
        <v>1.22413E-2</v>
      </c>
    </row>
    <row r="1005" spans="1:6" ht="12" thickBot="1">
      <c r="A1005" s="347">
        <v>40322</v>
      </c>
      <c r="B1005" s="348">
        <v>3.4524999999999998E-3</v>
      </c>
      <c r="C1005" s="348">
        <v>4.1694000000000002E-3</v>
      </c>
      <c r="D1005" s="348">
        <v>5.0968999999999997E-3</v>
      </c>
      <c r="E1005" s="348">
        <v>7.1624999999999996E-3</v>
      </c>
      <c r="F1005" s="349">
        <v>1.1765599999999999E-2</v>
      </c>
    </row>
    <row r="1006" spans="1:6" ht="12" thickBot="1">
      <c r="A1006" s="347">
        <v>40319</v>
      </c>
      <c r="B1006" s="348">
        <v>3.4280999999999999E-3</v>
      </c>
      <c r="C1006" s="348">
        <v>4.1155999999999996E-3</v>
      </c>
      <c r="D1006" s="348">
        <v>4.9687999999999998E-3</v>
      </c>
      <c r="E1006" s="348">
        <v>6.9563000000000003E-3</v>
      </c>
      <c r="F1006" s="349">
        <v>1.15438E-2</v>
      </c>
    </row>
    <row r="1007" spans="1:6" ht="12" thickBot="1">
      <c r="A1007" s="347">
        <v>40318</v>
      </c>
      <c r="B1007" s="348">
        <v>3.4131000000000001E-3</v>
      </c>
      <c r="C1007" s="348">
        <v>4.0937999999999999E-3</v>
      </c>
      <c r="D1007" s="348">
        <v>4.8405999999999996E-3</v>
      </c>
      <c r="E1007" s="348">
        <v>6.7875000000000001E-3</v>
      </c>
      <c r="F1007" s="349">
        <v>1.1350000000000001E-2</v>
      </c>
    </row>
    <row r="1008" spans="1:6" ht="12" thickBot="1">
      <c r="A1008" s="347">
        <v>40317</v>
      </c>
      <c r="B1008" s="348">
        <v>3.4106000000000002E-3</v>
      </c>
      <c r="C1008" s="348">
        <v>4.0638000000000002E-3</v>
      </c>
      <c r="D1008" s="348">
        <v>4.7749999999999997E-3</v>
      </c>
      <c r="E1008" s="348">
        <v>6.7337999999999999E-3</v>
      </c>
      <c r="F1008" s="349">
        <v>1.1299999999999999E-2</v>
      </c>
    </row>
    <row r="1009" spans="1:6" ht="12" thickBot="1">
      <c r="A1009" s="347">
        <v>40316</v>
      </c>
      <c r="B1009" s="348">
        <v>3.3969E-3</v>
      </c>
      <c r="C1009" s="348">
        <v>3.9874999999999997E-3</v>
      </c>
      <c r="D1009" s="348">
        <v>4.6468999999999998E-3</v>
      </c>
      <c r="E1009" s="348">
        <v>6.5500000000000003E-3</v>
      </c>
      <c r="F1009" s="349">
        <v>1.115E-2</v>
      </c>
    </row>
    <row r="1010" spans="1:6" ht="12" thickBot="1">
      <c r="A1010" s="347">
        <v>40312</v>
      </c>
      <c r="B1010" s="348">
        <v>3.3774999999999999E-3</v>
      </c>
      <c r="C1010" s="348">
        <v>3.8928000000000001E-3</v>
      </c>
      <c r="D1010" s="348">
        <v>4.4505999999999999E-3</v>
      </c>
      <c r="E1010" s="348">
        <v>6.3499999999999997E-3</v>
      </c>
      <c r="F1010" s="349">
        <v>1.10563E-2</v>
      </c>
    </row>
    <row r="1011" spans="1:6" ht="12" thickBot="1">
      <c r="A1011" s="347">
        <v>40311</v>
      </c>
      <c r="B1011" s="348">
        <v>3.3687999999999999E-3</v>
      </c>
      <c r="C1011" s="348">
        <v>3.8338000000000001E-3</v>
      </c>
      <c r="D1011" s="348">
        <v>4.3588000000000003E-3</v>
      </c>
      <c r="E1011" s="348">
        <v>6.2262999999999997E-3</v>
      </c>
      <c r="F1011" s="349">
        <v>1.09219E-2</v>
      </c>
    </row>
    <row r="1012" spans="1:6" ht="12" thickBot="1">
      <c r="A1012" s="347">
        <v>40310</v>
      </c>
      <c r="B1012" s="348">
        <v>3.3812999999999998E-3</v>
      </c>
      <c r="C1012" s="348">
        <v>3.8219E-3</v>
      </c>
      <c r="D1012" s="348">
        <v>4.3019E-3</v>
      </c>
      <c r="E1012" s="348">
        <v>6.2230999999999996E-3</v>
      </c>
      <c r="F1012" s="349">
        <v>1.0975E-2</v>
      </c>
    </row>
    <row r="1013" spans="1:6" ht="12" thickBot="1">
      <c r="A1013" s="347">
        <v>40309</v>
      </c>
      <c r="B1013" s="348">
        <v>3.375E-3</v>
      </c>
      <c r="C1013" s="348">
        <v>3.8094000000000001E-3</v>
      </c>
      <c r="D1013" s="348">
        <v>4.2281000000000003E-3</v>
      </c>
      <c r="E1013" s="348">
        <v>6.1850000000000004E-3</v>
      </c>
      <c r="F1013" s="349">
        <v>1.0987500000000001E-2</v>
      </c>
    </row>
    <row r="1014" spans="1:6" ht="12" thickBot="1">
      <c r="A1014" s="347">
        <v>40308</v>
      </c>
      <c r="B1014" s="348">
        <v>3.3999999999999998E-3</v>
      </c>
      <c r="C1014" s="348">
        <v>3.8062999999999999E-3</v>
      </c>
      <c r="D1014" s="348">
        <v>4.2125000000000001E-3</v>
      </c>
      <c r="E1014" s="348">
        <v>6.2249999999999996E-3</v>
      </c>
      <c r="F1014" s="349">
        <v>1.0975E-2</v>
      </c>
    </row>
    <row r="1015" spans="1:6" ht="12" thickBot="1">
      <c r="A1015" s="347">
        <v>40305</v>
      </c>
      <c r="B1015" s="348">
        <v>3.4875000000000001E-3</v>
      </c>
      <c r="C1015" s="348">
        <v>3.8563E-3</v>
      </c>
      <c r="D1015" s="348">
        <v>4.2813E-3</v>
      </c>
      <c r="E1015" s="348">
        <v>6.3688E-3</v>
      </c>
      <c r="F1015" s="349">
        <v>1.1299999999999999E-2</v>
      </c>
    </row>
    <row r="1016" spans="1:6" ht="12" thickBot="1">
      <c r="A1016" s="347">
        <v>40304</v>
      </c>
      <c r="B1016" s="348">
        <v>2.9705999999999999E-3</v>
      </c>
      <c r="C1016" s="348">
        <v>3.3530999999999999E-3</v>
      </c>
      <c r="D1016" s="348">
        <v>3.7358999999999999E-3</v>
      </c>
      <c r="E1016" s="348">
        <v>5.6563000000000004E-3</v>
      </c>
      <c r="F1016" s="349">
        <v>1.065E-2</v>
      </c>
    </row>
    <row r="1017" spans="1:6" ht="12" thickBot="1">
      <c r="A1017" s="347">
        <v>40303</v>
      </c>
      <c r="B1017" s="348">
        <v>2.9093999999999999E-3</v>
      </c>
      <c r="C1017" s="348">
        <v>3.2563000000000002E-3</v>
      </c>
      <c r="D1017" s="348">
        <v>3.6015999999999999E-3</v>
      </c>
      <c r="E1017" s="348">
        <v>5.5531E-3</v>
      </c>
      <c r="F1017" s="349">
        <v>1.0540600000000001E-2</v>
      </c>
    </row>
    <row r="1018" spans="1:6" ht="12" thickBot="1">
      <c r="A1018" s="347">
        <v>40302</v>
      </c>
      <c r="B1018" s="348">
        <v>2.8468999999999999E-3</v>
      </c>
      <c r="C1018" s="348">
        <v>3.2125000000000001E-3</v>
      </c>
      <c r="D1018" s="348">
        <v>3.5312999999999998E-3</v>
      </c>
      <c r="E1018" s="348">
        <v>5.4577999999999996E-3</v>
      </c>
      <c r="F1018" s="349">
        <v>1.04E-2</v>
      </c>
    </row>
    <row r="1019" spans="1:6" ht="12" thickBot="1">
      <c r="A1019" s="347">
        <v>40301</v>
      </c>
      <c r="B1019" s="348">
        <v>2.8E-3</v>
      </c>
      <c r="C1019" s="348">
        <v>3.1624999999999999E-3</v>
      </c>
      <c r="D1019" s="348">
        <v>3.4656000000000001E-3</v>
      </c>
      <c r="E1019" s="348">
        <v>5.3062999999999999E-3</v>
      </c>
      <c r="F1019" s="349">
        <v>1.01563E-2</v>
      </c>
    </row>
    <row r="1020" spans="1:6" ht="12" thickBot="1">
      <c r="A1020" s="347">
        <v>40298</v>
      </c>
      <c r="B1020" s="348">
        <v>2.8E-3</v>
      </c>
      <c r="C1020" s="348">
        <v>3.1624999999999999E-3</v>
      </c>
      <c r="D1020" s="348">
        <v>3.4656000000000001E-3</v>
      </c>
      <c r="E1020" s="348">
        <v>5.3062999999999999E-3</v>
      </c>
      <c r="F1020" s="349">
        <v>1.01563E-2</v>
      </c>
    </row>
    <row r="1021" spans="1:6" ht="12" thickBot="1">
      <c r="A1021" s="347">
        <v>40297</v>
      </c>
      <c r="B1021" s="348">
        <v>2.7766000000000002E-3</v>
      </c>
      <c r="C1021" s="348">
        <v>3.1218999999999999E-3</v>
      </c>
      <c r="D1021" s="348">
        <v>3.4437999999999999E-3</v>
      </c>
      <c r="E1021" s="348">
        <v>5.2719000000000004E-3</v>
      </c>
      <c r="F1021" s="349">
        <v>1.01438E-2</v>
      </c>
    </row>
    <row r="1022" spans="1:6" ht="12" thickBot="1">
      <c r="A1022" s="347">
        <v>40296</v>
      </c>
      <c r="B1022" s="348">
        <v>2.7312999999999999E-3</v>
      </c>
      <c r="C1022" s="348">
        <v>3.0469E-3</v>
      </c>
      <c r="D1022" s="348">
        <v>3.3781000000000002E-3</v>
      </c>
      <c r="E1022" s="348">
        <v>5.2249999999999996E-3</v>
      </c>
      <c r="F1022" s="349">
        <v>1.0149999999999999E-2</v>
      </c>
    </row>
    <row r="1023" spans="1:6" ht="12" thickBot="1">
      <c r="A1023" s="347">
        <v>40295</v>
      </c>
      <c r="B1023" s="348">
        <v>2.6672000000000002E-3</v>
      </c>
      <c r="C1023" s="348">
        <v>2.9688000000000002E-3</v>
      </c>
      <c r="D1023" s="348">
        <v>3.2780999999999999E-3</v>
      </c>
      <c r="E1023" s="348">
        <v>5.0562999999999997E-3</v>
      </c>
      <c r="F1023" s="349">
        <v>9.9874999999999999E-3</v>
      </c>
    </row>
    <row r="1024" spans="1:6" ht="12" thickBot="1">
      <c r="A1024" s="347">
        <v>40294</v>
      </c>
      <c r="B1024" s="348">
        <v>2.6469000000000002E-3</v>
      </c>
      <c r="C1024" s="348">
        <v>2.9313E-3</v>
      </c>
      <c r="D1024" s="348">
        <v>3.2374999999999999E-3</v>
      </c>
      <c r="E1024" s="348">
        <v>5.0030999999999999E-3</v>
      </c>
      <c r="F1024" s="349">
        <v>9.9313000000000005E-3</v>
      </c>
    </row>
    <row r="1025" spans="1:6" ht="12" thickBot="1">
      <c r="A1025" s="347">
        <v>40291</v>
      </c>
      <c r="B1025" s="348">
        <v>2.6438E-3</v>
      </c>
      <c r="C1025" s="348">
        <v>2.8999999999999998E-3</v>
      </c>
      <c r="D1025" s="348">
        <v>3.2063E-3</v>
      </c>
      <c r="E1025" s="348">
        <v>4.9281000000000004E-3</v>
      </c>
      <c r="F1025" s="349">
        <v>9.7874999999999993E-3</v>
      </c>
    </row>
    <row r="1026" spans="1:6" ht="12" thickBot="1">
      <c r="A1026" s="347">
        <v>40290</v>
      </c>
      <c r="B1026" s="348">
        <v>2.6250000000000002E-3</v>
      </c>
      <c r="C1026" s="348">
        <v>2.875E-3</v>
      </c>
      <c r="D1026" s="348">
        <v>3.1578000000000001E-3</v>
      </c>
      <c r="E1026" s="348">
        <v>4.8218999999999996E-3</v>
      </c>
      <c r="F1026" s="349">
        <v>9.6296999999999997E-3</v>
      </c>
    </row>
    <row r="1027" spans="1:6" ht="12" thickBot="1">
      <c r="A1027" s="347">
        <v>40289</v>
      </c>
      <c r="B1027" s="348">
        <v>2.6063000000000002E-3</v>
      </c>
      <c r="C1027" s="348">
        <v>2.8438000000000001E-3</v>
      </c>
      <c r="D1027" s="348">
        <v>3.1281E-3</v>
      </c>
      <c r="E1027" s="348">
        <v>4.725E-3</v>
      </c>
      <c r="F1027" s="349">
        <v>9.5250000000000005E-3</v>
      </c>
    </row>
    <row r="1028" spans="1:6" ht="12" thickBot="1">
      <c r="A1028" s="347">
        <v>40288</v>
      </c>
      <c r="B1028" s="348">
        <v>2.5875E-3</v>
      </c>
      <c r="C1028" s="348">
        <v>2.8313000000000001E-3</v>
      </c>
      <c r="D1028" s="348">
        <v>3.0718999999999998E-3</v>
      </c>
      <c r="E1028" s="348">
        <v>4.6499999999999996E-3</v>
      </c>
      <c r="F1028" s="349">
        <v>9.4094000000000001E-3</v>
      </c>
    </row>
    <row r="1029" spans="1:6" ht="12" thickBot="1">
      <c r="A1029" s="347">
        <v>40287</v>
      </c>
      <c r="B1029" s="348">
        <v>2.575E-3</v>
      </c>
      <c r="C1029" s="348">
        <v>2.8156000000000001E-3</v>
      </c>
      <c r="D1029" s="348">
        <v>3.0531E-3</v>
      </c>
      <c r="E1029" s="348">
        <v>4.6062999999999998E-3</v>
      </c>
      <c r="F1029" s="349">
        <v>9.3313000000000007E-3</v>
      </c>
    </row>
    <row r="1030" spans="1:6" ht="12" thickBot="1">
      <c r="A1030" s="347">
        <v>40284</v>
      </c>
      <c r="B1030" s="348">
        <v>2.5563000000000001E-3</v>
      </c>
      <c r="C1030" s="348">
        <v>2.8E-3</v>
      </c>
      <c r="D1030" s="348">
        <v>3.0531E-3</v>
      </c>
      <c r="E1030" s="348">
        <v>4.6438E-3</v>
      </c>
      <c r="F1030" s="349">
        <v>9.4438000000000005E-3</v>
      </c>
    </row>
    <row r="1031" spans="1:6" ht="12" thickBot="1">
      <c r="A1031" s="347">
        <v>40283</v>
      </c>
      <c r="B1031" s="348">
        <v>2.5625000000000001E-3</v>
      </c>
      <c r="C1031" s="348">
        <v>2.8019E-3</v>
      </c>
      <c r="D1031" s="348">
        <v>3.0438000000000002E-3</v>
      </c>
      <c r="E1031" s="348">
        <v>4.6499999999999996E-3</v>
      </c>
      <c r="F1031" s="349">
        <v>9.4593999999999998E-3</v>
      </c>
    </row>
    <row r="1032" spans="1:6" ht="12" thickBot="1">
      <c r="A1032" s="347">
        <v>40282</v>
      </c>
      <c r="B1032" s="348">
        <v>2.5593999999999999E-3</v>
      </c>
      <c r="C1032" s="348">
        <v>2.7769000000000001E-3</v>
      </c>
      <c r="D1032" s="348">
        <v>3.0374999999999998E-3</v>
      </c>
      <c r="E1032" s="348">
        <v>4.6249999999999998E-3</v>
      </c>
      <c r="F1032" s="349">
        <v>9.4655999999999994E-3</v>
      </c>
    </row>
    <row r="1033" spans="1:6" ht="12" thickBot="1">
      <c r="A1033" s="347">
        <v>40281</v>
      </c>
      <c r="B1033" s="348">
        <v>2.5438000000000001E-3</v>
      </c>
      <c r="C1033" s="348">
        <v>2.7506000000000002E-3</v>
      </c>
      <c r="D1033" s="348">
        <v>3.0281000000000001E-3</v>
      </c>
      <c r="E1033" s="348">
        <v>4.5563000000000001E-3</v>
      </c>
      <c r="F1033" s="349">
        <v>9.3594000000000004E-3</v>
      </c>
    </row>
    <row r="1034" spans="1:6" ht="12" thickBot="1">
      <c r="A1034" s="347">
        <v>40280</v>
      </c>
      <c r="B1034" s="348">
        <v>2.5298E-3</v>
      </c>
      <c r="C1034" s="348">
        <v>2.7260000000000001E-3</v>
      </c>
      <c r="D1034" s="348">
        <v>3.0041E-3</v>
      </c>
      <c r="E1034" s="348">
        <v>4.5563000000000001E-3</v>
      </c>
      <c r="F1034" s="349">
        <v>9.4094000000000001E-3</v>
      </c>
    </row>
    <row r="1035" spans="1:6" ht="12" thickBot="1">
      <c r="A1035" s="347">
        <v>40277</v>
      </c>
      <c r="B1035" s="348">
        <v>2.5287999999999999E-3</v>
      </c>
      <c r="C1035" s="348">
        <v>2.7093999999999998E-3</v>
      </c>
      <c r="D1035" s="348">
        <v>2.9781E-3</v>
      </c>
      <c r="E1035" s="348">
        <v>4.5374999999999999E-3</v>
      </c>
      <c r="F1035" s="349">
        <v>9.3606000000000002E-3</v>
      </c>
    </row>
    <row r="1036" spans="1:6" ht="12" thickBot="1">
      <c r="A1036" s="347">
        <v>40276</v>
      </c>
      <c r="B1036" s="348">
        <v>2.5013000000000001E-3</v>
      </c>
      <c r="C1036" s="348">
        <v>2.6855999999999998E-3</v>
      </c>
      <c r="D1036" s="348">
        <v>2.9399999999999999E-3</v>
      </c>
      <c r="E1036" s="348">
        <v>4.5250000000000004E-3</v>
      </c>
      <c r="F1036" s="349">
        <v>9.3355999999999995E-3</v>
      </c>
    </row>
    <row r="1037" spans="1:6" ht="12" thickBot="1">
      <c r="A1037" s="347">
        <v>40275</v>
      </c>
      <c r="B1037" s="348">
        <v>2.5138000000000001E-3</v>
      </c>
      <c r="C1037" s="348">
        <v>2.6981000000000002E-3</v>
      </c>
      <c r="D1037" s="348">
        <v>2.9524999999999998E-3</v>
      </c>
      <c r="E1037" s="348">
        <v>4.5250000000000004E-3</v>
      </c>
      <c r="F1037" s="349">
        <v>9.4249999999999994E-3</v>
      </c>
    </row>
    <row r="1038" spans="1:6" ht="12" thickBot="1">
      <c r="A1038" s="347">
        <v>40274</v>
      </c>
      <c r="B1038" s="348">
        <v>2.5075000000000002E-3</v>
      </c>
      <c r="C1038" s="348">
        <v>2.6925E-3</v>
      </c>
      <c r="D1038" s="348">
        <v>2.9488000000000001E-3</v>
      </c>
      <c r="E1038" s="348">
        <v>4.5437999999999997E-3</v>
      </c>
      <c r="F1038" s="349">
        <v>9.4999999999999998E-3</v>
      </c>
    </row>
    <row r="1039" spans="1:6" ht="12" thickBot="1">
      <c r="A1039" s="347">
        <v>40273</v>
      </c>
      <c r="B1039" s="348">
        <v>2.4862999999999999E-3</v>
      </c>
      <c r="C1039" s="348">
        <v>2.6694000000000002E-3</v>
      </c>
      <c r="D1039" s="348">
        <v>2.9150000000000001E-3</v>
      </c>
      <c r="E1039" s="348">
        <v>4.4156000000000004E-3</v>
      </c>
      <c r="F1039" s="349">
        <v>9.1500000000000001E-3</v>
      </c>
    </row>
    <row r="1040" spans="1:6" ht="12" thickBot="1">
      <c r="A1040" s="347">
        <v>40268</v>
      </c>
      <c r="B1040" s="348">
        <v>2.4862999999999999E-3</v>
      </c>
      <c r="C1040" s="348">
        <v>2.6668999999999998E-3</v>
      </c>
      <c r="D1040" s="348">
        <v>2.9150000000000001E-3</v>
      </c>
      <c r="E1040" s="348">
        <v>4.4438000000000004E-3</v>
      </c>
      <c r="F1040" s="349">
        <v>9.1999999999999998E-3</v>
      </c>
    </row>
    <row r="1041" spans="1:6" ht="12" thickBot="1">
      <c r="A1041" s="347">
        <v>40267</v>
      </c>
      <c r="B1041" s="348">
        <v>2.4862999999999999E-3</v>
      </c>
      <c r="C1041" s="348">
        <v>2.6638E-3</v>
      </c>
      <c r="D1041" s="348">
        <v>2.9088E-3</v>
      </c>
      <c r="E1041" s="348">
        <v>4.4187999999999996E-3</v>
      </c>
      <c r="F1041" s="349">
        <v>9.1468999999999995E-3</v>
      </c>
    </row>
    <row r="1042" spans="1:6" ht="12" thickBot="1">
      <c r="A1042" s="347">
        <v>40266</v>
      </c>
      <c r="B1042" s="348">
        <v>2.4788000000000002E-3</v>
      </c>
      <c r="C1042" s="348">
        <v>2.6562999999999999E-3</v>
      </c>
      <c r="D1042" s="348">
        <v>2.9012999999999999E-3</v>
      </c>
      <c r="E1042" s="348">
        <v>4.4250000000000001E-3</v>
      </c>
      <c r="F1042" s="349">
        <v>9.1468999999999995E-3</v>
      </c>
    </row>
    <row r="1043" spans="1:6" ht="12" thickBot="1">
      <c r="A1043" s="347">
        <v>40263</v>
      </c>
      <c r="B1043" s="348">
        <v>2.4688000000000002E-3</v>
      </c>
      <c r="C1043" s="348">
        <v>2.6469000000000002E-3</v>
      </c>
      <c r="D1043" s="348">
        <v>2.8874999999999999E-3</v>
      </c>
      <c r="E1043" s="348">
        <v>4.3937999999999998E-3</v>
      </c>
      <c r="F1043" s="349">
        <v>9.0968999999999998E-3</v>
      </c>
    </row>
    <row r="1044" spans="1:6" ht="12" thickBot="1">
      <c r="A1044" s="347">
        <v>40262</v>
      </c>
      <c r="B1044" s="348">
        <v>2.4694000000000001E-3</v>
      </c>
      <c r="C1044" s="348">
        <v>2.6375000000000001E-3</v>
      </c>
      <c r="D1044" s="348">
        <v>2.8781000000000002E-3</v>
      </c>
      <c r="E1044" s="348">
        <v>4.3687999999999999E-3</v>
      </c>
      <c r="F1044" s="349">
        <v>9.0843999999999994E-3</v>
      </c>
    </row>
    <row r="1045" spans="1:6" ht="12" thickBot="1">
      <c r="A1045" s="347">
        <v>40261</v>
      </c>
      <c r="B1045" s="348">
        <v>2.4618999999999999E-3</v>
      </c>
      <c r="C1045" s="348">
        <v>2.6162999999999998E-3</v>
      </c>
      <c r="D1045" s="348">
        <v>2.8490999999999998E-3</v>
      </c>
      <c r="E1045" s="348">
        <v>4.3531000000000004E-3</v>
      </c>
      <c r="F1045" s="349">
        <v>8.9374999999999993E-3</v>
      </c>
    </row>
    <row r="1046" spans="1:6" ht="12" thickBot="1">
      <c r="A1046" s="347">
        <v>40260</v>
      </c>
      <c r="B1046" s="348">
        <v>2.4605999999999999E-3</v>
      </c>
      <c r="C1046" s="348">
        <v>2.6180999999999999E-3</v>
      </c>
      <c r="D1046" s="348">
        <v>2.8352999999999998E-3</v>
      </c>
      <c r="E1046" s="348">
        <v>4.3375000000000002E-3</v>
      </c>
      <c r="F1046" s="349">
        <v>8.9125000000000003E-3</v>
      </c>
    </row>
    <row r="1047" spans="1:6" ht="12" thickBot="1">
      <c r="A1047" s="347">
        <v>40256</v>
      </c>
      <c r="B1047" s="348">
        <v>2.4505999999999998E-3</v>
      </c>
      <c r="C1047" s="348">
        <v>2.5699999999999998E-3</v>
      </c>
      <c r="D1047" s="348">
        <v>2.7750000000000001E-3</v>
      </c>
      <c r="E1047" s="348">
        <v>4.2325000000000002E-3</v>
      </c>
      <c r="F1047" s="349">
        <v>8.7562999999999998E-3</v>
      </c>
    </row>
    <row r="1048" spans="1:6" ht="12" thickBot="1">
      <c r="A1048" s="347">
        <v>40255</v>
      </c>
      <c r="B1048" s="348">
        <v>2.3974999999999999E-3</v>
      </c>
      <c r="C1048" s="348">
        <v>2.5200000000000001E-3</v>
      </c>
      <c r="D1048" s="348">
        <v>2.7100000000000002E-3</v>
      </c>
      <c r="E1048" s="348">
        <v>4.0765999999999997E-3</v>
      </c>
      <c r="F1048" s="349">
        <v>8.5687999999999997E-3</v>
      </c>
    </row>
    <row r="1049" spans="1:6" ht="12" thickBot="1">
      <c r="A1049" s="347">
        <v>40254</v>
      </c>
      <c r="B1049" s="348">
        <v>2.3744E-3</v>
      </c>
      <c r="C1049" s="348">
        <v>2.4830999999999998E-3</v>
      </c>
      <c r="D1049" s="348">
        <v>2.6638E-3</v>
      </c>
      <c r="E1049" s="348">
        <v>4.0188000000000003E-3</v>
      </c>
      <c r="F1049" s="349">
        <v>8.5906000000000003E-3</v>
      </c>
    </row>
    <row r="1050" spans="1:6" ht="12" thickBot="1">
      <c r="A1050" s="347">
        <v>40253</v>
      </c>
      <c r="B1050" s="348">
        <v>2.3563E-3</v>
      </c>
      <c r="C1050" s="348">
        <v>2.4650000000000002E-3</v>
      </c>
      <c r="D1050" s="348">
        <v>2.6088000000000001E-3</v>
      </c>
      <c r="E1050" s="348">
        <v>4.0124999999999996E-3</v>
      </c>
      <c r="F1050" s="349">
        <v>8.7174999999999996E-3</v>
      </c>
    </row>
    <row r="1051" spans="1:6" ht="12" thickBot="1">
      <c r="A1051" s="347">
        <v>40252</v>
      </c>
      <c r="B1051" s="348">
        <v>2.3031000000000002E-3</v>
      </c>
      <c r="C1051" s="348">
        <v>2.4294E-3</v>
      </c>
      <c r="D1051" s="348">
        <v>2.5763000000000001E-3</v>
      </c>
      <c r="E1051" s="348">
        <v>4.0063E-3</v>
      </c>
      <c r="F1051" s="349">
        <v>8.6718999999999997E-3</v>
      </c>
    </row>
    <row r="1052" spans="1:6" ht="12" thickBot="1">
      <c r="A1052" s="347">
        <v>40249</v>
      </c>
      <c r="B1052" s="348">
        <v>2.3E-3</v>
      </c>
      <c r="C1052" s="348">
        <v>2.4137999999999998E-3</v>
      </c>
      <c r="D1052" s="348">
        <v>2.5718999999999998E-3</v>
      </c>
      <c r="E1052" s="348">
        <v>3.9781E-3</v>
      </c>
      <c r="F1052" s="349">
        <v>8.6838000000000002E-3</v>
      </c>
    </row>
    <row r="1053" spans="1:6" ht="12" thickBot="1">
      <c r="A1053" s="347">
        <v>40248</v>
      </c>
      <c r="B1053" s="348">
        <v>2.3E-3</v>
      </c>
      <c r="C1053" s="348">
        <v>2.4125000000000001E-3</v>
      </c>
      <c r="D1053" s="348">
        <v>2.5703000000000002E-3</v>
      </c>
      <c r="E1053" s="348">
        <v>3.9344000000000002E-3</v>
      </c>
      <c r="F1053" s="349">
        <v>8.6125000000000004E-3</v>
      </c>
    </row>
    <row r="1054" spans="1:6" ht="12" thickBot="1">
      <c r="A1054" s="347">
        <v>40247</v>
      </c>
      <c r="B1054" s="348">
        <v>2.3E-3</v>
      </c>
      <c r="C1054" s="348">
        <v>2.3999999999999998E-3</v>
      </c>
      <c r="D1054" s="348">
        <v>2.5563000000000001E-3</v>
      </c>
      <c r="E1054" s="348">
        <v>3.9437999999999999E-3</v>
      </c>
      <c r="F1054" s="349">
        <v>8.5749999999999993E-3</v>
      </c>
    </row>
    <row r="1055" spans="1:6" ht="12" thickBot="1">
      <c r="A1055" s="347">
        <v>40246</v>
      </c>
      <c r="B1055" s="348">
        <v>2.3E-3</v>
      </c>
      <c r="C1055" s="348">
        <v>2.3999999999999998E-3</v>
      </c>
      <c r="D1055" s="348">
        <v>2.555E-3</v>
      </c>
      <c r="E1055" s="348">
        <v>3.9437999999999999E-3</v>
      </c>
      <c r="F1055" s="349">
        <v>8.5874999999999996E-3</v>
      </c>
    </row>
    <row r="1056" spans="1:6" ht="12" thickBot="1">
      <c r="A1056" s="347">
        <v>40245</v>
      </c>
      <c r="B1056" s="348">
        <v>2.3E-3</v>
      </c>
      <c r="C1056" s="348">
        <v>2.3999999999999998E-3</v>
      </c>
      <c r="D1056" s="348">
        <v>2.5425000000000001E-3</v>
      </c>
      <c r="E1056" s="348">
        <v>3.9531000000000002E-3</v>
      </c>
      <c r="F1056" s="349">
        <v>8.6750000000000004E-3</v>
      </c>
    </row>
    <row r="1057" spans="1:6" ht="12" thickBot="1">
      <c r="A1057" s="347">
        <v>40242</v>
      </c>
      <c r="B1057" s="348">
        <v>2.2905999999999998E-3</v>
      </c>
      <c r="C1057" s="348">
        <v>2.3938000000000002E-3</v>
      </c>
      <c r="D1057" s="348">
        <v>2.5363E-3</v>
      </c>
      <c r="E1057" s="348">
        <v>3.8999999999999998E-3</v>
      </c>
      <c r="F1057" s="349">
        <v>8.5062999999999996E-3</v>
      </c>
    </row>
    <row r="1058" spans="1:6" ht="12" thickBot="1">
      <c r="A1058" s="347">
        <v>40241</v>
      </c>
      <c r="B1058" s="348">
        <v>2.2813E-3</v>
      </c>
      <c r="C1058" s="348">
        <v>2.3938000000000002E-3</v>
      </c>
      <c r="D1058" s="348">
        <v>2.5219000000000001E-3</v>
      </c>
      <c r="E1058" s="348">
        <v>3.8319000000000001E-3</v>
      </c>
      <c r="F1058" s="349">
        <v>8.3406000000000001E-3</v>
      </c>
    </row>
    <row r="1059" spans="1:6" ht="12" thickBot="1">
      <c r="A1059" s="347">
        <v>40240</v>
      </c>
      <c r="B1059" s="348">
        <v>2.2813E-3</v>
      </c>
      <c r="C1059" s="348">
        <v>2.3938000000000002E-3</v>
      </c>
      <c r="D1059" s="348">
        <v>2.5194000000000002E-3</v>
      </c>
      <c r="E1059" s="348">
        <v>3.8319000000000001E-3</v>
      </c>
      <c r="F1059" s="349">
        <v>8.3438000000000002E-3</v>
      </c>
    </row>
    <row r="1060" spans="1:6" ht="12" thickBot="1">
      <c r="A1060" s="347">
        <v>40239</v>
      </c>
      <c r="B1060" s="348">
        <v>2.2813E-3</v>
      </c>
      <c r="C1060" s="348">
        <v>2.3938000000000002E-3</v>
      </c>
      <c r="D1060" s="348">
        <v>2.5194000000000002E-3</v>
      </c>
      <c r="E1060" s="348">
        <v>3.8319000000000001E-3</v>
      </c>
      <c r="F1060" s="349">
        <v>8.3625000000000001E-3</v>
      </c>
    </row>
    <row r="1061" spans="1:6" ht="12" thickBot="1">
      <c r="A1061" s="347">
        <v>40238</v>
      </c>
      <c r="B1061" s="348">
        <v>2.2813E-3</v>
      </c>
      <c r="C1061" s="348">
        <v>2.3938000000000002E-3</v>
      </c>
      <c r="D1061" s="348">
        <v>2.5168999999999999E-3</v>
      </c>
      <c r="E1061" s="348">
        <v>3.8375000000000002E-3</v>
      </c>
      <c r="F1061" s="349">
        <v>8.3937999999999999E-3</v>
      </c>
    </row>
    <row r="1062" spans="1:6" ht="12" thickBot="1">
      <c r="A1062" s="347">
        <v>40235</v>
      </c>
      <c r="B1062" s="348">
        <v>2.2875E-3</v>
      </c>
      <c r="C1062" s="348">
        <v>2.3999999999999998E-3</v>
      </c>
      <c r="D1062" s="348">
        <v>2.5168999999999999E-3</v>
      </c>
      <c r="E1062" s="348">
        <v>3.8687999999999999E-3</v>
      </c>
      <c r="F1062" s="349">
        <v>8.3937999999999999E-3</v>
      </c>
    </row>
    <row r="1063" spans="1:6" ht="12" thickBot="1">
      <c r="A1063" s="347">
        <v>40234</v>
      </c>
      <c r="B1063" s="348">
        <v>2.2875E-3</v>
      </c>
      <c r="C1063" s="348">
        <v>2.3999999999999998E-3</v>
      </c>
      <c r="D1063" s="348">
        <v>2.5194000000000002E-3</v>
      </c>
      <c r="E1063" s="348">
        <v>3.8687999999999999E-3</v>
      </c>
      <c r="F1063" s="349">
        <v>8.3999999999999995E-3</v>
      </c>
    </row>
    <row r="1064" spans="1:6" ht="12" thickBot="1">
      <c r="A1064" s="347">
        <v>40233</v>
      </c>
      <c r="B1064" s="348">
        <v>2.2875E-3</v>
      </c>
      <c r="C1064" s="348">
        <v>2.3999999999999998E-3</v>
      </c>
      <c r="D1064" s="348">
        <v>2.5194000000000002E-3</v>
      </c>
      <c r="E1064" s="348">
        <v>3.9125000000000002E-3</v>
      </c>
      <c r="F1064" s="349">
        <v>8.5438000000000007E-3</v>
      </c>
    </row>
    <row r="1065" spans="1:6" ht="12" thickBot="1">
      <c r="A1065" s="347">
        <v>40232</v>
      </c>
      <c r="B1065" s="348">
        <v>2.2875E-3</v>
      </c>
      <c r="C1065" s="348">
        <v>2.3999999999999998E-3</v>
      </c>
      <c r="D1065" s="348">
        <v>2.5194000000000002E-3</v>
      </c>
      <c r="E1065" s="348">
        <v>3.9375E-3</v>
      </c>
      <c r="F1065" s="349">
        <v>8.6688000000000008E-3</v>
      </c>
    </row>
    <row r="1066" spans="1:6" ht="12" thickBot="1">
      <c r="A1066" s="347">
        <v>40231</v>
      </c>
      <c r="B1066" s="348">
        <v>2.2875E-3</v>
      </c>
      <c r="C1066" s="348">
        <v>2.3999999999999998E-3</v>
      </c>
      <c r="D1066" s="348">
        <v>2.5219000000000001E-3</v>
      </c>
      <c r="E1066" s="348">
        <v>3.9313000000000004E-3</v>
      </c>
      <c r="F1066" s="349">
        <v>8.7313000000000009E-3</v>
      </c>
    </row>
    <row r="1067" spans="1:6" ht="12" thickBot="1">
      <c r="A1067" s="347">
        <v>40228</v>
      </c>
      <c r="B1067" s="348">
        <v>2.2875E-3</v>
      </c>
      <c r="C1067" s="348">
        <v>2.3999999999999998E-3</v>
      </c>
      <c r="D1067" s="348">
        <v>2.5194000000000002E-3</v>
      </c>
      <c r="E1067" s="348">
        <v>3.9531000000000002E-3</v>
      </c>
      <c r="F1067" s="349">
        <v>8.7749999999999998E-3</v>
      </c>
    </row>
    <row r="1068" spans="1:6" ht="12" thickBot="1">
      <c r="A1068" s="347">
        <v>40227</v>
      </c>
      <c r="B1068" s="348">
        <v>2.2875E-3</v>
      </c>
      <c r="C1068" s="348">
        <v>2.3999999999999998E-3</v>
      </c>
      <c r="D1068" s="348">
        <v>2.5125E-3</v>
      </c>
      <c r="E1068" s="348">
        <v>3.8438000000000001E-3</v>
      </c>
      <c r="F1068" s="349">
        <v>8.5375E-3</v>
      </c>
    </row>
    <row r="1069" spans="1:6" ht="12" thickBot="1">
      <c r="A1069" s="347">
        <v>40226</v>
      </c>
      <c r="B1069" s="348">
        <v>2.2875E-3</v>
      </c>
      <c r="C1069" s="348">
        <v>2.3999999999999998E-3</v>
      </c>
      <c r="D1069" s="348">
        <v>2.5062999999999999E-3</v>
      </c>
      <c r="E1069" s="348">
        <v>3.8500000000000001E-3</v>
      </c>
      <c r="F1069" s="349">
        <v>8.5062999999999996E-3</v>
      </c>
    </row>
    <row r="1070" spans="1:6" ht="12" thickBot="1">
      <c r="A1070" s="347">
        <v>40225</v>
      </c>
      <c r="B1070" s="348">
        <v>2.2875E-3</v>
      </c>
      <c r="C1070" s="348">
        <v>2.3999999999999998E-3</v>
      </c>
      <c r="D1070" s="348">
        <v>2.5000000000000001E-3</v>
      </c>
      <c r="E1070" s="348">
        <v>3.8812999999999999E-3</v>
      </c>
      <c r="F1070" s="349">
        <v>8.5562999999999993E-3</v>
      </c>
    </row>
    <row r="1071" spans="1:6" ht="12" thickBot="1">
      <c r="A1071" s="347">
        <v>40224</v>
      </c>
      <c r="B1071" s="348">
        <v>2.2875E-3</v>
      </c>
      <c r="C1071" s="348">
        <v>2.3999999999999998E-3</v>
      </c>
      <c r="D1071" s="348">
        <v>2.5000000000000001E-3</v>
      </c>
      <c r="E1071" s="348">
        <v>3.8812999999999999E-3</v>
      </c>
      <c r="F1071" s="349">
        <v>8.5124999999999992E-3</v>
      </c>
    </row>
    <row r="1072" spans="1:6" ht="12" thickBot="1">
      <c r="A1072" s="347">
        <v>40221</v>
      </c>
      <c r="B1072" s="348">
        <v>2.3188000000000002E-3</v>
      </c>
      <c r="C1072" s="348">
        <v>2.4125000000000001E-3</v>
      </c>
      <c r="D1072" s="348">
        <v>2.5000000000000001E-3</v>
      </c>
      <c r="E1072" s="348">
        <v>3.8812999999999999E-3</v>
      </c>
      <c r="F1072" s="349">
        <v>8.5375E-3</v>
      </c>
    </row>
    <row r="1073" spans="1:6" ht="12" thickBot="1">
      <c r="A1073" s="347">
        <v>40220</v>
      </c>
      <c r="B1073" s="348">
        <v>2.3062999999999998E-3</v>
      </c>
      <c r="C1073" s="348">
        <v>2.3999999999999998E-3</v>
      </c>
      <c r="D1073" s="348">
        <v>2.5000000000000001E-3</v>
      </c>
      <c r="E1073" s="348">
        <v>3.8999999999999998E-3</v>
      </c>
      <c r="F1073" s="349">
        <v>8.6187999999999994E-3</v>
      </c>
    </row>
    <row r="1074" spans="1:6" ht="12" thickBot="1">
      <c r="A1074" s="347">
        <v>40219</v>
      </c>
      <c r="B1074" s="348">
        <v>2.2843999999999998E-3</v>
      </c>
      <c r="C1074" s="348">
        <v>2.3906000000000001E-3</v>
      </c>
      <c r="D1074" s="348">
        <v>2.5000000000000001E-3</v>
      </c>
      <c r="E1074" s="348">
        <v>3.8874999999999999E-3</v>
      </c>
      <c r="F1074" s="349">
        <v>8.5000000000000006E-3</v>
      </c>
    </row>
    <row r="1075" spans="1:6" ht="12" thickBot="1">
      <c r="A1075" s="347">
        <v>40218</v>
      </c>
      <c r="B1075" s="348">
        <v>2.2843999999999998E-3</v>
      </c>
      <c r="C1075" s="348">
        <v>2.3906000000000001E-3</v>
      </c>
      <c r="D1075" s="348">
        <v>2.5000000000000001E-3</v>
      </c>
      <c r="E1075" s="348">
        <v>3.8874999999999999E-3</v>
      </c>
      <c r="F1075" s="349">
        <v>8.4624999999999995E-3</v>
      </c>
    </row>
    <row r="1076" spans="1:6" ht="12" thickBot="1">
      <c r="A1076" s="347">
        <v>40217</v>
      </c>
      <c r="B1076" s="348">
        <v>2.2843999999999998E-3</v>
      </c>
      <c r="C1076" s="348">
        <v>2.3906000000000001E-3</v>
      </c>
      <c r="D1076" s="348">
        <v>2.5000000000000001E-3</v>
      </c>
      <c r="E1076" s="348">
        <v>3.8625E-3</v>
      </c>
      <c r="F1076" s="349">
        <v>8.4250000000000002E-3</v>
      </c>
    </row>
    <row r="1077" spans="1:6" ht="12" thickBot="1">
      <c r="A1077" s="347">
        <v>40214</v>
      </c>
      <c r="B1077" s="348">
        <v>2.2843999999999998E-3</v>
      </c>
      <c r="C1077" s="348">
        <v>2.3906000000000001E-3</v>
      </c>
      <c r="D1077" s="348">
        <v>2.4968999999999998E-3</v>
      </c>
      <c r="E1077" s="348">
        <v>3.8500000000000001E-3</v>
      </c>
      <c r="F1077" s="349">
        <v>8.3750000000000005E-3</v>
      </c>
    </row>
    <row r="1078" spans="1:6" ht="12" thickBot="1">
      <c r="A1078" s="347">
        <v>40213</v>
      </c>
      <c r="B1078" s="348">
        <v>2.2843999999999998E-3</v>
      </c>
      <c r="C1078" s="348">
        <v>2.3906000000000001E-3</v>
      </c>
      <c r="D1078" s="348">
        <v>2.4875000000000001E-3</v>
      </c>
      <c r="E1078" s="348">
        <v>3.8500000000000001E-3</v>
      </c>
      <c r="F1078" s="349">
        <v>8.4594000000000006E-3</v>
      </c>
    </row>
    <row r="1079" spans="1:6" ht="12" thickBot="1">
      <c r="A1079" s="347">
        <v>40212</v>
      </c>
      <c r="B1079" s="348">
        <v>2.2905999999999998E-3</v>
      </c>
      <c r="C1079" s="348">
        <v>2.3906000000000001E-3</v>
      </c>
      <c r="D1079" s="348">
        <v>2.4905999999999999E-3</v>
      </c>
      <c r="E1079" s="348">
        <v>3.8375000000000002E-3</v>
      </c>
      <c r="F1079" s="349">
        <v>8.4624999999999995E-3</v>
      </c>
    </row>
    <row r="1080" spans="1:6" ht="12" thickBot="1">
      <c r="A1080" s="347">
        <v>40211</v>
      </c>
      <c r="B1080" s="348">
        <v>2.3094000000000001E-3</v>
      </c>
      <c r="C1080" s="348">
        <v>2.4093999999999999E-3</v>
      </c>
      <c r="D1080" s="348">
        <v>2.5030999999999999E-3</v>
      </c>
      <c r="E1080" s="348">
        <v>3.8375000000000002E-3</v>
      </c>
      <c r="F1080" s="349">
        <v>8.4250000000000002E-3</v>
      </c>
    </row>
    <row r="1081" spans="1:6" ht="12" thickBot="1">
      <c r="A1081" s="347">
        <v>40210</v>
      </c>
      <c r="B1081" s="348">
        <v>2.2905999999999998E-3</v>
      </c>
      <c r="C1081" s="348">
        <v>2.3906000000000001E-3</v>
      </c>
      <c r="D1081" s="348">
        <v>2.4905999999999999E-3</v>
      </c>
      <c r="E1081" s="348">
        <v>3.8375000000000002E-3</v>
      </c>
      <c r="F1081" s="349">
        <v>8.4250000000000002E-3</v>
      </c>
    </row>
    <row r="1082" spans="1:6" ht="12" thickBot="1">
      <c r="A1082" s="347">
        <v>40207</v>
      </c>
      <c r="B1082" s="348">
        <v>2.2905999999999998E-3</v>
      </c>
      <c r="C1082" s="348">
        <v>2.3906000000000001E-3</v>
      </c>
      <c r="D1082" s="348">
        <v>2.4905999999999999E-3</v>
      </c>
      <c r="E1082" s="348">
        <v>3.8438000000000001E-3</v>
      </c>
      <c r="F1082" s="349">
        <v>8.4624999999999995E-3</v>
      </c>
    </row>
    <row r="1083" spans="1:6" ht="12" thickBot="1">
      <c r="A1083" s="347">
        <v>40206</v>
      </c>
      <c r="B1083" s="348">
        <v>2.2875E-3</v>
      </c>
      <c r="C1083" s="348">
        <v>2.3874999999999999E-3</v>
      </c>
      <c r="D1083" s="348">
        <v>2.4875000000000001E-3</v>
      </c>
      <c r="E1083" s="348">
        <v>3.8563E-3</v>
      </c>
      <c r="F1083" s="349">
        <v>8.5375E-3</v>
      </c>
    </row>
    <row r="1084" spans="1:6" ht="12" thickBot="1">
      <c r="A1084" s="347">
        <v>40205</v>
      </c>
      <c r="B1084" s="348">
        <v>2.3062999999999998E-3</v>
      </c>
      <c r="C1084" s="348">
        <v>2.3938000000000002E-3</v>
      </c>
      <c r="D1084" s="348">
        <v>2.4875000000000001E-3</v>
      </c>
      <c r="E1084" s="348">
        <v>3.8344E-3</v>
      </c>
      <c r="F1084" s="349">
        <v>8.4188000000000006E-3</v>
      </c>
    </row>
    <row r="1085" spans="1:6" ht="12" thickBot="1">
      <c r="A1085" s="347">
        <v>40204</v>
      </c>
      <c r="B1085" s="348">
        <v>2.3062999999999998E-3</v>
      </c>
      <c r="C1085" s="348">
        <v>2.3938000000000002E-3</v>
      </c>
      <c r="D1085" s="348">
        <v>2.4875000000000001E-3</v>
      </c>
      <c r="E1085" s="348">
        <v>3.8249999999999998E-3</v>
      </c>
      <c r="F1085" s="349">
        <v>8.4063000000000002E-3</v>
      </c>
    </row>
    <row r="1086" spans="1:6" ht="12" thickBot="1">
      <c r="A1086" s="347">
        <v>40203</v>
      </c>
      <c r="B1086" s="348">
        <v>2.3062999999999998E-3</v>
      </c>
      <c r="C1086" s="348">
        <v>2.3938000000000002E-3</v>
      </c>
      <c r="D1086" s="348">
        <v>2.4875000000000001E-3</v>
      </c>
      <c r="E1086" s="348">
        <v>3.8563E-3</v>
      </c>
      <c r="F1086" s="349">
        <v>8.6063000000000008E-3</v>
      </c>
    </row>
    <row r="1087" spans="1:6" ht="12" thickBot="1">
      <c r="A1087" s="347">
        <v>40200</v>
      </c>
      <c r="B1087" s="348">
        <v>2.3062999999999998E-3</v>
      </c>
      <c r="C1087" s="348">
        <v>2.3938000000000002E-3</v>
      </c>
      <c r="D1087" s="348">
        <v>2.4905999999999999E-3</v>
      </c>
      <c r="E1087" s="348">
        <v>3.8468999999999999E-3</v>
      </c>
      <c r="F1087" s="349">
        <v>8.5749999999999993E-3</v>
      </c>
    </row>
    <row r="1088" spans="1:6" ht="12" thickBot="1">
      <c r="A1088" s="347">
        <v>40199</v>
      </c>
      <c r="B1088" s="348">
        <v>2.3062999999999998E-3</v>
      </c>
      <c r="C1088" s="348">
        <v>2.3938000000000002E-3</v>
      </c>
      <c r="D1088" s="348">
        <v>2.4888000000000002E-3</v>
      </c>
      <c r="E1088" s="348">
        <v>3.9031000000000001E-3</v>
      </c>
      <c r="F1088" s="349">
        <v>8.7749999999999998E-3</v>
      </c>
    </row>
    <row r="1089" spans="1:6" ht="12" thickBot="1">
      <c r="A1089" s="347">
        <v>40198</v>
      </c>
      <c r="B1089" s="348">
        <v>2.3062999999999998E-3</v>
      </c>
      <c r="C1089" s="348">
        <v>2.3938000000000002E-3</v>
      </c>
      <c r="D1089" s="348">
        <v>2.4888000000000002E-3</v>
      </c>
      <c r="E1089" s="348">
        <v>3.8999999999999998E-3</v>
      </c>
      <c r="F1089" s="349">
        <v>8.7562999999999998E-3</v>
      </c>
    </row>
    <row r="1090" spans="1:6" ht="12" thickBot="1">
      <c r="A1090" s="347">
        <v>40197</v>
      </c>
      <c r="B1090" s="348">
        <v>2.3062999999999998E-3</v>
      </c>
      <c r="C1090" s="348">
        <v>2.3938000000000002E-3</v>
      </c>
      <c r="D1090" s="348">
        <v>2.49E-3</v>
      </c>
      <c r="E1090" s="348">
        <v>3.9062999999999997E-3</v>
      </c>
      <c r="F1090" s="349">
        <v>8.8000000000000005E-3</v>
      </c>
    </row>
    <row r="1091" spans="1:6" ht="12" thickBot="1">
      <c r="A1091" s="347">
        <v>40196</v>
      </c>
      <c r="B1091" s="348">
        <v>2.3062999999999998E-3</v>
      </c>
      <c r="C1091" s="348">
        <v>2.3938000000000002E-3</v>
      </c>
      <c r="D1091" s="348">
        <v>2.4875000000000001E-3</v>
      </c>
      <c r="E1091" s="348">
        <v>3.8999999999999998E-3</v>
      </c>
      <c r="F1091" s="349">
        <v>8.8062999999999995E-3</v>
      </c>
    </row>
    <row r="1092" spans="1:6" ht="12" thickBot="1">
      <c r="A1092" s="347">
        <v>40193</v>
      </c>
      <c r="B1092" s="348">
        <v>2.3313000000000001E-3</v>
      </c>
      <c r="C1092" s="348">
        <v>2.4250000000000001E-3</v>
      </c>
      <c r="D1092" s="348">
        <v>2.5125E-3</v>
      </c>
      <c r="E1092" s="348">
        <v>3.9249999999999997E-3</v>
      </c>
      <c r="F1092" s="349">
        <v>8.9625E-3</v>
      </c>
    </row>
    <row r="1093" spans="1:6" ht="12" thickBot="1">
      <c r="A1093" s="347">
        <v>40192</v>
      </c>
      <c r="B1093" s="348">
        <v>2.3313000000000001E-3</v>
      </c>
      <c r="C1093" s="348">
        <v>2.4250000000000001E-3</v>
      </c>
      <c r="D1093" s="348">
        <v>2.5125E-3</v>
      </c>
      <c r="E1093" s="348">
        <v>3.9874999999999997E-3</v>
      </c>
      <c r="F1093" s="349">
        <v>9.0500000000000008E-3</v>
      </c>
    </row>
    <row r="1094" spans="1:6" ht="12" thickBot="1">
      <c r="A1094" s="347">
        <v>40191</v>
      </c>
      <c r="B1094" s="348">
        <v>2.3313000000000001E-3</v>
      </c>
      <c r="C1094" s="348">
        <v>2.4250000000000001E-3</v>
      </c>
      <c r="D1094" s="348">
        <v>2.5125E-3</v>
      </c>
      <c r="E1094" s="348">
        <v>4.0000000000000001E-3</v>
      </c>
      <c r="F1094" s="349">
        <v>9.0437999999999994E-3</v>
      </c>
    </row>
    <row r="1095" spans="1:6" ht="12" thickBot="1">
      <c r="A1095" s="347">
        <v>40190</v>
      </c>
      <c r="B1095" s="348">
        <v>2.3313000000000001E-3</v>
      </c>
      <c r="C1095" s="348">
        <v>2.4250000000000001E-3</v>
      </c>
      <c r="D1095" s="348">
        <v>2.5125E-3</v>
      </c>
      <c r="E1095" s="348">
        <v>4.0000000000000001E-3</v>
      </c>
      <c r="F1095" s="349">
        <v>9.0562999999999998E-3</v>
      </c>
    </row>
    <row r="1096" spans="1:6" ht="12" thickBot="1">
      <c r="A1096" s="347">
        <v>40186</v>
      </c>
      <c r="B1096" s="348">
        <v>2.3313000000000001E-3</v>
      </c>
      <c r="C1096" s="348">
        <v>2.4250000000000001E-3</v>
      </c>
      <c r="D1096" s="348">
        <v>2.5125E-3</v>
      </c>
      <c r="E1096" s="348">
        <v>4.1999999999999997E-3</v>
      </c>
      <c r="F1096" s="349">
        <v>9.5688000000000006E-3</v>
      </c>
    </row>
    <row r="1097" spans="1:6" ht="12" thickBot="1">
      <c r="A1097" s="347">
        <v>40185</v>
      </c>
      <c r="B1097" s="348">
        <v>2.3124999999999999E-3</v>
      </c>
      <c r="C1097" s="348">
        <v>2.4125000000000001E-3</v>
      </c>
      <c r="D1097" s="348">
        <v>2.4938E-3</v>
      </c>
      <c r="E1097" s="348">
        <v>4.1749999999999999E-3</v>
      </c>
      <c r="F1097" s="349">
        <v>9.4812999999999998E-3</v>
      </c>
    </row>
    <row r="1098" spans="1:6" ht="12" thickBot="1">
      <c r="A1098" s="347">
        <v>40184</v>
      </c>
      <c r="B1098" s="348">
        <v>2.3219E-3</v>
      </c>
      <c r="C1098" s="348">
        <v>2.4218999999999998E-3</v>
      </c>
      <c r="D1098" s="348">
        <v>2.5000000000000001E-3</v>
      </c>
      <c r="E1098" s="348">
        <v>4.2563000000000002E-3</v>
      </c>
      <c r="F1098" s="349">
        <v>9.6030999999999998E-3</v>
      </c>
    </row>
    <row r="1099" spans="1:6" ht="12" thickBot="1">
      <c r="A1099" s="347">
        <v>40183</v>
      </c>
      <c r="B1099" s="348">
        <v>2.3343999999999999E-3</v>
      </c>
      <c r="C1099" s="348">
        <v>2.4405999999999998E-3</v>
      </c>
      <c r="D1099" s="348">
        <v>2.5249999999999999E-3</v>
      </c>
      <c r="E1099" s="348">
        <v>4.2750000000000002E-3</v>
      </c>
      <c r="F1099" s="349">
        <v>9.6968999999999996E-3</v>
      </c>
    </row>
    <row r="1100" spans="1:6" ht="12" thickBot="1">
      <c r="A1100" s="350">
        <v>40182</v>
      </c>
      <c r="B1100" s="351">
        <v>2.3343999999999999E-3</v>
      </c>
      <c r="C1100" s="351">
        <v>2.4344000000000002E-3</v>
      </c>
      <c r="D1100" s="351">
        <v>2.5438000000000001E-3</v>
      </c>
      <c r="E1100" s="351">
        <v>4.3438000000000001E-3</v>
      </c>
      <c r="F1100" s="352">
        <v>9.9375000000000002E-3</v>
      </c>
    </row>
    <row r="1101" spans="1:6">
      <c r="A1101" s="341">
        <v>2009</v>
      </c>
      <c r="B1101" s="342"/>
      <c r="C1101" s="342"/>
      <c r="D1101" s="342"/>
      <c r="E1101" s="342"/>
      <c r="F1101" s="342"/>
    </row>
    <row r="1102" spans="1:6" ht="12" thickBot="1">
      <c r="A1102" s="343"/>
      <c r="B1102" s="688"/>
      <c r="C1102" s="689"/>
      <c r="D1102" s="689"/>
      <c r="E1102" s="689"/>
      <c r="F1102" s="690"/>
    </row>
    <row r="1103" spans="1:6" ht="23.25" thickBot="1">
      <c r="A1103" s="344" t="s">
        <v>319</v>
      </c>
      <c r="B1103" s="345" t="s">
        <v>323</v>
      </c>
      <c r="C1103" s="345" t="s">
        <v>324</v>
      </c>
      <c r="D1103" s="345" t="s">
        <v>325</v>
      </c>
      <c r="E1103" s="345" t="s">
        <v>326</v>
      </c>
      <c r="F1103" s="346" t="s">
        <v>327</v>
      </c>
    </row>
    <row r="1104" spans="1:6" ht="12" thickBot="1">
      <c r="A1104" s="347">
        <v>40177</v>
      </c>
      <c r="B1104" s="348">
        <v>2.3094000000000001E-3</v>
      </c>
      <c r="C1104" s="348">
        <v>2.3969E-3</v>
      </c>
      <c r="D1104" s="348">
        <v>2.5062999999999999E-3</v>
      </c>
      <c r="E1104" s="348">
        <v>4.3E-3</v>
      </c>
      <c r="F1104" s="349">
        <v>9.8563000000000001E-3</v>
      </c>
    </row>
    <row r="1105" spans="1:6" ht="12" thickBot="1">
      <c r="A1105" s="347">
        <v>40176</v>
      </c>
      <c r="B1105" s="348">
        <v>2.3094000000000001E-3</v>
      </c>
      <c r="C1105" s="348">
        <v>2.3969E-3</v>
      </c>
      <c r="D1105" s="348">
        <v>2.5062999999999999E-3</v>
      </c>
      <c r="E1105" s="348">
        <v>4.3438000000000001E-3</v>
      </c>
      <c r="F1105" s="349">
        <v>9.9749999999999995E-3</v>
      </c>
    </row>
    <row r="1106" spans="1:6" ht="12" thickBot="1">
      <c r="A1106" s="347">
        <v>40175</v>
      </c>
      <c r="B1106" s="348">
        <v>2.3124999999999999E-3</v>
      </c>
      <c r="C1106" s="348">
        <v>2.4093999999999999E-3</v>
      </c>
      <c r="D1106" s="348">
        <v>2.5062999999999999E-3</v>
      </c>
      <c r="E1106" s="348">
        <v>4.3125000000000004E-3</v>
      </c>
      <c r="F1106" s="349">
        <v>9.7874999999999993E-3</v>
      </c>
    </row>
    <row r="1107" spans="1:6" ht="12" thickBot="1">
      <c r="A1107" s="347">
        <v>40171</v>
      </c>
      <c r="B1107" s="348">
        <v>2.3124999999999999E-3</v>
      </c>
      <c r="C1107" s="348">
        <v>2.4093999999999999E-3</v>
      </c>
      <c r="D1107" s="348">
        <v>2.5062999999999999E-3</v>
      </c>
      <c r="E1107" s="348">
        <v>4.3125000000000004E-3</v>
      </c>
      <c r="F1107" s="349">
        <v>9.7874999999999993E-3</v>
      </c>
    </row>
    <row r="1108" spans="1:6" ht="12" thickBot="1">
      <c r="A1108" s="347">
        <v>40170</v>
      </c>
      <c r="B1108" s="348">
        <v>2.3124999999999999E-3</v>
      </c>
      <c r="C1108" s="348">
        <v>2.4093999999999999E-3</v>
      </c>
      <c r="D1108" s="348">
        <v>2.5062999999999999E-3</v>
      </c>
      <c r="E1108" s="348">
        <v>4.3062999999999999E-3</v>
      </c>
      <c r="F1108" s="349">
        <v>9.7438000000000004E-3</v>
      </c>
    </row>
    <row r="1109" spans="1:6" ht="12" thickBot="1">
      <c r="A1109" s="347">
        <v>40169</v>
      </c>
      <c r="B1109" s="348">
        <v>2.3188000000000002E-3</v>
      </c>
      <c r="C1109" s="348">
        <v>2.4093999999999999E-3</v>
      </c>
      <c r="D1109" s="348">
        <v>2.4875000000000001E-3</v>
      </c>
      <c r="E1109" s="348">
        <v>4.3125000000000004E-3</v>
      </c>
      <c r="F1109" s="349">
        <v>9.7812999999999997E-3</v>
      </c>
    </row>
    <row r="1110" spans="1:6" ht="12" thickBot="1">
      <c r="A1110" s="347">
        <v>40168</v>
      </c>
      <c r="B1110" s="348">
        <v>2.3188000000000002E-3</v>
      </c>
      <c r="C1110" s="348">
        <v>2.4093999999999999E-3</v>
      </c>
      <c r="D1110" s="348">
        <v>2.4875000000000001E-3</v>
      </c>
      <c r="E1110" s="348">
        <v>4.3062999999999999E-3</v>
      </c>
      <c r="F1110" s="349">
        <v>9.6437999999999992E-3</v>
      </c>
    </row>
    <row r="1111" spans="1:6" ht="12" thickBot="1">
      <c r="A1111" s="347">
        <v>40165</v>
      </c>
      <c r="B1111" s="348">
        <v>2.3188000000000002E-3</v>
      </c>
      <c r="C1111" s="348">
        <v>2.4069E-3</v>
      </c>
      <c r="D1111" s="348">
        <v>2.5125E-3</v>
      </c>
      <c r="E1111" s="348">
        <v>4.3537999999999997E-3</v>
      </c>
      <c r="F1111" s="349">
        <v>9.6837999999999994E-3</v>
      </c>
    </row>
    <row r="1112" spans="1:6" ht="12" thickBot="1">
      <c r="A1112" s="347">
        <v>40164</v>
      </c>
      <c r="B1112" s="348">
        <v>2.3313000000000001E-3</v>
      </c>
      <c r="C1112" s="348">
        <v>2.4069E-3</v>
      </c>
      <c r="D1112" s="348">
        <v>2.5338000000000001E-3</v>
      </c>
      <c r="E1112" s="348">
        <v>4.4387999999999997E-3</v>
      </c>
      <c r="F1112" s="349">
        <v>9.9162999999999994E-3</v>
      </c>
    </row>
    <row r="1113" spans="1:6" ht="12" thickBot="1">
      <c r="A1113" s="347">
        <v>40163</v>
      </c>
      <c r="B1113" s="348">
        <v>2.3249999999999998E-3</v>
      </c>
      <c r="C1113" s="348">
        <v>2.4093999999999999E-3</v>
      </c>
      <c r="D1113" s="348">
        <v>2.5374999999999998E-3</v>
      </c>
      <c r="E1113" s="348">
        <v>4.5125E-3</v>
      </c>
      <c r="F1113" s="349">
        <v>1.00375E-2</v>
      </c>
    </row>
    <row r="1114" spans="1:6" ht="12" thickBot="1">
      <c r="A1114" s="347">
        <v>40162</v>
      </c>
      <c r="B1114" s="348">
        <v>2.3249999999999998E-3</v>
      </c>
      <c r="C1114" s="348">
        <v>2.4093999999999999E-3</v>
      </c>
      <c r="D1114" s="348">
        <v>2.5344E-3</v>
      </c>
      <c r="E1114" s="348">
        <v>4.5250000000000004E-3</v>
      </c>
      <c r="F1114" s="349">
        <v>1.005E-2</v>
      </c>
    </row>
    <row r="1115" spans="1:6" ht="12" thickBot="1">
      <c r="A1115" s="347">
        <v>40161</v>
      </c>
      <c r="B1115" s="348">
        <v>2.3249999999999998E-3</v>
      </c>
      <c r="C1115" s="348">
        <v>2.4125000000000001E-3</v>
      </c>
      <c r="D1115" s="348">
        <v>2.5374999999999998E-3</v>
      </c>
      <c r="E1115" s="348">
        <v>4.5313000000000003E-3</v>
      </c>
      <c r="F1115" s="349">
        <v>1.0006299999999999E-2</v>
      </c>
    </row>
    <row r="1116" spans="1:6" ht="12" thickBot="1">
      <c r="A1116" s="347">
        <v>40158</v>
      </c>
      <c r="B1116" s="348">
        <v>2.3313000000000001E-3</v>
      </c>
      <c r="C1116" s="348">
        <v>2.4313E-3</v>
      </c>
      <c r="D1116" s="348">
        <v>2.5363E-3</v>
      </c>
      <c r="E1116" s="348">
        <v>4.5574999999999999E-3</v>
      </c>
      <c r="F1116" s="349">
        <v>1.004E-2</v>
      </c>
    </row>
    <row r="1117" spans="1:6" ht="12" thickBot="1">
      <c r="A1117" s="347">
        <v>40157</v>
      </c>
      <c r="B1117" s="348">
        <v>2.3406E-3</v>
      </c>
      <c r="C1117" s="348">
        <v>2.4375E-3</v>
      </c>
      <c r="D1117" s="348">
        <v>2.5425000000000001E-3</v>
      </c>
      <c r="E1117" s="348">
        <v>4.5756E-3</v>
      </c>
      <c r="F1117" s="349">
        <v>1.0064999999999999E-2</v>
      </c>
    </row>
    <row r="1118" spans="1:6" ht="12" thickBot="1">
      <c r="A1118" s="347">
        <v>40156</v>
      </c>
      <c r="B1118" s="348">
        <v>2.3406E-3</v>
      </c>
      <c r="C1118" s="348">
        <v>2.4375E-3</v>
      </c>
      <c r="D1118" s="348">
        <v>2.5519000000000002E-3</v>
      </c>
      <c r="E1118" s="348">
        <v>4.6188000000000002E-3</v>
      </c>
      <c r="F1118" s="349">
        <v>1.00663E-2</v>
      </c>
    </row>
    <row r="1119" spans="1:6" ht="12" thickBot="1">
      <c r="A1119" s="347">
        <v>40154</v>
      </c>
      <c r="B1119" s="348">
        <v>2.3468999999999999E-3</v>
      </c>
      <c r="C1119" s="348">
        <v>2.4437999999999999E-3</v>
      </c>
      <c r="D1119" s="348">
        <v>2.5655999999999999E-3</v>
      </c>
      <c r="E1119" s="348">
        <v>4.8437999999999997E-3</v>
      </c>
      <c r="F1119" s="349">
        <v>1.0543800000000001E-2</v>
      </c>
    </row>
    <row r="1120" spans="1:6" ht="12" thickBot="1">
      <c r="A1120" s="347">
        <v>40151</v>
      </c>
      <c r="B1120" s="348">
        <v>2.3468999999999999E-3</v>
      </c>
      <c r="C1120" s="348">
        <v>2.4437999999999999E-3</v>
      </c>
      <c r="D1120" s="348">
        <v>2.5655999999999999E-3</v>
      </c>
      <c r="E1120" s="348">
        <v>4.8374999999999998E-3</v>
      </c>
      <c r="F1120" s="349">
        <v>1.0256299999999999E-2</v>
      </c>
    </row>
    <row r="1121" spans="1:6" ht="12" thickBot="1">
      <c r="A1121" s="347">
        <v>40150</v>
      </c>
      <c r="B1121" s="348">
        <v>2.3468999999999999E-3</v>
      </c>
      <c r="C1121" s="348">
        <v>2.4375E-3</v>
      </c>
      <c r="D1121" s="348">
        <v>2.5531E-3</v>
      </c>
      <c r="E1121" s="348">
        <v>4.8500000000000001E-3</v>
      </c>
      <c r="F1121" s="349">
        <v>1.0293800000000001E-2</v>
      </c>
    </row>
    <row r="1122" spans="1:6" ht="12" thickBot="1">
      <c r="A1122" s="347">
        <v>40149</v>
      </c>
      <c r="B1122" s="348">
        <v>2.3438000000000001E-3</v>
      </c>
      <c r="C1122" s="348">
        <v>2.4344000000000002E-3</v>
      </c>
      <c r="D1122" s="348">
        <v>2.5500000000000002E-3</v>
      </c>
      <c r="E1122" s="348">
        <v>4.7812999999999996E-3</v>
      </c>
      <c r="F1122" s="349">
        <v>1.00313E-2</v>
      </c>
    </row>
    <row r="1123" spans="1:6" ht="12" thickBot="1">
      <c r="A1123" s="347">
        <v>40148</v>
      </c>
      <c r="B1123" s="348">
        <v>2.3468999999999999E-3</v>
      </c>
      <c r="C1123" s="348">
        <v>2.4375E-3</v>
      </c>
      <c r="D1123" s="348">
        <v>2.5531E-3</v>
      </c>
      <c r="E1123" s="348">
        <v>4.8187999999999998E-3</v>
      </c>
      <c r="F1123" s="349">
        <v>1.00813E-2</v>
      </c>
    </row>
    <row r="1124" spans="1:6" ht="12" thickBot="1">
      <c r="A1124" s="347">
        <v>40147</v>
      </c>
      <c r="B1124" s="348">
        <v>2.3530999999999999E-3</v>
      </c>
      <c r="C1124" s="348">
        <v>2.4437999999999999E-3</v>
      </c>
      <c r="D1124" s="348">
        <v>2.5655999999999999E-3</v>
      </c>
      <c r="E1124" s="348">
        <v>4.8812999999999999E-3</v>
      </c>
      <c r="F1124" s="349">
        <v>1.0175E-2</v>
      </c>
    </row>
    <row r="1125" spans="1:6" ht="12" thickBot="1">
      <c r="A1125" s="347">
        <v>40144</v>
      </c>
      <c r="B1125" s="348">
        <v>2.3530999999999999E-3</v>
      </c>
      <c r="C1125" s="348">
        <v>2.4313E-3</v>
      </c>
      <c r="D1125" s="348">
        <v>2.5563000000000001E-3</v>
      </c>
      <c r="E1125" s="348">
        <v>4.8437999999999997E-3</v>
      </c>
      <c r="F1125" s="349">
        <v>1.01125E-2</v>
      </c>
    </row>
    <row r="1126" spans="1:6" ht="12" thickBot="1">
      <c r="A1126" s="347">
        <v>40143</v>
      </c>
      <c r="B1126" s="348">
        <v>2.3406E-3</v>
      </c>
      <c r="C1126" s="348">
        <v>2.4375E-3</v>
      </c>
      <c r="D1126" s="348">
        <v>2.5438000000000001E-3</v>
      </c>
      <c r="E1126" s="348">
        <v>4.7625000000000002E-3</v>
      </c>
      <c r="F1126" s="349">
        <v>1.00313E-2</v>
      </c>
    </row>
    <row r="1127" spans="1:6" ht="12" thickBot="1">
      <c r="A1127" s="347">
        <v>40142</v>
      </c>
      <c r="B1127" s="348">
        <v>2.3406E-3</v>
      </c>
      <c r="C1127" s="348">
        <v>2.4375E-3</v>
      </c>
      <c r="D1127" s="348">
        <v>2.5563000000000001E-3</v>
      </c>
      <c r="E1127" s="348">
        <v>4.7812999999999996E-3</v>
      </c>
      <c r="F1127" s="349">
        <v>1.005E-2</v>
      </c>
    </row>
    <row r="1128" spans="1:6" ht="12" thickBot="1">
      <c r="A1128" s="347">
        <v>40141</v>
      </c>
      <c r="B1128" s="348">
        <v>2.3594000000000002E-3</v>
      </c>
      <c r="C1128" s="348">
        <v>2.4562999999999998E-3</v>
      </c>
      <c r="D1128" s="348">
        <v>2.6063000000000002E-3</v>
      </c>
      <c r="E1128" s="348">
        <v>4.8250000000000003E-3</v>
      </c>
      <c r="F1128" s="349">
        <v>1.0137500000000001E-2</v>
      </c>
    </row>
    <row r="1129" spans="1:6" ht="12" thickBot="1">
      <c r="A1129" s="347">
        <v>40140</v>
      </c>
      <c r="B1129" s="348">
        <v>2.3594000000000002E-3</v>
      </c>
      <c r="C1129" s="348">
        <v>2.4688000000000002E-3</v>
      </c>
      <c r="D1129" s="348">
        <v>2.6188000000000001E-3</v>
      </c>
      <c r="E1129" s="348">
        <v>4.8563E-3</v>
      </c>
      <c r="F1129" s="349">
        <v>1.0200000000000001E-2</v>
      </c>
    </row>
    <row r="1130" spans="1:6" ht="12" thickBot="1">
      <c r="A1130" s="347">
        <v>40137</v>
      </c>
      <c r="B1130" s="348">
        <v>2.3594000000000002E-3</v>
      </c>
      <c r="C1130" s="348">
        <v>2.4688000000000002E-3</v>
      </c>
      <c r="D1130" s="348">
        <v>2.6218999999999999E-3</v>
      </c>
      <c r="E1130" s="348">
        <v>4.8938000000000002E-3</v>
      </c>
      <c r="F1130" s="349">
        <v>1.0212499999999999E-2</v>
      </c>
    </row>
    <row r="1131" spans="1:6" ht="12" thickBot="1">
      <c r="A1131" s="347">
        <v>40136</v>
      </c>
      <c r="B1131" s="348">
        <v>2.3655999999999998E-3</v>
      </c>
      <c r="C1131" s="348">
        <v>2.4843999999999999E-3</v>
      </c>
      <c r="D1131" s="348">
        <v>2.6656000000000002E-3</v>
      </c>
      <c r="E1131" s="348">
        <v>4.9249999999999997E-3</v>
      </c>
      <c r="F1131" s="349">
        <v>1.0337499999999999E-2</v>
      </c>
    </row>
    <row r="1132" spans="1:6" ht="12" thickBot="1">
      <c r="A1132" s="347">
        <v>40135</v>
      </c>
      <c r="B1132" s="348">
        <v>2.3655999999999998E-3</v>
      </c>
      <c r="C1132" s="348">
        <v>2.4875000000000001E-3</v>
      </c>
      <c r="D1132" s="348">
        <v>2.6906E-3</v>
      </c>
      <c r="E1132" s="348">
        <v>5.0188000000000003E-3</v>
      </c>
      <c r="F1132" s="349">
        <v>1.055E-2</v>
      </c>
    </row>
    <row r="1133" spans="1:6" ht="12" thickBot="1">
      <c r="A1133" s="347">
        <v>40134</v>
      </c>
      <c r="B1133" s="348">
        <v>2.3687999999999999E-3</v>
      </c>
      <c r="C1133" s="348">
        <v>2.5000000000000001E-3</v>
      </c>
      <c r="D1133" s="348">
        <v>2.7030999999999999E-3</v>
      </c>
      <c r="E1133" s="348">
        <v>5.0625000000000002E-3</v>
      </c>
      <c r="F1133" s="349">
        <v>1.05938E-2</v>
      </c>
    </row>
    <row r="1134" spans="1:6" ht="12" thickBot="1">
      <c r="A1134" s="347">
        <v>40130</v>
      </c>
      <c r="B1134" s="348">
        <v>2.3749999999999999E-3</v>
      </c>
      <c r="C1134" s="348">
        <v>2.5030999999999999E-3</v>
      </c>
      <c r="D1134" s="348">
        <v>2.725E-3</v>
      </c>
      <c r="E1134" s="348">
        <v>5.2062999999999996E-3</v>
      </c>
      <c r="F1134" s="349">
        <v>1.0906300000000001E-2</v>
      </c>
    </row>
    <row r="1135" spans="1:6" ht="12" thickBot="1">
      <c r="A1135" s="347">
        <v>40129</v>
      </c>
      <c r="B1135" s="348">
        <v>2.3874999999999999E-3</v>
      </c>
      <c r="C1135" s="348">
        <v>2.5030999999999999E-3</v>
      </c>
      <c r="D1135" s="348">
        <v>2.725E-3</v>
      </c>
      <c r="E1135" s="348">
        <v>5.2437999999999999E-3</v>
      </c>
      <c r="F1135" s="349">
        <v>1.0981299999999999E-2</v>
      </c>
    </row>
    <row r="1136" spans="1:6" ht="12" thickBot="1">
      <c r="A1136" s="347">
        <v>40128</v>
      </c>
      <c r="B1136" s="348">
        <v>2.3874999999999999E-3</v>
      </c>
      <c r="C1136" s="348">
        <v>2.5030999999999999E-3</v>
      </c>
      <c r="D1136" s="348">
        <v>2.725E-3</v>
      </c>
      <c r="E1136" s="348">
        <v>5.3125000000000004E-3</v>
      </c>
      <c r="F1136" s="349">
        <v>1.10688E-2</v>
      </c>
    </row>
    <row r="1137" spans="1:6" ht="12" thickBot="1">
      <c r="A1137" s="347">
        <v>40127</v>
      </c>
      <c r="B1137" s="348">
        <v>2.3874999999999999E-3</v>
      </c>
      <c r="C1137" s="348">
        <v>2.5030999999999999E-3</v>
      </c>
      <c r="D1137" s="348">
        <v>2.725E-3</v>
      </c>
      <c r="E1137" s="348">
        <v>5.3625000000000001E-3</v>
      </c>
      <c r="F1137" s="349">
        <v>1.12E-2</v>
      </c>
    </row>
    <row r="1138" spans="1:6" ht="12" thickBot="1">
      <c r="A1138" s="347">
        <v>40126</v>
      </c>
      <c r="B1138" s="348">
        <v>2.3906000000000001E-3</v>
      </c>
      <c r="C1138" s="348">
        <v>2.5062999999999999E-3</v>
      </c>
      <c r="D1138" s="348">
        <v>2.725E-3</v>
      </c>
      <c r="E1138" s="348">
        <v>5.4063000000000002E-3</v>
      </c>
      <c r="F1138" s="349">
        <v>1.13125E-2</v>
      </c>
    </row>
    <row r="1139" spans="1:6" ht="12" thickBot="1">
      <c r="A1139" s="347">
        <v>40123</v>
      </c>
      <c r="B1139" s="348">
        <v>2.4156E-3</v>
      </c>
      <c r="C1139" s="348">
        <v>2.5313000000000002E-3</v>
      </c>
      <c r="D1139" s="348">
        <v>2.7406000000000002E-3</v>
      </c>
      <c r="E1139" s="348">
        <v>5.4999999999999997E-3</v>
      </c>
      <c r="F1139" s="349">
        <v>1.16125E-2</v>
      </c>
    </row>
    <row r="1140" spans="1:6" ht="12" thickBot="1">
      <c r="A1140" s="347">
        <v>40122</v>
      </c>
      <c r="B1140" s="348">
        <v>2.4156E-3</v>
      </c>
      <c r="C1140" s="348">
        <v>2.5313000000000002E-3</v>
      </c>
      <c r="D1140" s="348">
        <v>2.7531000000000001E-3</v>
      </c>
      <c r="E1140" s="348">
        <v>5.5399999999999998E-3</v>
      </c>
      <c r="F1140" s="349">
        <v>1.17E-2</v>
      </c>
    </row>
    <row r="1141" spans="1:6" ht="12" thickBot="1">
      <c r="A1141" s="347">
        <v>40121</v>
      </c>
      <c r="B1141" s="348">
        <v>2.4156E-3</v>
      </c>
      <c r="C1141" s="348">
        <v>2.5500000000000002E-3</v>
      </c>
      <c r="D1141" s="348">
        <v>2.7750000000000001E-3</v>
      </c>
      <c r="E1141" s="348">
        <v>5.6344000000000003E-3</v>
      </c>
      <c r="F1141" s="349">
        <v>1.18875E-2</v>
      </c>
    </row>
    <row r="1142" spans="1:6" ht="12" thickBot="1">
      <c r="A1142" s="347">
        <v>40120</v>
      </c>
      <c r="B1142" s="348">
        <v>2.4156E-3</v>
      </c>
      <c r="C1142" s="348">
        <v>2.5500000000000002E-3</v>
      </c>
      <c r="D1142" s="348">
        <v>2.7813E-3</v>
      </c>
      <c r="E1142" s="348">
        <v>5.6219E-3</v>
      </c>
      <c r="F1142" s="349">
        <v>1.1818800000000001E-2</v>
      </c>
    </row>
    <row r="1143" spans="1:6" ht="12" thickBot="1">
      <c r="A1143" s="347">
        <v>40116</v>
      </c>
      <c r="B1143" s="348">
        <v>2.4350000000000001E-3</v>
      </c>
      <c r="C1143" s="348">
        <v>2.5780999999999998E-3</v>
      </c>
      <c r="D1143" s="348">
        <v>2.8062999999999999E-3</v>
      </c>
      <c r="E1143" s="348">
        <v>5.6438E-3</v>
      </c>
      <c r="F1143" s="349">
        <v>1.1993800000000001E-2</v>
      </c>
    </row>
    <row r="1144" spans="1:6" ht="12" thickBot="1">
      <c r="A1144" s="347">
        <v>40115</v>
      </c>
      <c r="B1144" s="348">
        <v>2.4350000000000001E-3</v>
      </c>
      <c r="C1144" s="348">
        <v>2.5718999999999998E-3</v>
      </c>
      <c r="D1144" s="348">
        <v>2.8062999999999999E-3</v>
      </c>
      <c r="E1144" s="348">
        <v>5.6438E-3</v>
      </c>
      <c r="F1144" s="349">
        <v>1.19813E-2</v>
      </c>
    </row>
    <row r="1145" spans="1:6" ht="12" thickBot="1">
      <c r="A1145" s="347">
        <v>40114</v>
      </c>
      <c r="B1145" s="348">
        <v>2.4288000000000001E-3</v>
      </c>
      <c r="C1145" s="348">
        <v>2.5400000000000002E-3</v>
      </c>
      <c r="D1145" s="348">
        <v>2.8062999999999999E-3</v>
      </c>
      <c r="E1145" s="348">
        <v>5.7000000000000002E-3</v>
      </c>
      <c r="F1145" s="349">
        <v>1.2087499999999999E-2</v>
      </c>
    </row>
    <row r="1146" spans="1:6" ht="12" thickBot="1">
      <c r="A1146" s="347">
        <v>40113</v>
      </c>
      <c r="B1146" s="348">
        <v>2.4350000000000001E-3</v>
      </c>
      <c r="C1146" s="348">
        <v>2.5400000000000002E-3</v>
      </c>
      <c r="D1146" s="348">
        <v>2.8062999999999999E-3</v>
      </c>
      <c r="E1146" s="348">
        <v>5.7688000000000001E-3</v>
      </c>
      <c r="F1146" s="349">
        <v>1.23625E-2</v>
      </c>
    </row>
    <row r="1147" spans="1:6" ht="12" thickBot="1">
      <c r="A1147" s="347">
        <v>40112</v>
      </c>
      <c r="B1147" s="348">
        <v>2.4375E-3</v>
      </c>
      <c r="C1147" s="348">
        <v>2.5400000000000002E-3</v>
      </c>
      <c r="D1147" s="348">
        <v>2.8062999999999999E-3</v>
      </c>
      <c r="E1147" s="348">
        <v>5.8063000000000003E-3</v>
      </c>
      <c r="F1147" s="349">
        <v>1.24438E-2</v>
      </c>
    </row>
    <row r="1148" spans="1:6" ht="12" thickBot="1">
      <c r="A1148" s="347">
        <v>40109</v>
      </c>
      <c r="B1148" s="348">
        <v>2.4375E-3</v>
      </c>
      <c r="C1148" s="348">
        <v>2.5400000000000002E-3</v>
      </c>
      <c r="D1148" s="348">
        <v>2.8188000000000002E-3</v>
      </c>
      <c r="E1148" s="348">
        <v>5.8063000000000003E-3</v>
      </c>
      <c r="F1148" s="349">
        <v>1.235E-2</v>
      </c>
    </row>
    <row r="1149" spans="1:6" ht="12" thickBot="1">
      <c r="A1149" s="347">
        <v>40108</v>
      </c>
      <c r="B1149" s="348">
        <v>2.4375E-3</v>
      </c>
      <c r="C1149" s="348">
        <v>2.5400000000000002E-3</v>
      </c>
      <c r="D1149" s="348">
        <v>2.8219E-3</v>
      </c>
      <c r="E1149" s="348">
        <v>5.8187999999999998E-3</v>
      </c>
      <c r="F1149" s="349">
        <v>1.23188E-2</v>
      </c>
    </row>
    <row r="1150" spans="1:6" ht="12" thickBot="1">
      <c r="A1150" s="347">
        <v>40107</v>
      </c>
      <c r="B1150" s="348">
        <v>2.4375E-3</v>
      </c>
      <c r="C1150" s="348">
        <v>2.5425000000000001E-3</v>
      </c>
      <c r="D1150" s="348">
        <v>2.8343999999999999E-3</v>
      </c>
      <c r="E1150" s="348">
        <v>5.8500000000000002E-3</v>
      </c>
      <c r="F1150" s="349">
        <v>1.2274999999999999E-2</v>
      </c>
    </row>
    <row r="1151" spans="1:6" ht="12" thickBot="1">
      <c r="A1151" s="347">
        <v>40106</v>
      </c>
      <c r="B1151" s="348">
        <v>2.4499999999999999E-3</v>
      </c>
      <c r="C1151" s="348">
        <v>2.5425000000000001E-3</v>
      </c>
      <c r="D1151" s="348">
        <v>2.8313000000000001E-3</v>
      </c>
      <c r="E1151" s="348">
        <v>5.8563E-3</v>
      </c>
      <c r="F1151" s="349">
        <v>1.2387499999999999E-2</v>
      </c>
    </row>
    <row r="1152" spans="1:6" ht="12" thickBot="1">
      <c r="A1152" s="347">
        <v>40105</v>
      </c>
      <c r="B1152" s="348">
        <v>2.4499999999999999E-3</v>
      </c>
      <c r="C1152" s="348">
        <v>2.5313000000000002E-3</v>
      </c>
      <c r="D1152" s="348">
        <v>2.8338E-3</v>
      </c>
      <c r="E1152" s="348">
        <v>5.9249999999999997E-3</v>
      </c>
      <c r="F1152" s="349">
        <v>1.2500000000000001E-2</v>
      </c>
    </row>
    <row r="1153" spans="1:6" ht="12" thickBot="1">
      <c r="A1153" s="347">
        <v>40102</v>
      </c>
      <c r="B1153" s="348">
        <v>2.4499999999999999E-3</v>
      </c>
      <c r="C1153" s="348">
        <v>2.5374999999999998E-3</v>
      </c>
      <c r="D1153" s="348">
        <v>2.8406E-3</v>
      </c>
      <c r="E1153" s="348">
        <v>5.9125000000000002E-3</v>
      </c>
      <c r="F1153" s="349">
        <v>1.24688E-2</v>
      </c>
    </row>
    <row r="1154" spans="1:6" ht="12" thickBot="1">
      <c r="A1154" s="347">
        <v>40101</v>
      </c>
      <c r="B1154" s="348">
        <v>2.4499999999999999E-3</v>
      </c>
      <c r="C1154" s="348">
        <v>2.5374999999999998E-3</v>
      </c>
      <c r="D1154" s="348">
        <v>2.8406E-3</v>
      </c>
      <c r="E1154" s="348">
        <v>5.8999999999999999E-3</v>
      </c>
      <c r="F1154" s="349">
        <v>1.23813E-2</v>
      </c>
    </row>
    <row r="1155" spans="1:6" ht="12" thickBot="1">
      <c r="A1155" s="347">
        <v>40100</v>
      </c>
      <c r="B1155" s="348">
        <v>2.4499999999999999E-3</v>
      </c>
      <c r="C1155" s="348">
        <v>2.5374999999999998E-3</v>
      </c>
      <c r="D1155" s="348">
        <v>2.8406E-3</v>
      </c>
      <c r="E1155" s="348">
        <v>5.9312999999999996E-3</v>
      </c>
      <c r="F1155" s="349">
        <v>1.2324999999999999E-2</v>
      </c>
    </row>
    <row r="1156" spans="1:6" ht="12" thickBot="1">
      <c r="A1156" s="347">
        <v>40099</v>
      </c>
      <c r="B1156" s="348">
        <v>2.4499999999999999E-3</v>
      </c>
      <c r="C1156" s="348">
        <v>2.5374999999999998E-3</v>
      </c>
      <c r="D1156" s="348">
        <v>2.8438000000000001E-3</v>
      </c>
      <c r="E1156" s="348">
        <v>5.9563000000000003E-3</v>
      </c>
      <c r="F1156" s="349">
        <v>1.23938E-2</v>
      </c>
    </row>
    <row r="1157" spans="1:6" ht="12" thickBot="1">
      <c r="A1157" s="347">
        <v>40095</v>
      </c>
      <c r="B1157" s="348">
        <v>2.4499999999999999E-3</v>
      </c>
      <c r="C1157" s="348">
        <v>2.5374999999999998E-3</v>
      </c>
      <c r="D1157" s="348">
        <v>2.8438000000000001E-3</v>
      </c>
      <c r="E1157" s="348">
        <v>5.9687999999999998E-3</v>
      </c>
      <c r="F1157" s="349">
        <v>1.2225E-2</v>
      </c>
    </row>
    <row r="1158" spans="1:6" ht="12" thickBot="1">
      <c r="A1158" s="347">
        <v>40094</v>
      </c>
      <c r="B1158" s="348">
        <v>2.4437999999999999E-3</v>
      </c>
      <c r="C1158" s="348">
        <v>2.5374999999999998E-3</v>
      </c>
      <c r="D1158" s="348">
        <v>2.8438000000000001E-3</v>
      </c>
      <c r="E1158" s="348">
        <v>5.9750000000000003E-3</v>
      </c>
      <c r="F1158" s="349">
        <v>1.2131299999999999E-2</v>
      </c>
    </row>
    <row r="1159" spans="1:6" ht="12" thickBot="1">
      <c r="A1159" s="347">
        <v>40093</v>
      </c>
      <c r="B1159" s="348">
        <v>2.4437999999999999E-3</v>
      </c>
      <c r="C1159" s="348">
        <v>2.5374999999999998E-3</v>
      </c>
      <c r="D1159" s="348">
        <v>2.8438000000000001E-3</v>
      </c>
      <c r="E1159" s="348">
        <v>6.0000000000000001E-3</v>
      </c>
      <c r="F1159" s="349">
        <v>1.21688E-2</v>
      </c>
    </row>
    <row r="1160" spans="1:6" ht="12" thickBot="1">
      <c r="A1160" s="347">
        <v>40092</v>
      </c>
      <c r="B1160" s="348">
        <v>2.4437999999999999E-3</v>
      </c>
      <c r="C1160" s="348">
        <v>2.5374999999999998E-3</v>
      </c>
      <c r="D1160" s="348">
        <v>2.8406E-3</v>
      </c>
      <c r="E1160" s="348">
        <v>6.0000000000000001E-3</v>
      </c>
      <c r="F1160" s="349">
        <v>1.2125E-2</v>
      </c>
    </row>
    <row r="1161" spans="1:6" ht="12" thickBot="1">
      <c r="A1161" s="347">
        <v>40091</v>
      </c>
      <c r="B1161" s="348">
        <v>2.4437999999999999E-3</v>
      </c>
      <c r="C1161" s="348">
        <v>2.5313000000000002E-3</v>
      </c>
      <c r="D1161" s="348">
        <v>2.8406E-3</v>
      </c>
      <c r="E1161" s="348">
        <v>6.0188000000000004E-3</v>
      </c>
      <c r="F1161" s="349">
        <v>1.2068799999999999E-2</v>
      </c>
    </row>
    <row r="1162" spans="1:6" ht="12" thickBot="1">
      <c r="A1162" s="347">
        <v>40088</v>
      </c>
      <c r="B1162" s="348">
        <v>2.4437999999999999E-3</v>
      </c>
      <c r="C1162" s="348">
        <v>2.5249999999999999E-3</v>
      </c>
      <c r="D1162" s="348">
        <v>2.8406E-3</v>
      </c>
      <c r="E1162" s="348">
        <v>6.0312999999999999E-3</v>
      </c>
      <c r="F1162" s="349">
        <v>1.2125E-2</v>
      </c>
    </row>
    <row r="1163" spans="1:6" ht="12" thickBot="1">
      <c r="A1163" s="347">
        <v>40087</v>
      </c>
      <c r="B1163" s="348">
        <v>2.4562999999999998E-3</v>
      </c>
      <c r="C1163" s="348">
        <v>2.5313000000000002E-3</v>
      </c>
      <c r="D1163" s="348">
        <v>2.8438000000000001E-3</v>
      </c>
      <c r="E1163" s="348">
        <v>6.1999999999999998E-3</v>
      </c>
      <c r="F1163" s="349">
        <v>1.2418800000000001E-2</v>
      </c>
    </row>
    <row r="1164" spans="1:6" ht="12" thickBot="1">
      <c r="A1164" s="347">
        <v>40086</v>
      </c>
      <c r="B1164" s="348">
        <v>2.4562999999999998E-3</v>
      </c>
      <c r="C1164" s="348">
        <v>2.5249999999999999E-3</v>
      </c>
      <c r="D1164" s="348">
        <v>2.8687999999999999E-3</v>
      </c>
      <c r="E1164" s="348">
        <v>6.2874999999999997E-3</v>
      </c>
      <c r="F1164" s="349">
        <v>1.2637499999999999E-2</v>
      </c>
    </row>
    <row r="1165" spans="1:6" ht="12" thickBot="1">
      <c r="A1165" s="347">
        <v>40085</v>
      </c>
      <c r="B1165" s="348">
        <v>2.4624999999999998E-3</v>
      </c>
      <c r="C1165" s="348">
        <v>2.5374999999999998E-3</v>
      </c>
      <c r="D1165" s="348">
        <v>2.8969E-3</v>
      </c>
      <c r="E1165" s="348">
        <v>6.3125000000000004E-3</v>
      </c>
      <c r="F1165" s="349">
        <v>1.25375E-2</v>
      </c>
    </row>
    <row r="1166" spans="1:6" ht="12" thickBot="1">
      <c r="A1166" s="347">
        <v>40084</v>
      </c>
      <c r="B1166" s="348">
        <v>2.4624999999999998E-3</v>
      </c>
      <c r="C1166" s="348">
        <v>2.5374999999999998E-3</v>
      </c>
      <c r="D1166" s="348">
        <v>2.8249999999999998E-3</v>
      </c>
      <c r="E1166" s="348">
        <v>6.3874999999999999E-3</v>
      </c>
      <c r="F1166" s="349">
        <v>1.255E-2</v>
      </c>
    </row>
    <row r="1167" spans="1:6" ht="12" thickBot="1">
      <c r="A1167" s="347">
        <v>40081</v>
      </c>
      <c r="B1167" s="348">
        <v>2.4624999999999998E-3</v>
      </c>
      <c r="C1167" s="348">
        <v>2.5438000000000001E-3</v>
      </c>
      <c r="D1167" s="348">
        <v>2.8249999999999998E-3</v>
      </c>
      <c r="E1167" s="348">
        <v>6.3625000000000001E-3</v>
      </c>
      <c r="F1167" s="349">
        <v>1.2375000000000001E-2</v>
      </c>
    </row>
    <row r="1168" spans="1:6" ht="12" thickBot="1">
      <c r="A1168" s="347">
        <v>40080</v>
      </c>
      <c r="B1168" s="348">
        <v>2.4624999999999998E-3</v>
      </c>
      <c r="C1168" s="348">
        <v>2.5374999999999998E-3</v>
      </c>
      <c r="D1168" s="348">
        <v>2.8313000000000001E-3</v>
      </c>
      <c r="E1168" s="348">
        <v>6.3937999999999998E-3</v>
      </c>
      <c r="F1168" s="349">
        <v>1.2312500000000001E-2</v>
      </c>
    </row>
    <row r="1169" spans="1:6" ht="12" thickBot="1">
      <c r="A1169" s="347">
        <v>40079</v>
      </c>
      <c r="B1169" s="348">
        <v>2.4624999999999998E-3</v>
      </c>
      <c r="C1169" s="348">
        <v>2.5625000000000001E-3</v>
      </c>
      <c r="D1169" s="348">
        <v>2.8500000000000001E-3</v>
      </c>
      <c r="E1169" s="348">
        <v>6.6062999999999998E-3</v>
      </c>
      <c r="F1169" s="349">
        <v>1.2625000000000001E-2</v>
      </c>
    </row>
    <row r="1170" spans="1:6" ht="12" thickBot="1">
      <c r="A1170" s="347">
        <v>40078</v>
      </c>
      <c r="B1170" s="348">
        <v>2.4624999999999998E-3</v>
      </c>
      <c r="C1170" s="348">
        <v>2.575E-3</v>
      </c>
      <c r="D1170" s="348">
        <v>2.8563E-3</v>
      </c>
      <c r="E1170" s="348">
        <v>6.6813000000000003E-3</v>
      </c>
      <c r="F1170" s="349">
        <v>1.2699999999999999E-2</v>
      </c>
    </row>
    <row r="1171" spans="1:6" ht="12" thickBot="1">
      <c r="A1171" s="347">
        <v>40077</v>
      </c>
      <c r="B1171" s="348">
        <v>2.4624999999999998E-3</v>
      </c>
      <c r="C1171" s="348">
        <v>2.575E-3</v>
      </c>
      <c r="D1171" s="348">
        <v>2.8938000000000002E-3</v>
      </c>
      <c r="E1171" s="348">
        <v>6.7625000000000003E-3</v>
      </c>
      <c r="F1171" s="349">
        <v>1.28188E-2</v>
      </c>
    </row>
    <row r="1172" spans="1:6" ht="12" thickBot="1">
      <c r="A1172" s="347">
        <v>40074</v>
      </c>
      <c r="B1172" s="348">
        <v>2.4624999999999998E-3</v>
      </c>
      <c r="C1172" s="348">
        <v>2.575E-3</v>
      </c>
      <c r="D1172" s="348">
        <v>2.8938000000000002E-3</v>
      </c>
      <c r="E1172" s="348">
        <v>6.7562999999999998E-3</v>
      </c>
      <c r="F1172" s="349">
        <v>1.2718800000000001E-2</v>
      </c>
    </row>
    <row r="1173" spans="1:6" ht="12" thickBot="1">
      <c r="A1173" s="347">
        <v>40073</v>
      </c>
      <c r="B1173" s="348">
        <v>2.4624999999999998E-3</v>
      </c>
      <c r="C1173" s="348">
        <v>2.575E-3</v>
      </c>
      <c r="D1173" s="348">
        <v>2.9188E-3</v>
      </c>
      <c r="E1173" s="348">
        <v>6.7938E-3</v>
      </c>
      <c r="F1173" s="349">
        <v>1.29125E-2</v>
      </c>
    </row>
    <row r="1174" spans="1:6" ht="12" thickBot="1">
      <c r="A1174" s="347">
        <v>40072</v>
      </c>
      <c r="B1174" s="348">
        <v>2.4375E-3</v>
      </c>
      <c r="C1174" s="348">
        <v>2.5500000000000002E-3</v>
      </c>
      <c r="D1174" s="348">
        <v>2.9188E-3</v>
      </c>
      <c r="E1174" s="348">
        <v>6.7625000000000003E-3</v>
      </c>
      <c r="F1174" s="349">
        <v>1.26938E-2</v>
      </c>
    </row>
    <row r="1175" spans="1:6" ht="12" thickBot="1">
      <c r="A1175" s="347">
        <v>40071</v>
      </c>
      <c r="B1175" s="348">
        <v>2.4250000000000001E-3</v>
      </c>
      <c r="C1175" s="348">
        <v>2.5438000000000001E-3</v>
      </c>
      <c r="D1175" s="348">
        <v>2.9337999999999999E-3</v>
      </c>
      <c r="E1175" s="348">
        <v>6.7499999999999999E-3</v>
      </c>
      <c r="F1175" s="349">
        <v>1.26E-2</v>
      </c>
    </row>
    <row r="1176" spans="1:6" ht="12" thickBot="1">
      <c r="A1176" s="347">
        <v>40070</v>
      </c>
      <c r="B1176" s="348">
        <v>2.4125000000000001E-3</v>
      </c>
      <c r="C1176" s="348">
        <v>2.5438000000000001E-3</v>
      </c>
      <c r="D1176" s="348">
        <v>2.9499999999999999E-3</v>
      </c>
      <c r="E1176" s="348">
        <v>6.7625000000000003E-3</v>
      </c>
      <c r="F1176" s="349">
        <v>1.25375E-2</v>
      </c>
    </row>
    <row r="1177" spans="1:6" ht="12" thickBot="1">
      <c r="A1177" s="347">
        <v>40067</v>
      </c>
      <c r="B1177" s="348">
        <v>2.4337999999999999E-3</v>
      </c>
      <c r="C1177" s="348">
        <v>2.5712999999999999E-3</v>
      </c>
      <c r="D1177" s="348">
        <v>2.99E-3</v>
      </c>
      <c r="E1177" s="348">
        <v>6.7749999999999998E-3</v>
      </c>
      <c r="F1177" s="349">
        <v>1.25375E-2</v>
      </c>
    </row>
    <row r="1178" spans="1:6" ht="12" thickBot="1">
      <c r="A1178" s="347">
        <v>40066</v>
      </c>
      <c r="B1178" s="348">
        <v>2.4375E-3</v>
      </c>
      <c r="C1178" s="348">
        <v>2.5812999999999999E-3</v>
      </c>
      <c r="D1178" s="348">
        <v>2.9968999999999998E-3</v>
      </c>
      <c r="E1178" s="348">
        <v>6.8250000000000003E-3</v>
      </c>
      <c r="F1178" s="349">
        <v>1.26125E-2</v>
      </c>
    </row>
    <row r="1179" spans="1:6" ht="12" thickBot="1">
      <c r="A1179" s="347">
        <v>40065</v>
      </c>
      <c r="B1179" s="348">
        <v>2.4588000000000001E-3</v>
      </c>
      <c r="C1179" s="348">
        <v>2.5837999999999998E-3</v>
      </c>
      <c r="D1179" s="348">
        <v>2.9868999999999998E-3</v>
      </c>
      <c r="E1179" s="348">
        <v>6.8875000000000004E-3</v>
      </c>
      <c r="F1179" s="349">
        <v>1.26625E-2</v>
      </c>
    </row>
    <row r="1180" spans="1:6" ht="12" thickBot="1">
      <c r="A1180" s="347">
        <v>40064</v>
      </c>
      <c r="B1180" s="348">
        <v>2.4938E-3</v>
      </c>
      <c r="C1180" s="348">
        <v>2.6063000000000002E-3</v>
      </c>
      <c r="D1180" s="348">
        <v>3.0187999999999999E-3</v>
      </c>
      <c r="E1180" s="348">
        <v>7.0000000000000001E-3</v>
      </c>
      <c r="F1180" s="349">
        <v>1.27875E-2</v>
      </c>
    </row>
    <row r="1181" spans="1:6" ht="12" thickBot="1">
      <c r="A1181" s="347">
        <v>40059</v>
      </c>
      <c r="B1181" s="348">
        <v>2.5313000000000002E-3</v>
      </c>
      <c r="C1181" s="348">
        <v>2.6874999999999998E-3</v>
      </c>
      <c r="D1181" s="348">
        <v>3.2188E-3</v>
      </c>
      <c r="E1181" s="348">
        <v>7.1938000000000002E-3</v>
      </c>
      <c r="F1181" s="349">
        <v>1.2906300000000001E-2</v>
      </c>
    </row>
    <row r="1182" spans="1:6" ht="12" thickBot="1">
      <c r="A1182" s="347">
        <v>40058</v>
      </c>
      <c r="B1182" s="348">
        <v>2.5438000000000001E-3</v>
      </c>
      <c r="C1182" s="348">
        <v>2.725E-3</v>
      </c>
      <c r="D1182" s="348">
        <v>3.3E-3</v>
      </c>
      <c r="E1182" s="348">
        <v>7.2624999999999999E-3</v>
      </c>
      <c r="F1182" s="349">
        <v>1.295E-2</v>
      </c>
    </row>
    <row r="1183" spans="1:6" ht="12" thickBot="1">
      <c r="A1183" s="347">
        <v>40057</v>
      </c>
      <c r="B1183" s="348">
        <v>2.5625000000000001E-3</v>
      </c>
      <c r="C1183" s="348">
        <v>2.7437999999999998E-3</v>
      </c>
      <c r="D1183" s="348">
        <v>3.3438000000000001E-3</v>
      </c>
      <c r="E1183" s="348">
        <v>7.2874999999999997E-3</v>
      </c>
      <c r="F1183" s="349">
        <v>1.2968800000000001E-2</v>
      </c>
    </row>
    <row r="1184" spans="1:6" ht="12" thickBot="1">
      <c r="A1184" s="347">
        <v>40056</v>
      </c>
      <c r="B1184" s="348">
        <v>2.5875E-3</v>
      </c>
      <c r="C1184" s="348">
        <v>2.8E-3</v>
      </c>
      <c r="D1184" s="348">
        <v>3.4749999999999998E-3</v>
      </c>
      <c r="E1184" s="348">
        <v>7.5500000000000003E-3</v>
      </c>
      <c r="F1184" s="349">
        <v>1.3299999999999999E-2</v>
      </c>
    </row>
    <row r="1185" spans="1:6" ht="12" thickBot="1">
      <c r="A1185" s="347">
        <v>40053</v>
      </c>
      <c r="B1185" s="348">
        <v>2.5875E-3</v>
      </c>
      <c r="C1185" s="348">
        <v>2.8E-3</v>
      </c>
      <c r="D1185" s="348">
        <v>3.4749999999999998E-3</v>
      </c>
      <c r="E1185" s="348">
        <v>7.5500000000000003E-3</v>
      </c>
      <c r="F1185" s="349">
        <v>1.3299999999999999E-2</v>
      </c>
    </row>
    <row r="1186" spans="1:6" ht="12" thickBot="1">
      <c r="A1186" s="347">
        <v>40052</v>
      </c>
      <c r="B1186" s="348">
        <v>2.6124999999999998E-3</v>
      </c>
      <c r="C1186" s="348">
        <v>2.8812999999999998E-3</v>
      </c>
      <c r="D1186" s="348">
        <v>3.6062999999999998E-3</v>
      </c>
      <c r="E1186" s="348">
        <v>7.7313E-3</v>
      </c>
      <c r="F1186" s="349">
        <v>1.3462500000000001E-2</v>
      </c>
    </row>
    <row r="1187" spans="1:6" ht="12" thickBot="1">
      <c r="A1187" s="347">
        <v>40051</v>
      </c>
      <c r="B1187" s="348">
        <v>2.6063000000000002E-3</v>
      </c>
      <c r="C1187" s="348">
        <v>2.9188E-3</v>
      </c>
      <c r="D1187" s="348">
        <v>3.7188E-3</v>
      </c>
      <c r="E1187" s="348">
        <v>7.8250000000000004E-3</v>
      </c>
      <c r="F1187" s="349">
        <v>1.355E-2</v>
      </c>
    </row>
    <row r="1188" spans="1:6" ht="12" thickBot="1">
      <c r="A1188" s="347">
        <v>40050</v>
      </c>
      <c r="B1188" s="348">
        <v>2.6281E-3</v>
      </c>
      <c r="C1188" s="348">
        <v>2.9437999999999999E-3</v>
      </c>
      <c r="D1188" s="348">
        <v>3.8E-3</v>
      </c>
      <c r="E1188" s="348">
        <v>7.8499999999999993E-3</v>
      </c>
      <c r="F1188" s="349">
        <v>1.355E-2</v>
      </c>
    </row>
    <row r="1189" spans="1:6" ht="12" thickBot="1">
      <c r="A1189" s="347">
        <v>40049</v>
      </c>
      <c r="B1189" s="348">
        <v>2.6438E-3</v>
      </c>
      <c r="C1189" s="348">
        <v>2.9688000000000002E-3</v>
      </c>
      <c r="D1189" s="348">
        <v>3.8687999999999999E-3</v>
      </c>
      <c r="E1189" s="348">
        <v>7.9625000000000008E-3</v>
      </c>
      <c r="F1189" s="349">
        <v>1.3837500000000001E-2</v>
      </c>
    </row>
    <row r="1190" spans="1:6" ht="12" thickBot="1">
      <c r="A1190" s="347">
        <v>40046</v>
      </c>
      <c r="B1190" s="348">
        <v>2.6562999999999999E-3</v>
      </c>
      <c r="C1190" s="348">
        <v>3.0000000000000001E-3</v>
      </c>
      <c r="D1190" s="348">
        <v>3.9313000000000004E-3</v>
      </c>
      <c r="E1190" s="348">
        <v>7.9625000000000008E-3</v>
      </c>
      <c r="F1190" s="349">
        <v>1.3487499999999999E-2</v>
      </c>
    </row>
    <row r="1191" spans="1:6" ht="12" thickBot="1">
      <c r="A1191" s="347">
        <v>40045</v>
      </c>
      <c r="B1191" s="348">
        <v>2.6749999999999999E-3</v>
      </c>
      <c r="C1191" s="348">
        <v>3.0312999999999998E-3</v>
      </c>
      <c r="D1191" s="348">
        <v>4.0688E-3</v>
      </c>
      <c r="E1191" s="348">
        <v>8.0874999999999992E-3</v>
      </c>
      <c r="F1191" s="349">
        <v>1.38125E-2</v>
      </c>
    </row>
    <row r="1192" spans="1:6" ht="12" thickBot="1">
      <c r="A1192" s="347">
        <v>40044</v>
      </c>
      <c r="B1192" s="348">
        <v>2.6874999999999998E-3</v>
      </c>
      <c r="C1192" s="348">
        <v>3.0500000000000002E-3</v>
      </c>
      <c r="D1192" s="348">
        <v>4.1875000000000002E-3</v>
      </c>
      <c r="E1192" s="348">
        <v>8.1375000000000006E-3</v>
      </c>
      <c r="F1192" s="349">
        <v>1.37E-2</v>
      </c>
    </row>
    <row r="1193" spans="1:6" ht="12" thickBot="1">
      <c r="A1193" s="347">
        <v>40043</v>
      </c>
      <c r="B1193" s="348">
        <v>2.725E-3</v>
      </c>
      <c r="C1193" s="348">
        <v>3.0688E-3</v>
      </c>
      <c r="D1193" s="348">
        <v>4.2500000000000003E-3</v>
      </c>
      <c r="E1193" s="348">
        <v>8.2500000000000004E-3</v>
      </c>
      <c r="F1193" s="349">
        <v>1.3899999999999999E-2</v>
      </c>
    </row>
    <row r="1194" spans="1:6" ht="12" thickBot="1">
      <c r="A1194" s="347">
        <v>40039</v>
      </c>
      <c r="B1194" s="348">
        <v>2.725E-3</v>
      </c>
      <c r="C1194" s="348">
        <v>3.0875E-3</v>
      </c>
      <c r="D1194" s="348">
        <v>4.2938000000000004E-3</v>
      </c>
      <c r="E1194" s="348">
        <v>8.3187999999999995E-3</v>
      </c>
      <c r="F1194" s="349">
        <v>1.3899999999999999E-2</v>
      </c>
    </row>
    <row r="1195" spans="1:6" ht="12" thickBot="1">
      <c r="A1195" s="347">
        <v>40038</v>
      </c>
      <c r="B1195" s="348">
        <v>2.7280999999999998E-3</v>
      </c>
      <c r="C1195" s="348">
        <v>3.15E-3</v>
      </c>
      <c r="D1195" s="348">
        <v>4.4000000000000003E-3</v>
      </c>
      <c r="E1195" s="348">
        <v>8.5124999999999992E-3</v>
      </c>
      <c r="F1195" s="349">
        <v>1.41875E-2</v>
      </c>
    </row>
    <row r="1196" spans="1:6" ht="12" thickBot="1">
      <c r="A1196" s="347">
        <v>40037</v>
      </c>
      <c r="B1196" s="348">
        <v>2.7406000000000002E-3</v>
      </c>
      <c r="C1196" s="348">
        <v>3.1938000000000001E-3</v>
      </c>
      <c r="D1196" s="348">
        <v>4.4968999999999999E-3</v>
      </c>
      <c r="E1196" s="348">
        <v>8.6875000000000008E-3</v>
      </c>
      <c r="F1196" s="349">
        <v>1.46E-2</v>
      </c>
    </row>
    <row r="1197" spans="1:6" ht="12" thickBot="1">
      <c r="A1197" s="347">
        <v>40036</v>
      </c>
      <c r="B1197" s="348">
        <v>2.745E-3</v>
      </c>
      <c r="C1197" s="348">
        <v>3.2063E-3</v>
      </c>
      <c r="D1197" s="348">
        <v>4.5437999999999997E-3</v>
      </c>
      <c r="E1197" s="348">
        <v>8.9125000000000003E-3</v>
      </c>
      <c r="F1197" s="349">
        <v>1.51063E-2</v>
      </c>
    </row>
    <row r="1198" spans="1:6" ht="12" thickBot="1">
      <c r="A1198" s="347">
        <v>40035</v>
      </c>
      <c r="B1198" s="348">
        <v>2.7499999999999998E-3</v>
      </c>
      <c r="C1198" s="348">
        <v>3.225E-3</v>
      </c>
      <c r="D1198" s="348">
        <v>4.5875000000000004E-3</v>
      </c>
      <c r="E1198" s="348">
        <v>9.0813000000000005E-3</v>
      </c>
      <c r="F1198" s="349">
        <v>1.54875E-2</v>
      </c>
    </row>
    <row r="1199" spans="1:6" ht="12" thickBot="1">
      <c r="A1199" s="347">
        <v>40031</v>
      </c>
      <c r="B1199" s="348">
        <v>2.7563000000000002E-3</v>
      </c>
      <c r="C1199" s="348">
        <v>3.225E-3</v>
      </c>
      <c r="D1199" s="348">
        <v>4.6438E-3</v>
      </c>
      <c r="E1199" s="348">
        <v>9.0875000000000001E-3</v>
      </c>
      <c r="F1199" s="349">
        <v>1.51063E-2</v>
      </c>
    </row>
    <row r="1200" spans="1:6" ht="12" thickBot="1">
      <c r="A1200" s="347">
        <v>40030</v>
      </c>
      <c r="B1200" s="348">
        <v>2.7563000000000002E-3</v>
      </c>
      <c r="C1200" s="348">
        <v>3.2437999999999998E-3</v>
      </c>
      <c r="D1200" s="348">
        <v>4.6813000000000002E-3</v>
      </c>
      <c r="E1200" s="348">
        <v>9.0938000000000008E-3</v>
      </c>
      <c r="F1200" s="349">
        <v>1.50063E-2</v>
      </c>
    </row>
    <row r="1201" spans="1:6" ht="12" thickBot="1">
      <c r="A1201" s="347">
        <v>40029</v>
      </c>
      <c r="B1201" s="348">
        <v>2.7563000000000002E-3</v>
      </c>
      <c r="C1201" s="348">
        <v>3.2625000000000002E-3</v>
      </c>
      <c r="D1201" s="348">
        <v>4.7063000000000001E-3</v>
      </c>
      <c r="E1201" s="348">
        <v>9.0875000000000001E-3</v>
      </c>
      <c r="F1201" s="349">
        <v>1.48813E-2</v>
      </c>
    </row>
    <row r="1202" spans="1:6" ht="12" thickBot="1">
      <c r="A1202" s="347">
        <v>40028</v>
      </c>
      <c r="B1202" s="348">
        <v>2.7563000000000002E-3</v>
      </c>
      <c r="C1202" s="348">
        <v>3.2625000000000002E-3</v>
      </c>
      <c r="D1202" s="348">
        <v>4.7188000000000004E-3</v>
      </c>
      <c r="E1202" s="348">
        <v>9.0375000000000004E-3</v>
      </c>
      <c r="F1202" s="349">
        <v>1.47563E-2</v>
      </c>
    </row>
    <row r="1203" spans="1:6" ht="12" thickBot="1">
      <c r="A1203" s="347">
        <v>40025</v>
      </c>
      <c r="B1203" s="348">
        <v>2.7937999999999999E-3</v>
      </c>
      <c r="C1203" s="348">
        <v>3.3E-3</v>
      </c>
      <c r="D1203" s="348">
        <v>4.7938E-3</v>
      </c>
      <c r="E1203" s="348">
        <v>9.2499999999999995E-3</v>
      </c>
      <c r="F1203" s="349">
        <v>1.4975E-2</v>
      </c>
    </row>
    <row r="1204" spans="1:6" ht="12" thickBot="1">
      <c r="A1204" s="347">
        <v>40024</v>
      </c>
      <c r="B1204" s="348">
        <v>2.8062999999999999E-3</v>
      </c>
      <c r="C1204" s="348">
        <v>3.3438000000000001E-3</v>
      </c>
      <c r="D1204" s="348">
        <v>4.8313000000000002E-3</v>
      </c>
      <c r="E1204" s="348">
        <v>9.2999999999999992E-3</v>
      </c>
      <c r="F1204" s="349">
        <v>1.5025E-2</v>
      </c>
    </row>
    <row r="1205" spans="1:6" ht="12" thickBot="1">
      <c r="A1205" s="347">
        <v>40023</v>
      </c>
      <c r="B1205" s="348">
        <v>2.8500000000000001E-3</v>
      </c>
      <c r="C1205" s="348">
        <v>3.3874999999999999E-3</v>
      </c>
      <c r="D1205" s="348">
        <v>4.875E-3</v>
      </c>
      <c r="E1205" s="348">
        <v>9.325E-3</v>
      </c>
      <c r="F1205" s="349">
        <v>1.485E-2</v>
      </c>
    </row>
    <row r="1206" spans="1:6" ht="12" thickBot="1">
      <c r="A1206" s="347">
        <v>40022</v>
      </c>
      <c r="B1206" s="348">
        <v>2.8500000000000001E-3</v>
      </c>
      <c r="C1206" s="348">
        <v>3.3999999999999998E-3</v>
      </c>
      <c r="D1206" s="348">
        <v>4.9125000000000002E-3</v>
      </c>
      <c r="E1206" s="348">
        <v>9.3624999999999993E-3</v>
      </c>
      <c r="F1206" s="349">
        <v>1.47875E-2</v>
      </c>
    </row>
    <row r="1207" spans="1:6" ht="12" thickBot="1">
      <c r="A1207" s="347">
        <v>40021</v>
      </c>
      <c r="B1207" s="348">
        <v>2.875E-3</v>
      </c>
      <c r="C1207" s="348">
        <v>3.4437999999999999E-3</v>
      </c>
      <c r="D1207" s="348">
        <v>4.9624999999999999E-3</v>
      </c>
      <c r="E1207" s="348">
        <v>9.4750000000000008E-3</v>
      </c>
      <c r="F1207" s="349">
        <v>1.4925000000000001E-2</v>
      </c>
    </row>
    <row r="1208" spans="1:6" ht="12" thickBot="1">
      <c r="A1208" s="347">
        <v>40018</v>
      </c>
      <c r="B1208" s="348">
        <v>2.8500000000000001E-3</v>
      </c>
      <c r="C1208" s="348">
        <v>3.4688000000000002E-3</v>
      </c>
      <c r="D1208" s="348">
        <v>5.0188000000000003E-3</v>
      </c>
      <c r="E1208" s="348">
        <v>9.5063000000000005E-3</v>
      </c>
      <c r="F1208" s="349">
        <v>1.48938E-2</v>
      </c>
    </row>
    <row r="1209" spans="1:6" ht="12" thickBot="1">
      <c r="A1209" s="347">
        <v>40017</v>
      </c>
      <c r="B1209" s="348">
        <v>2.8500000000000001E-3</v>
      </c>
      <c r="C1209" s="348">
        <v>3.4562999999999998E-3</v>
      </c>
      <c r="D1209" s="348">
        <v>5.0375000000000003E-3</v>
      </c>
      <c r="E1209" s="348">
        <v>9.4563000000000008E-3</v>
      </c>
      <c r="F1209" s="349">
        <v>1.4731299999999999E-2</v>
      </c>
    </row>
    <row r="1210" spans="1:6" ht="12" thickBot="1">
      <c r="A1210" s="347">
        <v>40016</v>
      </c>
      <c r="B1210" s="348">
        <v>2.8500000000000001E-3</v>
      </c>
      <c r="C1210" s="348">
        <v>3.4688000000000002E-3</v>
      </c>
      <c r="D1210" s="348">
        <v>5.0188000000000003E-3</v>
      </c>
      <c r="E1210" s="348">
        <v>9.5063000000000005E-3</v>
      </c>
      <c r="F1210" s="349">
        <v>1.47875E-2</v>
      </c>
    </row>
    <row r="1211" spans="1:6" ht="12" thickBot="1">
      <c r="A1211" s="347">
        <v>40015</v>
      </c>
      <c r="B1211" s="348">
        <v>2.8500000000000001E-3</v>
      </c>
      <c r="C1211" s="348">
        <v>3.4875000000000001E-3</v>
      </c>
      <c r="D1211" s="348">
        <v>5.0312999999999998E-3</v>
      </c>
      <c r="E1211" s="348">
        <v>9.6124999999999995E-3</v>
      </c>
      <c r="F1211" s="349">
        <v>1.49E-2</v>
      </c>
    </row>
    <row r="1212" spans="1:6" ht="12" thickBot="1">
      <c r="A1212" s="347">
        <v>40011</v>
      </c>
      <c r="B1212" s="348">
        <v>2.8625E-3</v>
      </c>
      <c r="C1212" s="348">
        <v>3.5000000000000001E-3</v>
      </c>
      <c r="D1212" s="348">
        <v>5.0375000000000003E-3</v>
      </c>
      <c r="E1212" s="348">
        <v>9.7125000000000006E-3</v>
      </c>
      <c r="F1212" s="349">
        <v>1.49125E-2</v>
      </c>
    </row>
    <row r="1213" spans="1:6" ht="12" thickBot="1">
      <c r="A1213" s="347">
        <v>40010</v>
      </c>
      <c r="B1213" s="348">
        <v>2.8874999999999999E-3</v>
      </c>
      <c r="C1213" s="348">
        <v>3.5312999999999998E-3</v>
      </c>
      <c r="D1213" s="348">
        <v>5.1000000000000004E-3</v>
      </c>
      <c r="E1213" s="348">
        <v>9.8499999999999994E-3</v>
      </c>
      <c r="F1213" s="349">
        <v>1.50875E-2</v>
      </c>
    </row>
    <row r="1214" spans="1:6" ht="12" thickBot="1">
      <c r="A1214" s="347">
        <v>40009</v>
      </c>
      <c r="B1214" s="348">
        <v>2.875E-3</v>
      </c>
      <c r="C1214" s="348">
        <v>3.5438000000000002E-3</v>
      </c>
      <c r="D1214" s="348">
        <v>5.1374999999999997E-3</v>
      </c>
      <c r="E1214" s="348">
        <v>9.8750000000000001E-3</v>
      </c>
      <c r="F1214" s="349">
        <v>1.5075E-2</v>
      </c>
    </row>
    <row r="1215" spans="1:6" ht="12" thickBot="1">
      <c r="A1215" s="347">
        <v>40008</v>
      </c>
      <c r="B1215" s="348">
        <v>2.875E-3</v>
      </c>
      <c r="C1215" s="348">
        <v>3.5688E-3</v>
      </c>
      <c r="D1215" s="348">
        <v>5.1313000000000001E-3</v>
      </c>
      <c r="E1215" s="348">
        <v>9.8375000000000008E-3</v>
      </c>
      <c r="F1215" s="349">
        <v>1.4937499999999999E-2</v>
      </c>
    </row>
    <row r="1216" spans="1:6" ht="12" thickBot="1">
      <c r="A1216" s="347">
        <v>40007</v>
      </c>
      <c r="B1216" s="348">
        <v>2.8812999999999998E-3</v>
      </c>
      <c r="C1216" s="348">
        <v>3.5688E-3</v>
      </c>
      <c r="D1216" s="348">
        <v>5.0937999999999999E-3</v>
      </c>
      <c r="E1216" s="348">
        <v>9.6500000000000006E-3</v>
      </c>
      <c r="F1216" s="349">
        <v>1.46125E-2</v>
      </c>
    </row>
    <row r="1217" spans="1:6" ht="12" thickBot="1">
      <c r="A1217" s="347">
        <v>40004</v>
      </c>
      <c r="B1217" s="348">
        <v>2.9250000000000001E-3</v>
      </c>
      <c r="C1217" s="348">
        <v>3.5750000000000001E-3</v>
      </c>
      <c r="D1217" s="348">
        <v>5.0499999999999998E-3</v>
      </c>
      <c r="E1217" s="348">
        <v>9.6749999999999996E-3</v>
      </c>
      <c r="F1217" s="349">
        <v>1.4562500000000001E-2</v>
      </c>
    </row>
    <row r="1218" spans="1:6" ht="12" thickBot="1">
      <c r="A1218" s="347">
        <v>40003</v>
      </c>
      <c r="B1218" s="348">
        <v>2.9624999999999999E-3</v>
      </c>
      <c r="C1218" s="348">
        <v>3.6749999999999999E-3</v>
      </c>
      <c r="D1218" s="348">
        <v>5.1000000000000004E-3</v>
      </c>
      <c r="E1218" s="348">
        <v>9.8563000000000001E-3</v>
      </c>
      <c r="F1218" s="349">
        <v>1.4749999999999999E-2</v>
      </c>
    </row>
    <row r="1219" spans="1:6" ht="12" thickBot="1">
      <c r="A1219" s="347">
        <v>40002</v>
      </c>
      <c r="B1219" s="348">
        <v>3.0000000000000001E-3</v>
      </c>
      <c r="C1219" s="348">
        <v>3.7624999999999998E-3</v>
      </c>
      <c r="D1219" s="348">
        <v>5.2500000000000003E-3</v>
      </c>
      <c r="E1219" s="348">
        <v>1.005E-2</v>
      </c>
      <c r="F1219" s="349">
        <v>1.4937499999999999E-2</v>
      </c>
    </row>
    <row r="1220" spans="1:6" ht="12" thickBot="1">
      <c r="A1220" s="347">
        <v>40001</v>
      </c>
      <c r="B1220" s="348">
        <v>3.0187999999999999E-3</v>
      </c>
      <c r="C1220" s="348">
        <v>3.8874999999999999E-3</v>
      </c>
      <c r="D1220" s="348">
        <v>5.3749999999999996E-3</v>
      </c>
      <c r="E1220" s="348">
        <v>1.0225E-2</v>
      </c>
      <c r="F1220" s="349">
        <v>1.5112499999999999E-2</v>
      </c>
    </row>
    <row r="1221" spans="1:6" ht="12" thickBot="1">
      <c r="A1221" s="347">
        <v>40000</v>
      </c>
      <c r="B1221" s="348">
        <v>3.0187999999999999E-3</v>
      </c>
      <c r="C1221" s="348">
        <v>3.9563000000000003E-3</v>
      </c>
      <c r="D1221" s="348">
        <v>5.4812999999999997E-3</v>
      </c>
      <c r="E1221" s="348">
        <v>1.03125E-2</v>
      </c>
      <c r="F1221" s="349">
        <v>1.51375E-2</v>
      </c>
    </row>
    <row r="1222" spans="1:6" ht="12" thickBot="1">
      <c r="A1222" s="347">
        <v>39997</v>
      </c>
      <c r="B1222" s="348">
        <v>3.0125E-3</v>
      </c>
      <c r="C1222" s="348">
        <v>3.9874999999999997E-3</v>
      </c>
      <c r="D1222" s="348">
        <v>5.5874999999999996E-3</v>
      </c>
      <c r="E1222" s="348">
        <v>1.0512499999999999E-2</v>
      </c>
      <c r="F1222" s="349">
        <v>1.53125E-2</v>
      </c>
    </row>
    <row r="1223" spans="1:6" ht="12" thickBot="1">
      <c r="A1223" s="347">
        <v>39996</v>
      </c>
      <c r="B1223" s="348">
        <v>3.0438000000000002E-3</v>
      </c>
      <c r="C1223" s="348">
        <v>4.0688E-3</v>
      </c>
      <c r="D1223" s="348">
        <v>5.7749999999999998E-3</v>
      </c>
      <c r="E1223" s="348">
        <v>1.07875E-2</v>
      </c>
      <c r="F1223" s="349">
        <v>1.5762499999999999E-2</v>
      </c>
    </row>
    <row r="1224" spans="1:6" ht="12" thickBot="1">
      <c r="A1224" s="347">
        <v>39995</v>
      </c>
      <c r="B1224" s="348">
        <v>3.0625000000000001E-3</v>
      </c>
      <c r="C1224" s="348">
        <v>4.0937999999999999E-3</v>
      </c>
      <c r="D1224" s="348">
        <v>5.875E-3</v>
      </c>
      <c r="E1224" s="348">
        <v>1.09125E-2</v>
      </c>
      <c r="F1224" s="349">
        <v>1.5900000000000001E-2</v>
      </c>
    </row>
    <row r="1225" spans="1:6" ht="12" thickBot="1">
      <c r="A1225" s="347">
        <v>39994</v>
      </c>
      <c r="B1225" s="348">
        <v>3.0875E-3</v>
      </c>
      <c r="C1225" s="348">
        <v>4.1437999999999996E-3</v>
      </c>
      <c r="D1225" s="348">
        <v>5.9500000000000004E-3</v>
      </c>
      <c r="E1225" s="348">
        <v>1.1112500000000001E-2</v>
      </c>
      <c r="F1225" s="349">
        <v>1.60625E-2</v>
      </c>
    </row>
    <row r="1226" spans="1:6" ht="12" thickBot="1">
      <c r="A1226" s="347">
        <v>39990</v>
      </c>
      <c r="B1226" s="348">
        <v>3.0999999999999999E-3</v>
      </c>
      <c r="C1226" s="348">
        <v>4.1999999999999997E-3</v>
      </c>
      <c r="D1226" s="348">
        <v>5.9750000000000003E-3</v>
      </c>
      <c r="E1226" s="348">
        <v>1.095E-2</v>
      </c>
      <c r="F1226" s="349">
        <v>1.59125E-2</v>
      </c>
    </row>
    <row r="1227" spans="1:6" ht="12" thickBot="1">
      <c r="A1227" s="347">
        <v>39989</v>
      </c>
      <c r="B1227" s="348">
        <v>3.075E-3</v>
      </c>
      <c r="C1227" s="348">
        <v>4.2750000000000002E-3</v>
      </c>
      <c r="D1227" s="348">
        <v>6.0124999999999996E-3</v>
      </c>
      <c r="E1227" s="348">
        <v>1.11375E-2</v>
      </c>
      <c r="F1227" s="349">
        <v>1.6449999999999999E-2</v>
      </c>
    </row>
    <row r="1228" spans="1:6" ht="12" thickBot="1">
      <c r="A1228" s="347">
        <v>39988</v>
      </c>
      <c r="B1228" s="348">
        <v>3.1124999999999998E-3</v>
      </c>
      <c r="C1228" s="348">
        <v>4.3375000000000002E-3</v>
      </c>
      <c r="D1228" s="348">
        <v>6.0438000000000002E-3</v>
      </c>
      <c r="E1228" s="348">
        <v>1.13125E-2</v>
      </c>
      <c r="F1228" s="349">
        <v>1.6400000000000001E-2</v>
      </c>
    </row>
    <row r="1229" spans="1:6" ht="12" thickBot="1">
      <c r="A1229" s="347">
        <v>39987</v>
      </c>
      <c r="B1229" s="348">
        <v>3.1375000000000001E-3</v>
      </c>
      <c r="C1229" s="348">
        <v>4.4124999999999998E-3</v>
      </c>
      <c r="D1229" s="348">
        <v>6.0749999999999997E-3</v>
      </c>
      <c r="E1229" s="348">
        <v>1.1487499999999999E-2</v>
      </c>
      <c r="F1229" s="349">
        <v>1.6775000000000002E-2</v>
      </c>
    </row>
    <row r="1230" spans="1:6" ht="12" thickBot="1">
      <c r="A1230" s="347">
        <v>39983</v>
      </c>
      <c r="B1230" s="348">
        <v>3.1687999999999998E-3</v>
      </c>
      <c r="C1230" s="348">
        <v>4.4625000000000003E-3</v>
      </c>
      <c r="D1230" s="348">
        <v>6.1187999999999998E-3</v>
      </c>
      <c r="E1230" s="348">
        <v>1.1825E-2</v>
      </c>
      <c r="F1230" s="349">
        <v>1.7399999999999999E-2</v>
      </c>
    </row>
    <row r="1231" spans="1:6" ht="12" thickBot="1">
      <c r="A1231" s="347">
        <v>39982</v>
      </c>
      <c r="B1231" s="348">
        <v>3.15E-3</v>
      </c>
      <c r="C1231" s="348">
        <v>4.4625000000000003E-3</v>
      </c>
      <c r="D1231" s="348">
        <v>6.0875E-3</v>
      </c>
      <c r="E1231" s="348">
        <v>1.16125E-2</v>
      </c>
      <c r="F1231" s="349">
        <v>1.68875E-2</v>
      </c>
    </row>
    <row r="1232" spans="1:6" ht="12" thickBot="1">
      <c r="A1232" s="347">
        <v>39981</v>
      </c>
      <c r="B1232" s="348">
        <v>3.1313000000000001E-3</v>
      </c>
      <c r="C1232" s="348">
        <v>4.4812999999999997E-3</v>
      </c>
      <c r="D1232" s="348">
        <v>6.1000000000000004E-3</v>
      </c>
      <c r="E1232" s="348">
        <v>1.1575E-2</v>
      </c>
      <c r="F1232" s="349">
        <v>1.6937500000000001E-2</v>
      </c>
    </row>
    <row r="1233" spans="1:6" ht="12" thickBot="1">
      <c r="A1233" s="347">
        <v>39980</v>
      </c>
      <c r="B1233" s="348">
        <v>3.1813000000000002E-3</v>
      </c>
      <c r="C1233" s="348">
        <v>4.5374999999999999E-3</v>
      </c>
      <c r="D1233" s="348">
        <v>6.1313000000000001E-3</v>
      </c>
      <c r="E1233" s="348">
        <v>1.16375E-2</v>
      </c>
      <c r="F1233" s="349">
        <v>1.6962499999999998E-2</v>
      </c>
    </row>
    <row r="1234" spans="1:6" ht="12" thickBot="1">
      <c r="A1234" s="347">
        <v>39976</v>
      </c>
      <c r="B1234" s="348">
        <v>3.1813000000000002E-3</v>
      </c>
      <c r="C1234" s="348">
        <v>4.6438E-3</v>
      </c>
      <c r="D1234" s="348">
        <v>6.2437999999999999E-3</v>
      </c>
      <c r="E1234" s="348">
        <v>1.1837500000000001E-2</v>
      </c>
      <c r="F1234" s="349">
        <v>1.7325E-2</v>
      </c>
    </row>
    <row r="1235" spans="1:6" ht="12" thickBot="1">
      <c r="A1235" s="347">
        <v>39975</v>
      </c>
      <c r="B1235" s="348">
        <v>3.1938000000000001E-3</v>
      </c>
      <c r="C1235" s="348">
        <v>4.7375000000000004E-3</v>
      </c>
      <c r="D1235" s="348">
        <v>6.2937999999999996E-3</v>
      </c>
      <c r="E1235" s="348">
        <v>1.2175E-2</v>
      </c>
      <c r="F1235" s="349">
        <v>1.7899999999999999E-2</v>
      </c>
    </row>
    <row r="1236" spans="1:6" ht="12" thickBot="1">
      <c r="A1236" s="347">
        <v>39973</v>
      </c>
      <c r="B1236" s="348">
        <v>3.2125000000000001E-3</v>
      </c>
      <c r="C1236" s="348">
        <v>4.8374999999999998E-3</v>
      </c>
      <c r="D1236" s="348">
        <v>6.4749999999999999E-3</v>
      </c>
      <c r="E1236" s="348">
        <v>1.26625E-2</v>
      </c>
      <c r="F1236" s="349">
        <v>1.8350000000000002E-2</v>
      </c>
    </row>
    <row r="1237" spans="1:6" ht="12" thickBot="1">
      <c r="A1237" s="347">
        <v>39972</v>
      </c>
      <c r="B1237" s="348">
        <v>3.2312999999999999E-3</v>
      </c>
      <c r="C1237" s="348">
        <v>4.8624999999999996E-3</v>
      </c>
      <c r="D1237" s="348">
        <v>6.4999999999999997E-3</v>
      </c>
      <c r="E1237" s="348">
        <v>1.2825E-2</v>
      </c>
      <c r="F1237" s="349">
        <v>1.8537499999999998E-2</v>
      </c>
    </row>
    <row r="1238" spans="1:6" ht="12" thickBot="1">
      <c r="A1238" s="347">
        <v>39969</v>
      </c>
      <c r="B1238" s="348">
        <v>3.2063E-3</v>
      </c>
      <c r="C1238" s="348">
        <v>4.7749999999999997E-3</v>
      </c>
      <c r="D1238" s="348">
        <v>6.3249999999999999E-3</v>
      </c>
      <c r="E1238" s="348">
        <v>1.20375E-2</v>
      </c>
      <c r="F1238" s="349">
        <v>1.5975E-2</v>
      </c>
    </row>
    <row r="1239" spans="1:6" ht="12" thickBot="1">
      <c r="A1239" s="347">
        <v>39968</v>
      </c>
      <c r="B1239" s="348">
        <v>3.1749999999999999E-3</v>
      </c>
      <c r="C1239" s="348">
        <v>4.7499999999999999E-3</v>
      </c>
      <c r="D1239" s="348">
        <v>6.2937999999999996E-3</v>
      </c>
      <c r="E1239" s="348">
        <v>1.18E-2</v>
      </c>
      <c r="F1239" s="349">
        <v>1.5474999999999999E-2</v>
      </c>
    </row>
    <row r="1240" spans="1:6" ht="12" thickBot="1">
      <c r="A1240" s="347">
        <v>39967</v>
      </c>
      <c r="B1240" s="348">
        <v>3.1874999999999998E-3</v>
      </c>
      <c r="C1240" s="348">
        <v>4.8500000000000001E-3</v>
      </c>
      <c r="D1240" s="348">
        <v>6.3688E-3</v>
      </c>
      <c r="E1240" s="348">
        <v>1.2075000000000001E-2</v>
      </c>
      <c r="F1240" s="349">
        <v>1.5837500000000001E-2</v>
      </c>
    </row>
    <row r="1241" spans="1:6" ht="12" thickBot="1">
      <c r="A1241" s="347">
        <v>39966</v>
      </c>
      <c r="B1241" s="348">
        <v>3.2000000000000002E-3</v>
      </c>
      <c r="C1241" s="348">
        <v>4.9500000000000004E-3</v>
      </c>
      <c r="D1241" s="348">
        <v>6.4625000000000004E-3</v>
      </c>
      <c r="E1241" s="348">
        <v>1.23375E-2</v>
      </c>
      <c r="F1241" s="349">
        <v>1.6074999999999999E-2</v>
      </c>
    </row>
    <row r="1242" spans="1:6" ht="12" thickBot="1">
      <c r="A1242" s="347">
        <v>39962</v>
      </c>
      <c r="B1242" s="348">
        <v>3.1624999999999999E-3</v>
      </c>
      <c r="C1242" s="348">
        <v>5.0937999999999999E-3</v>
      </c>
      <c r="D1242" s="348">
        <v>6.5624999999999998E-3</v>
      </c>
      <c r="E1242" s="348">
        <v>1.24E-2</v>
      </c>
      <c r="F1242" s="349">
        <v>1.6E-2</v>
      </c>
    </row>
    <row r="1243" spans="1:6" ht="12" thickBot="1">
      <c r="A1243" s="347">
        <v>39961</v>
      </c>
      <c r="B1243" s="348">
        <v>3.2000000000000002E-3</v>
      </c>
      <c r="C1243" s="348">
        <v>5.0625000000000002E-3</v>
      </c>
      <c r="D1243" s="348">
        <v>6.6750000000000004E-3</v>
      </c>
      <c r="E1243" s="348">
        <v>1.26E-2</v>
      </c>
      <c r="F1243" s="349">
        <v>1.6199999999999999E-2</v>
      </c>
    </row>
    <row r="1244" spans="1:6" ht="12" thickBot="1">
      <c r="A1244" s="347">
        <v>39960</v>
      </c>
      <c r="B1244" s="348">
        <v>3.1874999999999998E-3</v>
      </c>
      <c r="C1244" s="348">
        <v>5.0499999999999998E-3</v>
      </c>
      <c r="D1244" s="348">
        <v>6.7375000000000004E-3</v>
      </c>
      <c r="E1244" s="348">
        <v>1.2699999999999999E-2</v>
      </c>
      <c r="F1244" s="349">
        <v>1.62875E-2</v>
      </c>
    </row>
    <row r="1245" spans="1:6" ht="12" thickBot="1">
      <c r="A1245" s="347">
        <v>39959</v>
      </c>
      <c r="B1245" s="348">
        <v>3.1624999999999999E-3</v>
      </c>
      <c r="C1245" s="348">
        <v>5.0375000000000003E-3</v>
      </c>
      <c r="D1245" s="348">
        <v>6.6375000000000002E-3</v>
      </c>
      <c r="E1245" s="348">
        <v>1.2175E-2</v>
      </c>
      <c r="F1245" s="349">
        <v>1.5525000000000001E-2</v>
      </c>
    </row>
    <row r="1246" spans="1:6" ht="12" thickBot="1">
      <c r="A1246" s="347">
        <v>39955</v>
      </c>
      <c r="B1246" s="348">
        <v>3.1313000000000001E-3</v>
      </c>
      <c r="C1246" s="348">
        <v>5.0499999999999998E-3</v>
      </c>
      <c r="D1246" s="348">
        <v>6.6E-3</v>
      </c>
      <c r="E1246" s="348">
        <v>1.2012500000000001E-2</v>
      </c>
      <c r="F1246" s="349">
        <v>1.53125E-2</v>
      </c>
    </row>
    <row r="1247" spans="1:6" ht="12" thickBot="1">
      <c r="A1247" s="347">
        <v>39954</v>
      </c>
      <c r="B1247" s="348">
        <v>3.0875E-3</v>
      </c>
      <c r="C1247" s="348">
        <v>5.0875E-3</v>
      </c>
      <c r="D1247" s="348">
        <v>6.6125000000000003E-3</v>
      </c>
      <c r="E1247" s="348">
        <v>1.17E-2</v>
      </c>
      <c r="F1247" s="349">
        <v>1.4862500000000001E-2</v>
      </c>
    </row>
    <row r="1248" spans="1:6" ht="12" thickBot="1">
      <c r="A1248" s="347">
        <v>39953</v>
      </c>
      <c r="B1248" s="348">
        <v>3.0812999999999999E-3</v>
      </c>
      <c r="C1248" s="348">
        <v>5.5250000000000004E-3</v>
      </c>
      <c r="D1248" s="348">
        <v>7.1624999999999996E-3</v>
      </c>
      <c r="E1248" s="348">
        <v>1.24125E-2</v>
      </c>
      <c r="F1248" s="349">
        <v>1.54875E-2</v>
      </c>
    </row>
    <row r="1249" spans="1:6" ht="12" thickBot="1">
      <c r="A1249" s="347">
        <v>39952</v>
      </c>
      <c r="B1249" s="348">
        <v>3.0937999999999998E-3</v>
      </c>
      <c r="C1249" s="348">
        <v>5.8624999999999997E-3</v>
      </c>
      <c r="D1249" s="348">
        <v>7.5249999999999996E-3</v>
      </c>
      <c r="E1249" s="348">
        <v>1.2800000000000001E-2</v>
      </c>
      <c r="F1249" s="349">
        <v>1.5824999999999999E-2</v>
      </c>
    </row>
    <row r="1250" spans="1:6" ht="12" thickBot="1">
      <c r="A1250" s="347">
        <v>39951</v>
      </c>
      <c r="B1250" s="348">
        <v>3.1624999999999999E-3</v>
      </c>
      <c r="C1250" s="348">
        <v>6.1250000000000002E-3</v>
      </c>
      <c r="D1250" s="348">
        <v>7.8499999999999993E-3</v>
      </c>
      <c r="E1250" s="348">
        <v>1.3125E-2</v>
      </c>
      <c r="F1250" s="349">
        <v>1.6112499999999998E-2</v>
      </c>
    </row>
    <row r="1251" spans="1:6" ht="12" thickBot="1">
      <c r="A1251" s="347">
        <v>39948</v>
      </c>
      <c r="B1251" s="348">
        <v>3.2813E-3</v>
      </c>
      <c r="C1251" s="348">
        <v>6.4250000000000002E-3</v>
      </c>
      <c r="D1251" s="348">
        <v>8.2562999999999994E-3</v>
      </c>
      <c r="E1251" s="348">
        <v>1.35625E-2</v>
      </c>
      <c r="F1251" s="349">
        <v>1.6562500000000001E-2</v>
      </c>
    </row>
    <row r="1252" spans="1:6" ht="12" thickBot="1">
      <c r="A1252" s="347">
        <v>39947</v>
      </c>
      <c r="B1252" s="348">
        <v>3.3500000000000001E-3</v>
      </c>
      <c r="C1252" s="348">
        <v>6.6750000000000004E-3</v>
      </c>
      <c r="D1252" s="348">
        <v>8.5438000000000007E-3</v>
      </c>
      <c r="E1252" s="348">
        <v>1.3787499999999999E-2</v>
      </c>
      <c r="F1252" s="349">
        <v>1.6862499999999999E-2</v>
      </c>
    </row>
    <row r="1253" spans="1:6" ht="12" thickBot="1">
      <c r="A1253" s="347">
        <v>39946</v>
      </c>
      <c r="B1253" s="348">
        <v>3.4437999999999999E-3</v>
      </c>
      <c r="C1253" s="348">
        <v>6.9563000000000003E-3</v>
      </c>
      <c r="D1253" s="348">
        <v>8.8313000000000003E-3</v>
      </c>
      <c r="E1253" s="348">
        <v>1.4125E-2</v>
      </c>
      <c r="F1253" s="349">
        <v>1.7325E-2</v>
      </c>
    </row>
    <row r="1254" spans="1:6" ht="12" thickBot="1">
      <c r="A1254" s="347">
        <v>39945</v>
      </c>
      <c r="B1254" s="348">
        <v>3.4875000000000001E-3</v>
      </c>
      <c r="C1254" s="348">
        <v>7.1500000000000001E-3</v>
      </c>
      <c r="D1254" s="348">
        <v>9.0562999999999998E-3</v>
      </c>
      <c r="E1254" s="348">
        <v>1.43E-2</v>
      </c>
      <c r="F1254" s="349">
        <v>1.7475000000000001E-2</v>
      </c>
    </row>
    <row r="1255" spans="1:6" ht="12" thickBot="1">
      <c r="A1255" s="347">
        <v>39944</v>
      </c>
      <c r="B1255" s="348">
        <v>3.5374999999999998E-3</v>
      </c>
      <c r="C1255" s="348">
        <v>7.3499999999999998E-3</v>
      </c>
      <c r="D1255" s="348">
        <v>9.1999999999999998E-3</v>
      </c>
      <c r="E1255" s="348">
        <v>1.4387499999999999E-2</v>
      </c>
      <c r="F1255" s="349">
        <v>1.7575E-2</v>
      </c>
    </row>
    <row r="1256" spans="1:6" ht="12" thickBot="1">
      <c r="A1256" s="347">
        <v>39941</v>
      </c>
      <c r="B1256" s="348">
        <v>3.6749999999999999E-3</v>
      </c>
      <c r="C1256" s="348">
        <v>7.6125000000000003E-3</v>
      </c>
      <c r="D1256" s="348">
        <v>9.3749999999999997E-3</v>
      </c>
      <c r="E1256" s="348">
        <v>1.4625000000000001E-2</v>
      </c>
      <c r="F1256" s="349">
        <v>1.7812499999999998E-2</v>
      </c>
    </row>
    <row r="1257" spans="1:6" ht="12" thickBot="1">
      <c r="A1257" s="347">
        <v>39940</v>
      </c>
      <c r="B1257" s="348">
        <v>3.8187999999999998E-3</v>
      </c>
      <c r="C1257" s="348">
        <v>7.7749999999999998E-3</v>
      </c>
      <c r="D1257" s="348">
        <v>9.5624999999999998E-3</v>
      </c>
      <c r="E1257" s="348">
        <v>1.4937499999999999E-2</v>
      </c>
      <c r="F1257" s="349">
        <v>1.8075000000000001E-2</v>
      </c>
    </row>
    <row r="1258" spans="1:6" ht="12" thickBot="1">
      <c r="A1258" s="347">
        <v>39939</v>
      </c>
      <c r="B1258" s="348">
        <v>3.9500000000000004E-3</v>
      </c>
      <c r="C1258" s="348">
        <v>7.9500000000000005E-3</v>
      </c>
      <c r="D1258" s="348">
        <v>9.7374999999999996E-3</v>
      </c>
      <c r="E1258" s="348">
        <v>1.50625E-2</v>
      </c>
      <c r="F1258" s="349">
        <v>1.8200000000000001E-2</v>
      </c>
    </row>
    <row r="1259" spans="1:6" ht="12" thickBot="1">
      <c r="A1259" s="347">
        <v>39938</v>
      </c>
      <c r="B1259" s="348">
        <v>4.0124999999999996E-3</v>
      </c>
      <c r="C1259" s="348">
        <v>8.0625000000000002E-3</v>
      </c>
      <c r="D1259" s="348">
        <v>9.8624999999999997E-3</v>
      </c>
      <c r="E1259" s="348">
        <v>1.54E-2</v>
      </c>
      <c r="F1259" s="349">
        <v>1.8588799999999999E-2</v>
      </c>
    </row>
    <row r="1260" spans="1:6" ht="12" thickBot="1">
      <c r="A1260" s="347">
        <v>39937</v>
      </c>
      <c r="B1260" s="348">
        <v>4.1437999999999996E-3</v>
      </c>
      <c r="C1260" s="348">
        <v>8.2249999999999997E-3</v>
      </c>
      <c r="D1260" s="348">
        <v>1.0068799999999999E-2</v>
      </c>
      <c r="E1260" s="348">
        <v>1.54938E-2</v>
      </c>
      <c r="F1260" s="349">
        <v>1.8643799999999999E-2</v>
      </c>
    </row>
    <row r="1261" spans="1:6" ht="12" thickBot="1">
      <c r="A1261" s="347">
        <v>39933</v>
      </c>
      <c r="B1261" s="348">
        <v>4.1124999999999998E-3</v>
      </c>
      <c r="C1261" s="348">
        <v>8.3125000000000004E-3</v>
      </c>
      <c r="D1261" s="348">
        <v>1.01625E-2</v>
      </c>
      <c r="E1261" s="348">
        <v>1.5650000000000001E-2</v>
      </c>
      <c r="F1261" s="349">
        <v>1.8768799999999999E-2</v>
      </c>
    </row>
    <row r="1262" spans="1:6" ht="12" thickBot="1">
      <c r="A1262" s="347">
        <v>39932</v>
      </c>
      <c r="B1262" s="348">
        <v>4.1812999999999998E-3</v>
      </c>
      <c r="C1262" s="348">
        <v>8.3999999999999995E-3</v>
      </c>
      <c r="D1262" s="348">
        <v>1.0274999999999999E-2</v>
      </c>
      <c r="E1262" s="348">
        <v>1.5787499999999999E-2</v>
      </c>
      <c r="F1262" s="349">
        <v>1.8874999999999999E-2</v>
      </c>
    </row>
    <row r="1263" spans="1:6" ht="12" thickBot="1">
      <c r="A1263" s="347">
        <v>39931</v>
      </c>
      <c r="B1263" s="348">
        <v>4.2750000000000002E-3</v>
      </c>
      <c r="C1263" s="348">
        <v>8.4688000000000003E-3</v>
      </c>
      <c r="D1263" s="348">
        <v>1.03938E-2</v>
      </c>
      <c r="E1263" s="348">
        <v>1.575E-2</v>
      </c>
      <c r="F1263" s="349">
        <v>1.8775E-2</v>
      </c>
    </row>
    <row r="1264" spans="1:6" ht="12" thickBot="1">
      <c r="A1264" s="347">
        <v>39930</v>
      </c>
      <c r="B1264" s="348">
        <v>4.3249999999999999E-3</v>
      </c>
      <c r="C1264" s="348">
        <v>8.5249999999999996E-3</v>
      </c>
      <c r="D1264" s="348">
        <v>1.05375E-2</v>
      </c>
      <c r="E1264" s="348">
        <v>1.5900000000000001E-2</v>
      </c>
      <c r="F1264" s="349">
        <v>1.8987500000000001E-2</v>
      </c>
    </row>
    <row r="1265" spans="1:6" ht="12" thickBot="1">
      <c r="A1265" s="347">
        <v>39927</v>
      </c>
      <c r="B1265" s="348">
        <v>4.3499999999999997E-3</v>
      </c>
      <c r="C1265" s="348">
        <v>8.6187999999999994E-3</v>
      </c>
      <c r="D1265" s="348">
        <v>1.0725E-2</v>
      </c>
      <c r="E1265" s="348">
        <v>1.6212500000000001E-2</v>
      </c>
      <c r="F1265" s="349">
        <v>1.9306299999999998E-2</v>
      </c>
    </row>
    <row r="1266" spans="1:6" ht="12" thickBot="1">
      <c r="A1266" s="347">
        <v>39926</v>
      </c>
      <c r="B1266" s="348">
        <v>4.3750000000000004E-3</v>
      </c>
      <c r="C1266" s="348">
        <v>8.6999999999999994E-3</v>
      </c>
      <c r="D1266" s="348">
        <v>1.0918799999999999E-2</v>
      </c>
      <c r="E1266" s="348">
        <v>1.63938E-2</v>
      </c>
      <c r="F1266" s="349">
        <v>1.95E-2</v>
      </c>
    </row>
    <row r="1267" spans="1:6" ht="12" thickBot="1">
      <c r="A1267" s="347">
        <v>39925</v>
      </c>
      <c r="B1267" s="348">
        <v>4.4000000000000003E-3</v>
      </c>
      <c r="C1267" s="348">
        <v>8.7937999999999992E-3</v>
      </c>
      <c r="D1267" s="348">
        <v>1.09938E-2</v>
      </c>
      <c r="E1267" s="348">
        <v>1.6574999999999999E-2</v>
      </c>
      <c r="F1267" s="349">
        <v>1.9675000000000002E-2</v>
      </c>
    </row>
    <row r="1268" spans="1:6" ht="12" thickBot="1">
      <c r="A1268" s="347">
        <v>39924</v>
      </c>
      <c r="B1268" s="348">
        <v>4.4124999999999998E-3</v>
      </c>
      <c r="C1268" s="348">
        <v>8.8124999999999992E-3</v>
      </c>
      <c r="D1268" s="348">
        <v>1.0999999999999999E-2</v>
      </c>
      <c r="E1268" s="348">
        <v>1.6506300000000002E-2</v>
      </c>
      <c r="F1268" s="349">
        <v>1.9493799999999999E-2</v>
      </c>
    </row>
    <row r="1269" spans="1:6" ht="12" thickBot="1">
      <c r="A1269" s="347">
        <v>39923</v>
      </c>
      <c r="B1269" s="348">
        <v>4.4250000000000001E-3</v>
      </c>
      <c r="C1269" s="348">
        <v>8.8094000000000002E-3</v>
      </c>
      <c r="D1269" s="348">
        <v>1.10063E-2</v>
      </c>
      <c r="E1269" s="348">
        <v>1.6500000000000001E-2</v>
      </c>
      <c r="F1269" s="349">
        <v>1.9449999999999999E-2</v>
      </c>
    </row>
    <row r="1270" spans="1:6" ht="12" thickBot="1">
      <c r="A1270" s="347">
        <v>39920</v>
      </c>
      <c r="B1270" s="348">
        <v>4.4749999999999998E-3</v>
      </c>
      <c r="C1270" s="348">
        <v>8.8094000000000002E-3</v>
      </c>
      <c r="D1270" s="348">
        <v>1.10188E-2</v>
      </c>
      <c r="E1270" s="348">
        <v>1.6362499999999999E-2</v>
      </c>
      <c r="F1270" s="349">
        <v>1.915E-2</v>
      </c>
    </row>
    <row r="1271" spans="1:6" ht="12" thickBot="1">
      <c r="A1271" s="347">
        <v>39919</v>
      </c>
      <c r="B1271" s="348">
        <v>4.4688000000000002E-3</v>
      </c>
      <c r="C1271" s="348">
        <v>8.8187999999999999E-3</v>
      </c>
      <c r="D1271" s="348">
        <v>1.10688E-2</v>
      </c>
      <c r="E1271" s="348">
        <v>1.6406299999999999E-2</v>
      </c>
      <c r="F1271" s="349">
        <v>1.90625E-2</v>
      </c>
    </row>
    <row r="1272" spans="1:6" ht="12" thickBot="1">
      <c r="A1272" s="347">
        <v>39918</v>
      </c>
      <c r="B1272" s="348">
        <v>4.4812999999999997E-3</v>
      </c>
      <c r="C1272" s="348">
        <v>8.8500000000000002E-3</v>
      </c>
      <c r="D1272" s="348">
        <v>1.1124999999999999E-2</v>
      </c>
      <c r="E1272" s="348">
        <v>1.6468799999999999E-2</v>
      </c>
      <c r="F1272" s="349">
        <v>1.9125E-2</v>
      </c>
    </row>
    <row r="1273" spans="1:6" ht="12" thickBot="1">
      <c r="A1273" s="347">
        <v>39917</v>
      </c>
      <c r="B1273" s="348">
        <v>4.5250000000000004E-3</v>
      </c>
      <c r="C1273" s="348">
        <v>8.8999999999999999E-3</v>
      </c>
      <c r="D1273" s="348">
        <v>1.1218799999999999E-2</v>
      </c>
      <c r="E1273" s="348">
        <v>1.66E-2</v>
      </c>
      <c r="F1273" s="349">
        <v>1.92938E-2</v>
      </c>
    </row>
    <row r="1274" spans="1:6" ht="12" thickBot="1">
      <c r="A1274" s="347">
        <v>39916</v>
      </c>
      <c r="B1274" s="348">
        <v>4.5125E-3</v>
      </c>
      <c r="C1274" s="348">
        <v>8.9499999999999996E-3</v>
      </c>
      <c r="D1274" s="348">
        <v>1.13125E-2</v>
      </c>
      <c r="E1274" s="348">
        <v>1.67625E-2</v>
      </c>
      <c r="F1274" s="349">
        <v>1.9512499999999999E-2</v>
      </c>
    </row>
    <row r="1275" spans="1:6" ht="12" thickBot="1">
      <c r="A1275" s="347">
        <v>39911</v>
      </c>
      <c r="B1275" s="348">
        <v>4.5999999999999999E-3</v>
      </c>
      <c r="C1275" s="348">
        <v>9.0063000000000001E-3</v>
      </c>
      <c r="D1275" s="348">
        <v>1.13875E-2</v>
      </c>
      <c r="E1275" s="348">
        <v>1.6871899999999999E-2</v>
      </c>
      <c r="F1275" s="349">
        <v>1.9625E-2</v>
      </c>
    </row>
    <row r="1276" spans="1:6" ht="12" thickBot="1">
      <c r="A1276" s="347">
        <v>39910</v>
      </c>
      <c r="B1276" s="348">
        <v>4.6937999999999997E-3</v>
      </c>
      <c r="C1276" s="348">
        <v>9.0749999999999997E-3</v>
      </c>
      <c r="D1276" s="348">
        <v>1.14938E-2</v>
      </c>
      <c r="E1276" s="348">
        <v>1.7031299999999999E-2</v>
      </c>
      <c r="F1276" s="349">
        <v>1.97875E-2</v>
      </c>
    </row>
    <row r="1277" spans="1:6" ht="12" thickBot="1">
      <c r="A1277" s="347">
        <v>39909</v>
      </c>
      <c r="B1277" s="348">
        <v>4.7562999999999998E-3</v>
      </c>
      <c r="C1277" s="348">
        <v>9.1062999999999995E-3</v>
      </c>
      <c r="D1277" s="348">
        <v>1.1568800000000001E-2</v>
      </c>
      <c r="E1277" s="348">
        <v>1.7156299999999999E-2</v>
      </c>
      <c r="F1277" s="349">
        <v>1.9924999999999998E-2</v>
      </c>
    </row>
    <row r="1278" spans="1:6" ht="12" thickBot="1">
      <c r="A1278" s="347">
        <v>39906</v>
      </c>
      <c r="B1278" s="348">
        <v>4.7812999999999996E-3</v>
      </c>
      <c r="C1278" s="348">
        <v>9.1062999999999995E-3</v>
      </c>
      <c r="D1278" s="348">
        <v>1.1609400000000001E-2</v>
      </c>
      <c r="E1278" s="348">
        <v>1.7125000000000001E-2</v>
      </c>
      <c r="F1278" s="349">
        <v>1.9643799999999999E-2</v>
      </c>
    </row>
    <row r="1279" spans="1:6" ht="12" thickBot="1">
      <c r="A1279" s="347">
        <v>39905</v>
      </c>
      <c r="B1279" s="348">
        <v>4.8938000000000002E-3</v>
      </c>
      <c r="C1279" s="348">
        <v>9.1500000000000001E-3</v>
      </c>
      <c r="D1279" s="348">
        <v>1.16594E-2</v>
      </c>
      <c r="E1279" s="348">
        <v>1.7156299999999999E-2</v>
      </c>
      <c r="F1279" s="349">
        <v>1.9550000000000001E-2</v>
      </c>
    </row>
    <row r="1280" spans="1:6" ht="12" thickBot="1">
      <c r="A1280" s="347">
        <v>39904</v>
      </c>
      <c r="B1280" s="348">
        <v>4.9500000000000004E-3</v>
      </c>
      <c r="C1280" s="348">
        <v>9.2688000000000006E-3</v>
      </c>
      <c r="D1280" s="348">
        <v>1.1768799999999999E-2</v>
      </c>
      <c r="E1280" s="348">
        <v>1.7162500000000001E-2</v>
      </c>
      <c r="F1280" s="349">
        <v>1.9512499999999999E-2</v>
      </c>
    </row>
    <row r="1281" spans="1:6" ht="12" thickBot="1">
      <c r="A1281" s="347">
        <v>39903</v>
      </c>
      <c r="B1281" s="348">
        <v>5.0063E-3</v>
      </c>
      <c r="C1281" s="348">
        <v>9.3813000000000004E-3</v>
      </c>
      <c r="D1281" s="348">
        <v>1.19188E-2</v>
      </c>
      <c r="E1281" s="348">
        <v>1.7356300000000002E-2</v>
      </c>
      <c r="F1281" s="349">
        <v>1.9718800000000002E-2</v>
      </c>
    </row>
    <row r="1282" spans="1:6" ht="12" thickBot="1">
      <c r="A1282" s="347">
        <v>39902</v>
      </c>
      <c r="B1282" s="348">
        <v>5.0875E-3</v>
      </c>
      <c r="C1282" s="348">
        <v>9.4563000000000008E-3</v>
      </c>
      <c r="D1282" s="348">
        <v>1.2075000000000001E-2</v>
      </c>
      <c r="E1282" s="348">
        <v>1.745E-2</v>
      </c>
      <c r="F1282" s="349">
        <v>1.9837500000000001E-2</v>
      </c>
    </row>
    <row r="1283" spans="1:6" ht="12" thickBot="1">
      <c r="A1283" s="347">
        <v>39899</v>
      </c>
      <c r="B1283" s="348">
        <v>5.1812999999999998E-3</v>
      </c>
      <c r="C1283" s="348">
        <v>9.5624999999999998E-3</v>
      </c>
      <c r="D1283" s="348">
        <v>1.2200000000000001E-2</v>
      </c>
      <c r="E1283" s="348">
        <v>1.7624999999999998E-2</v>
      </c>
      <c r="F1283" s="349">
        <v>2.01E-2</v>
      </c>
    </row>
    <row r="1284" spans="1:6" ht="12" thickBot="1">
      <c r="A1284" s="347">
        <v>39898</v>
      </c>
      <c r="B1284" s="348">
        <v>5.2249999999999996E-3</v>
      </c>
      <c r="C1284" s="348">
        <v>9.6562999999999996E-3</v>
      </c>
      <c r="D1284" s="348">
        <v>1.23188E-2</v>
      </c>
      <c r="E1284" s="348">
        <v>1.7943799999999999E-2</v>
      </c>
      <c r="F1284" s="349">
        <v>2.0525000000000002E-2</v>
      </c>
    </row>
    <row r="1285" spans="1:6" ht="12" thickBot="1">
      <c r="A1285" s="347">
        <v>39897</v>
      </c>
      <c r="B1285" s="348">
        <v>5.1999999999999998E-3</v>
      </c>
      <c r="C1285" s="348">
        <v>9.6562999999999996E-3</v>
      </c>
      <c r="D1285" s="348">
        <v>1.2274999999999999E-2</v>
      </c>
      <c r="E1285" s="348">
        <v>1.7749999999999998E-2</v>
      </c>
      <c r="F1285" s="349">
        <v>2.02875E-2</v>
      </c>
    </row>
    <row r="1286" spans="1:6" ht="12" thickBot="1">
      <c r="A1286" s="347">
        <v>39896</v>
      </c>
      <c r="B1286" s="348">
        <v>5.2094000000000003E-3</v>
      </c>
      <c r="C1286" s="348">
        <v>9.6938000000000007E-3</v>
      </c>
      <c r="D1286" s="348">
        <v>1.2262500000000001E-2</v>
      </c>
      <c r="E1286" s="348">
        <v>1.77375E-2</v>
      </c>
      <c r="F1286" s="349">
        <v>2.0324999999999999E-2</v>
      </c>
    </row>
    <row r="1287" spans="1:6" ht="12" thickBot="1">
      <c r="A1287" s="347">
        <v>39892</v>
      </c>
      <c r="B1287" s="348">
        <v>5.2188E-3</v>
      </c>
      <c r="C1287" s="348">
        <v>9.7062999999999993E-3</v>
      </c>
      <c r="D1287" s="348">
        <v>1.22281E-2</v>
      </c>
      <c r="E1287" s="348">
        <v>1.75125E-2</v>
      </c>
      <c r="F1287" s="349">
        <v>2.0137499999999999E-2</v>
      </c>
    </row>
    <row r="1288" spans="1:6" ht="12" thickBot="1">
      <c r="A1288" s="347">
        <v>39891</v>
      </c>
      <c r="B1288" s="348">
        <v>5.2313000000000004E-3</v>
      </c>
      <c r="C1288" s="348">
        <v>9.7062999999999993E-3</v>
      </c>
      <c r="D1288" s="348">
        <v>1.22688E-2</v>
      </c>
      <c r="E1288" s="348">
        <v>1.7412500000000001E-2</v>
      </c>
      <c r="F1288" s="349">
        <v>2.00625E-2</v>
      </c>
    </row>
    <row r="1289" spans="1:6" ht="12" thickBot="1">
      <c r="A1289" s="347">
        <v>39890</v>
      </c>
      <c r="B1289" s="348">
        <v>5.45E-3</v>
      </c>
      <c r="C1289" s="348">
        <v>1.0006299999999999E-2</v>
      </c>
      <c r="D1289" s="348">
        <v>1.2874999999999999E-2</v>
      </c>
      <c r="E1289" s="348">
        <v>1.8637500000000001E-2</v>
      </c>
      <c r="F1289" s="349">
        <v>2.18E-2</v>
      </c>
    </row>
    <row r="1290" spans="1:6" ht="12" thickBot="1">
      <c r="A1290" s="347">
        <v>39889</v>
      </c>
      <c r="B1290" s="348">
        <v>5.5624999999999997E-3</v>
      </c>
      <c r="C1290" s="348">
        <v>1.00938E-2</v>
      </c>
      <c r="D1290" s="348">
        <v>1.29938E-2</v>
      </c>
      <c r="E1290" s="348">
        <v>1.88375E-2</v>
      </c>
      <c r="F1290" s="349">
        <v>2.2018800000000002E-2</v>
      </c>
    </row>
    <row r="1291" spans="1:6" ht="12" thickBot="1">
      <c r="A1291" s="347">
        <v>39888</v>
      </c>
      <c r="B1291" s="348">
        <v>5.5563000000000001E-3</v>
      </c>
      <c r="C1291" s="348">
        <v>1.01063E-2</v>
      </c>
      <c r="D1291" s="348">
        <v>1.30875E-2</v>
      </c>
      <c r="E1291" s="348">
        <v>1.8874999999999999E-2</v>
      </c>
      <c r="F1291" s="349">
        <v>2.205E-2</v>
      </c>
    </row>
    <row r="1292" spans="1:6" ht="12" thickBot="1">
      <c r="A1292" s="347">
        <v>39885</v>
      </c>
      <c r="B1292" s="348">
        <v>5.5563000000000001E-3</v>
      </c>
      <c r="C1292" s="348">
        <v>1.01125E-2</v>
      </c>
      <c r="D1292" s="348">
        <v>1.3156299999999999E-2</v>
      </c>
      <c r="E1292" s="348">
        <v>1.9018799999999999E-2</v>
      </c>
      <c r="F1292" s="349">
        <v>2.2268799999999998E-2</v>
      </c>
    </row>
    <row r="1293" spans="1:6" ht="12" thickBot="1">
      <c r="A1293" s="347">
        <v>39884</v>
      </c>
      <c r="B1293" s="348">
        <v>5.5624999999999997E-3</v>
      </c>
      <c r="C1293" s="348">
        <v>1.0149999999999999E-2</v>
      </c>
      <c r="D1293" s="348">
        <v>1.32E-2</v>
      </c>
      <c r="E1293" s="348">
        <v>1.9037499999999999E-2</v>
      </c>
      <c r="F1293" s="349">
        <v>2.23E-2</v>
      </c>
    </row>
    <row r="1294" spans="1:6" ht="12" thickBot="1">
      <c r="A1294" s="347">
        <v>39883</v>
      </c>
      <c r="B1294" s="348">
        <v>5.5687999999999996E-3</v>
      </c>
      <c r="C1294" s="348">
        <v>1.0171899999999999E-2</v>
      </c>
      <c r="D1294" s="348">
        <v>1.3259399999999999E-2</v>
      </c>
      <c r="E1294" s="348">
        <v>1.92938E-2</v>
      </c>
      <c r="F1294" s="349">
        <v>2.2581299999999999E-2</v>
      </c>
    </row>
    <row r="1295" spans="1:6" ht="12" thickBot="1">
      <c r="A1295" s="347">
        <v>39882</v>
      </c>
      <c r="B1295" s="348">
        <v>5.6438E-3</v>
      </c>
      <c r="C1295" s="348">
        <v>1.0193799999999999E-2</v>
      </c>
      <c r="D1295" s="348">
        <v>1.33125E-2</v>
      </c>
      <c r="E1295" s="348">
        <v>1.9618799999999999E-2</v>
      </c>
      <c r="F1295" s="349">
        <v>2.2974999999999999E-2</v>
      </c>
    </row>
    <row r="1296" spans="1:6" ht="12" thickBot="1">
      <c r="A1296" s="347">
        <v>39881</v>
      </c>
      <c r="B1296" s="348">
        <v>5.6438E-3</v>
      </c>
      <c r="C1296" s="348">
        <v>1.00375E-2</v>
      </c>
      <c r="D1296" s="348">
        <v>1.3125E-2</v>
      </c>
      <c r="E1296" s="348">
        <v>1.9162499999999999E-2</v>
      </c>
      <c r="F1296" s="349">
        <v>2.23625E-2</v>
      </c>
    </row>
    <row r="1297" spans="1:6" ht="12" thickBot="1">
      <c r="A1297" s="347">
        <v>39878</v>
      </c>
      <c r="B1297" s="348">
        <v>5.4625000000000003E-3</v>
      </c>
      <c r="C1297" s="348">
        <v>9.8937999999999995E-3</v>
      </c>
      <c r="D1297" s="348">
        <v>1.2925000000000001E-2</v>
      </c>
      <c r="E1297" s="348">
        <v>1.8537499999999998E-2</v>
      </c>
      <c r="F1297" s="349">
        <v>2.1537500000000001E-2</v>
      </c>
    </row>
    <row r="1298" spans="1:6" ht="12" thickBot="1">
      <c r="A1298" s="347">
        <v>39877</v>
      </c>
      <c r="B1298" s="348">
        <v>5.3312999999999998E-3</v>
      </c>
      <c r="C1298" s="348">
        <v>9.8375000000000008E-3</v>
      </c>
      <c r="D1298" s="348">
        <v>1.28375E-2</v>
      </c>
      <c r="E1298" s="348">
        <v>1.8325000000000001E-2</v>
      </c>
      <c r="F1298" s="349">
        <v>2.13625E-2</v>
      </c>
    </row>
    <row r="1299" spans="1:6" ht="12" thickBot="1">
      <c r="A1299" s="347">
        <v>39876</v>
      </c>
      <c r="B1299" s="348">
        <v>5.1812999999999998E-3</v>
      </c>
      <c r="C1299" s="348">
        <v>9.7938000000000001E-3</v>
      </c>
      <c r="D1299" s="348">
        <v>1.27663E-2</v>
      </c>
      <c r="E1299" s="348">
        <v>1.8168799999999999E-2</v>
      </c>
      <c r="F1299" s="349">
        <v>2.1149999999999999E-2</v>
      </c>
    </row>
    <row r="1300" spans="1:6" ht="12" thickBot="1">
      <c r="A1300" s="347">
        <v>39875</v>
      </c>
      <c r="B1300" s="348">
        <v>5.0749999999999997E-3</v>
      </c>
      <c r="C1300" s="348">
        <v>9.7313E-3</v>
      </c>
      <c r="D1300" s="348">
        <v>1.27125E-2</v>
      </c>
      <c r="E1300" s="348">
        <v>1.8100000000000002E-2</v>
      </c>
      <c r="F1300" s="349">
        <v>2.1087499999999999E-2</v>
      </c>
    </row>
    <row r="1301" spans="1:6" ht="12" thickBot="1">
      <c r="A1301" s="347">
        <v>39874</v>
      </c>
      <c r="B1301" s="348">
        <v>4.9750000000000003E-3</v>
      </c>
      <c r="C1301" s="348">
        <v>9.6688E-3</v>
      </c>
      <c r="D1301" s="348">
        <v>1.26625E-2</v>
      </c>
      <c r="E1301" s="348">
        <v>1.8037500000000001E-2</v>
      </c>
      <c r="F1301" s="349">
        <v>2.1106300000000001E-2</v>
      </c>
    </row>
    <row r="1302" spans="1:6" ht="12" thickBot="1">
      <c r="A1302" s="347">
        <v>39871</v>
      </c>
      <c r="B1302" s="348">
        <v>4.9624999999999999E-3</v>
      </c>
      <c r="C1302" s="348">
        <v>9.6313000000000006E-3</v>
      </c>
      <c r="D1302" s="348">
        <v>1.26438E-2</v>
      </c>
      <c r="E1302" s="348">
        <v>1.80313E-2</v>
      </c>
      <c r="F1302" s="349">
        <v>2.1193799999999999E-2</v>
      </c>
    </row>
    <row r="1303" spans="1:6" ht="12" thickBot="1">
      <c r="A1303" s="347">
        <v>39870</v>
      </c>
      <c r="B1303" s="348">
        <v>4.9687999999999998E-3</v>
      </c>
      <c r="C1303" s="348">
        <v>9.6375000000000002E-3</v>
      </c>
      <c r="D1303" s="348">
        <v>1.26125E-2</v>
      </c>
      <c r="E1303" s="348">
        <v>1.7975000000000001E-2</v>
      </c>
      <c r="F1303" s="349">
        <v>2.1149999999999999E-2</v>
      </c>
    </row>
    <row r="1304" spans="1:6" ht="12" thickBot="1">
      <c r="A1304" s="347">
        <v>39869</v>
      </c>
      <c r="B1304" s="348">
        <v>4.7875000000000001E-3</v>
      </c>
      <c r="C1304" s="348">
        <v>9.5563000000000002E-3</v>
      </c>
      <c r="D1304" s="348">
        <v>1.2562500000000001E-2</v>
      </c>
      <c r="E1304" s="348">
        <v>1.7725000000000001E-2</v>
      </c>
      <c r="F1304" s="349">
        <v>2.0737499999999999E-2</v>
      </c>
    </row>
    <row r="1305" spans="1:6" ht="12" thickBot="1">
      <c r="A1305" s="347">
        <v>39868</v>
      </c>
      <c r="B1305" s="348">
        <v>4.7688000000000001E-3</v>
      </c>
      <c r="C1305" s="348">
        <v>9.5063000000000005E-3</v>
      </c>
      <c r="D1305" s="348">
        <v>1.2500000000000001E-2</v>
      </c>
      <c r="E1305" s="348">
        <v>1.7475000000000001E-2</v>
      </c>
      <c r="F1305" s="349">
        <v>2.04125E-2</v>
      </c>
    </row>
    <row r="1306" spans="1:6" ht="12" thickBot="1">
      <c r="A1306" s="347">
        <v>39867</v>
      </c>
      <c r="B1306" s="348">
        <v>4.7375000000000004E-3</v>
      </c>
      <c r="C1306" s="348">
        <v>9.4938000000000002E-3</v>
      </c>
      <c r="D1306" s="348">
        <v>1.24875E-2</v>
      </c>
      <c r="E1306" s="348">
        <v>1.75125E-2</v>
      </c>
      <c r="F1306" s="349">
        <v>2.0612499999999999E-2</v>
      </c>
    </row>
    <row r="1307" spans="1:6" ht="12" thickBot="1">
      <c r="A1307" s="347">
        <v>39864</v>
      </c>
      <c r="B1307" s="348">
        <v>4.725E-3</v>
      </c>
      <c r="C1307" s="348">
        <v>9.4812999999999998E-3</v>
      </c>
      <c r="D1307" s="348">
        <v>1.24875E-2</v>
      </c>
      <c r="E1307" s="348">
        <v>1.76188E-2</v>
      </c>
      <c r="F1307" s="349">
        <v>2.0750000000000001E-2</v>
      </c>
    </row>
    <row r="1308" spans="1:6" ht="12" thickBot="1">
      <c r="A1308" s="347">
        <v>39863</v>
      </c>
      <c r="B1308" s="348">
        <v>4.7312999999999999E-3</v>
      </c>
      <c r="C1308" s="348">
        <v>9.4999999999999998E-3</v>
      </c>
      <c r="D1308" s="348">
        <v>1.25063E-2</v>
      </c>
      <c r="E1308" s="348">
        <v>1.7893800000000001E-2</v>
      </c>
      <c r="F1308" s="349">
        <v>2.10125E-2</v>
      </c>
    </row>
    <row r="1309" spans="1:6" ht="12" thickBot="1">
      <c r="A1309" s="347">
        <v>39862</v>
      </c>
      <c r="B1309" s="348">
        <v>4.7000000000000002E-3</v>
      </c>
      <c r="C1309" s="348">
        <v>9.4874999999999994E-3</v>
      </c>
      <c r="D1309" s="348">
        <v>1.2512499999999999E-2</v>
      </c>
      <c r="E1309" s="348">
        <v>1.78E-2</v>
      </c>
      <c r="F1309" s="349">
        <v>2.095E-2</v>
      </c>
    </row>
    <row r="1310" spans="1:6" ht="12" thickBot="1">
      <c r="A1310" s="347">
        <v>39861</v>
      </c>
      <c r="B1310" s="348">
        <v>4.6625E-3</v>
      </c>
      <c r="C1310" s="348">
        <v>9.4812999999999998E-3</v>
      </c>
      <c r="D1310" s="348">
        <v>1.24563E-2</v>
      </c>
      <c r="E1310" s="348">
        <v>1.76563E-2</v>
      </c>
      <c r="F1310" s="349">
        <v>2.085E-2</v>
      </c>
    </row>
    <row r="1311" spans="1:6" ht="12" thickBot="1">
      <c r="A1311" s="347">
        <v>39860</v>
      </c>
      <c r="B1311" s="348">
        <v>4.6499999999999996E-3</v>
      </c>
      <c r="C1311" s="348">
        <v>9.4812999999999998E-3</v>
      </c>
      <c r="D1311" s="348">
        <v>1.24563E-2</v>
      </c>
      <c r="E1311" s="348">
        <v>1.7643800000000001E-2</v>
      </c>
      <c r="F1311" s="349">
        <v>2.0893800000000001E-2</v>
      </c>
    </row>
    <row r="1312" spans="1:6" ht="12" thickBot="1">
      <c r="A1312" s="347">
        <v>39857</v>
      </c>
      <c r="B1312" s="348">
        <v>4.6125000000000003E-3</v>
      </c>
      <c r="C1312" s="348">
        <v>9.4438000000000005E-3</v>
      </c>
      <c r="D1312" s="348">
        <v>1.2375000000000001E-2</v>
      </c>
      <c r="E1312" s="348">
        <v>1.7350000000000001E-2</v>
      </c>
      <c r="F1312" s="349">
        <v>2.0343799999999999E-2</v>
      </c>
    </row>
    <row r="1313" spans="1:6" ht="12" thickBot="1">
      <c r="A1313" s="347">
        <v>39856</v>
      </c>
      <c r="B1313" s="348">
        <v>4.5500000000000002E-3</v>
      </c>
      <c r="C1313" s="348">
        <v>9.4187999999999997E-3</v>
      </c>
      <c r="D1313" s="348">
        <v>1.23438E-2</v>
      </c>
      <c r="E1313" s="348">
        <v>1.7237499999999999E-2</v>
      </c>
      <c r="F1313" s="349">
        <v>2.0187500000000001E-2</v>
      </c>
    </row>
    <row r="1314" spans="1:6" ht="12" thickBot="1">
      <c r="A1314" s="347">
        <v>39855</v>
      </c>
      <c r="B1314" s="348">
        <v>4.5250000000000004E-3</v>
      </c>
      <c r="C1314" s="348">
        <v>9.4438000000000005E-3</v>
      </c>
      <c r="D1314" s="348">
        <v>1.2312500000000001E-2</v>
      </c>
      <c r="E1314" s="348">
        <v>1.7250000000000001E-2</v>
      </c>
      <c r="F1314" s="349">
        <v>2.0231300000000001E-2</v>
      </c>
    </row>
    <row r="1315" spans="1:6" ht="12" thickBot="1">
      <c r="A1315" s="347">
        <v>39854</v>
      </c>
      <c r="B1315" s="348">
        <v>4.4688000000000002E-3</v>
      </c>
      <c r="C1315" s="348">
        <v>9.3688E-3</v>
      </c>
      <c r="D1315" s="348">
        <v>1.22188E-2</v>
      </c>
      <c r="E1315" s="348">
        <v>1.6862499999999999E-2</v>
      </c>
      <c r="F1315" s="349">
        <v>1.9868799999999999E-2</v>
      </c>
    </row>
    <row r="1316" spans="1:6" ht="12" thickBot="1">
      <c r="A1316" s="347">
        <v>39853</v>
      </c>
      <c r="B1316" s="348">
        <v>4.4688000000000002E-3</v>
      </c>
      <c r="C1316" s="348">
        <v>9.3938000000000008E-3</v>
      </c>
      <c r="D1316" s="348">
        <v>1.22813E-2</v>
      </c>
      <c r="E1316" s="348">
        <v>1.7043800000000001E-2</v>
      </c>
      <c r="F1316" s="349">
        <v>0.02</v>
      </c>
    </row>
    <row r="1317" spans="1:6" ht="12" thickBot="1">
      <c r="A1317" s="347">
        <v>39850</v>
      </c>
      <c r="B1317" s="348">
        <v>4.4875000000000002E-3</v>
      </c>
      <c r="C1317" s="348">
        <v>9.4999999999999998E-3</v>
      </c>
      <c r="D1317" s="348">
        <v>1.24125E-2</v>
      </c>
      <c r="E1317" s="348">
        <v>1.7475000000000001E-2</v>
      </c>
      <c r="F1317" s="349">
        <v>2.0362499999999999E-2</v>
      </c>
    </row>
    <row r="1318" spans="1:6" ht="12" thickBot="1">
      <c r="A1318" s="347">
        <v>39849</v>
      </c>
      <c r="B1318" s="348">
        <v>4.4749999999999998E-3</v>
      </c>
      <c r="C1318" s="348">
        <v>9.5125000000000001E-3</v>
      </c>
      <c r="D1318" s="348">
        <v>1.24125E-2</v>
      </c>
      <c r="E1318" s="348">
        <v>1.77375E-2</v>
      </c>
      <c r="F1318" s="349">
        <v>2.08875E-2</v>
      </c>
    </row>
    <row r="1319" spans="1:6" ht="12" thickBot="1">
      <c r="A1319" s="347">
        <v>39848</v>
      </c>
      <c r="B1319" s="348">
        <v>4.45E-3</v>
      </c>
      <c r="C1319" s="348">
        <v>9.5125000000000001E-3</v>
      </c>
      <c r="D1319" s="348">
        <v>1.2356300000000001E-2</v>
      </c>
      <c r="E1319" s="348">
        <v>1.77375E-2</v>
      </c>
      <c r="F1319" s="349">
        <v>2.08875E-2</v>
      </c>
    </row>
    <row r="1320" spans="1:6" ht="12" thickBot="1">
      <c r="A1320" s="347">
        <v>39847</v>
      </c>
      <c r="B1320" s="348">
        <v>4.45E-3</v>
      </c>
      <c r="C1320" s="348">
        <v>9.4874999999999994E-3</v>
      </c>
      <c r="D1320" s="348">
        <v>1.23375E-2</v>
      </c>
      <c r="E1320" s="348">
        <v>1.7762500000000001E-2</v>
      </c>
      <c r="F1320" s="349">
        <v>2.0837499999999998E-2</v>
      </c>
    </row>
    <row r="1321" spans="1:6" ht="12" thickBot="1">
      <c r="A1321" s="347">
        <v>39846</v>
      </c>
      <c r="B1321" s="348">
        <v>4.3750000000000004E-3</v>
      </c>
      <c r="C1321" s="348">
        <v>9.4374999999999997E-3</v>
      </c>
      <c r="D1321" s="348">
        <v>1.225E-2</v>
      </c>
      <c r="E1321" s="348">
        <v>1.7600000000000001E-2</v>
      </c>
      <c r="F1321" s="349">
        <v>2.07E-2</v>
      </c>
    </row>
    <row r="1322" spans="1:6" ht="12" thickBot="1">
      <c r="A1322" s="347">
        <v>39843</v>
      </c>
      <c r="B1322" s="348">
        <v>4.1938000000000001E-3</v>
      </c>
      <c r="C1322" s="348">
        <v>9.1313000000000002E-3</v>
      </c>
      <c r="D1322" s="348">
        <v>1.18438E-2</v>
      </c>
      <c r="E1322" s="348">
        <v>1.66E-2</v>
      </c>
      <c r="F1322" s="349">
        <v>1.975E-2</v>
      </c>
    </row>
    <row r="1323" spans="1:6" ht="12" thickBot="1">
      <c r="A1323" s="347">
        <v>39842</v>
      </c>
      <c r="B1323" s="348">
        <v>4.1250000000000002E-3</v>
      </c>
      <c r="C1323" s="348">
        <v>9.0500000000000008E-3</v>
      </c>
      <c r="D1323" s="348">
        <v>1.17E-2</v>
      </c>
      <c r="E1323" s="348">
        <v>1.6337500000000001E-2</v>
      </c>
      <c r="F1323" s="349">
        <v>1.9224999999999999E-2</v>
      </c>
    </row>
    <row r="1324" spans="1:6" ht="12" thickBot="1">
      <c r="A1324" s="347">
        <v>39841</v>
      </c>
      <c r="B1324" s="348">
        <v>4.0937999999999999E-3</v>
      </c>
      <c r="C1324" s="348">
        <v>9.0562999999999998E-3</v>
      </c>
      <c r="D1324" s="348">
        <v>1.17438E-2</v>
      </c>
      <c r="E1324" s="348">
        <v>1.6306299999999999E-2</v>
      </c>
      <c r="F1324" s="349">
        <v>1.9112500000000001E-2</v>
      </c>
    </row>
    <row r="1325" spans="1:6" ht="12" thickBot="1">
      <c r="A1325" s="347">
        <v>39840</v>
      </c>
      <c r="B1325" s="348">
        <v>4.1124999999999998E-3</v>
      </c>
      <c r="C1325" s="348">
        <v>9.1313000000000002E-3</v>
      </c>
      <c r="D1325" s="348">
        <v>1.18438E-2</v>
      </c>
      <c r="E1325" s="348">
        <v>1.6775000000000002E-2</v>
      </c>
      <c r="F1325" s="349">
        <v>1.97063E-2</v>
      </c>
    </row>
    <row r="1326" spans="1:6" ht="12" thickBot="1">
      <c r="A1326" s="347">
        <v>39839</v>
      </c>
      <c r="B1326" s="348">
        <v>4.0875E-3</v>
      </c>
      <c r="C1326" s="348">
        <v>9.1374999999999998E-3</v>
      </c>
      <c r="D1326" s="348">
        <v>1.1837500000000001E-2</v>
      </c>
      <c r="E1326" s="348">
        <v>1.6725E-2</v>
      </c>
      <c r="F1326" s="349">
        <v>1.9662499999999999E-2</v>
      </c>
    </row>
    <row r="1327" spans="1:6" ht="12" thickBot="1">
      <c r="A1327" s="347">
        <v>39836</v>
      </c>
      <c r="B1327" s="348">
        <v>4.0124999999999996E-3</v>
      </c>
      <c r="C1327" s="348">
        <v>9.0375000000000004E-3</v>
      </c>
      <c r="D1327" s="348">
        <v>1.1693800000000001E-2</v>
      </c>
      <c r="E1327" s="348">
        <v>1.6275000000000001E-2</v>
      </c>
      <c r="F1327" s="349">
        <v>1.915E-2</v>
      </c>
    </row>
    <row r="1328" spans="1:6" ht="12" thickBot="1">
      <c r="A1328" s="347">
        <v>39835</v>
      </c>
      <c r="B1328" s="348">
        <v>3.8938000000000002E-3</v>
      </c>
      <c r="C1328" s="348">
        <v>8.9750000000000003E-3</v>
      </c>
      <c r="D1328" s="348">
        <v>1.15938E-2</v>
      </c>
      <c r="E1328" s="348">
        <v>1.6174999999999998E-2</v>
      </c>
      <c r="F1328" s="349">
        <v>1.92125E-2</v>
      </c>
    </row>
    <row r="1329" spans="1:6" ht="12" thickBot="1">
      <c r="A1329" s="347">
        <v>39834</v>
      </c>
      <c r="B1329" s="348">
        <v>3.5625000000000001E-3</v>
      </c>
      <c r="C1329" s="348">
        <v>8.6625000000000001E-3</v>
      </c>
      <c r="D1329" s="348">
        <v>1.125E-2</v>
      </c>
      <c r="E1329" s="348">
        <v>1.5587500000000001E-2</v>
      </c>
      <c r="F1329" s="349">
        <v>1.84E-2</v>
      </c>
    </row>
    <row r="1330" spans="1:6" ht="12" thickBot="1">
      <c r="A1330" s="347">
        <v>39833</v>
      </c>
      <c r="B1330" s="348">
        <v>3.5249999999999999E-3</v>
      </c>
      <c r="C1330" s="348">
        <v>8.6125000000000004E-3</v>
      </c>
      <c r="D1330" s="348">
        <v>1.1225000000000001E-2</v>
      </c>
      <c r="E1330" s="348">
        <v>1.545E-2</v>
      </c>
      <c r="F1330" s="349">
        <v>1.83E-2</v>
      </c>
    </row>
    <row r="1331" spans="1:6" ht="12" thickBot="1">
      <c r="A1331" s="347">
        <v>39832</v>
      </c>
      <c r="B1331" s="348">
        <v>3.5500000000000002E-3</v>
      </c>
      <c r="C1331" s="348">
        <v>8.7375000000000005E-3</v>
      </c>
      <c r="D1331" s="348">
        <v>1.1325E-2</v>
      </c>
      <c r="E1331" s="348">
        <v>1.55625E-2</v>
      </c>
      <c r="F1331" s="349">
        <v>1.8512500000000001E-2</v>
      </c>
    </row>
    <row r="1332" spans="1:6" ht="12" thickBot="1">
      <c r="A1332" s="347">
        <v>39829</v>
      </c>
      <c r="B1332" s="348">
        <v>3.5937999999999999E-3</v>
      </c>
      <c r="C1332" s="348">
        <v>8.8249999999999995E-3</v>
      </c>
      <c r="D1332" s="348">
        <v>1.1424999999999999E-2</v>
      </c>
      <c r="E1332" s="348">
        <v>1.5887499999999999E-2</v>
      </c>
      <c r="F1332" s="349">
        <v>1.89E-2</v>
      </c>
    </row>
    <row r="1333" spans="1:6" ht="12" thickBot="1">
      <c r="A1333" s="347">
        <v>39828</v>
      </c>
      <c r="B1333" s="348">
        <v>3.3375000000000002E-3</v>
      </c>
      <c r="C1333" s="348">
        <v>8.4124999999999998E-3</v>
      </c>
      <c r="D1333" s="348">
        <v>1.0856299999999999E-2</v>
      </c>
      <c r="E1333" s="348">
        <v>1.50125E-2</v>
      </c>
      <c r="F1333" s="349">
        <v>1.7712499999999999E-2</v>
      </c>
    </row>
    <row r="1334" spans="1:6" ht="12" thickBot="1">
      <c r="A1334" s="347">
        <v>39827</v>
      </c>
      <c r="B1334" s="348">
        <v>3.2875000000000001E-3</v>
      </c>
      <c r="C1334" s="348">
        <v>8.3999999999999995E-3</v>
      </c>
      <c r="D1334" s="348">
        <v>1.0825E-2</v>
      </c>
      <c r="E1334" s="348">
        <v>1.47125E-2</v>
      </c>
      <c r="F1334" s="349">
        <v>1.7462499999999999E-2</v>
      </c>
    </row>
    <row r="1335" spans="1:6" ht="12" thickBot="1">
      <c r="A1335" s="347">
        <v>39826</v>
      </c>
      <c r="B1335" s="348">
        <v>3.3313000000000001E-3</v>
      </c>
      <c r="C1335" s="348">
        <v>8.4749999999999999E-3</v>
      </c>
      <c r="D1335" s="348">
        <v>1.09438E-2</v>
      </c>
      <c r="E1335" s="348">
        <v>1.465E-2</v>
      </c>
      <c r="F1335" s="349">
        <v>1.7375000000000002E-2</v>
      </c>
    </row>
    <row r="1336" spans="1:6" ht="12" thickBot="1">
      <c r="A1336" s="347">
        <v>39822</v>
      </c>
      <c r="B1336" s="348">
        <v>3.6625E-3</v>
      </c>
      <c r="C1336" s="348">
        <v>9.6624999999999992E-3</v>
      </c>
      <c r="D1336" s="348">
        <v>1.26E-2</v>
      </c>
      <c r="E1336" s="348">
        <v>1.6E-2</v>
      </c>
      <c r="F1336" s="349">
        <v>1.8550000000000001E-2</v>
      </c>
    </row>
    <row r="1337" spans="1:6" ht="12" thickBot="1">
      <c r="A1337" s="347">
        <v>39821</v>
      </c>
      <c r="B1337" s="348">
        <v>3.8625E-3</v>
      </c>
      <c r="C1337" s="348">
        <v>1.0375000000000001E-2</v>
      </c>
      <c r="D1337" s="348">
        <v>1.3537499999999999E-2</v>
      </c>
      <c r="E1337" s="348">
        <v>1.6862499999999999E-2</v>
      </c>
      <c r="F1337" s="349">
        <v>1.925E-2</v>
      </c>
    </row>
    <row r="1338" spans="1:6" ht="12" thickBot="1">
      <c r="A1338" s="347">
        <v>39820</v>
      </c>
      <c r="B1338" s="348">
        <v>4.0625000000000001E-3</v>
      </c>
      <c r="C1338" s="348">
        <v>1.0725E-2</v>
      </c>
      <c r="D1338" s="348">
        <v>1.3975E-2</v>
      </c>
      <c r="E1338" s="348">
        <v>1.7500000000000002E-2</v>
      </c>
      <c r="F1338" s="349">
        <v>1.9949999999999999E-2</v>
      </c>
    </row>
    <row r="1339" spans="1:6" ht="12" thickBot="1">
      <c r="A1339" s="347">
        <v>39819</v>
      </c>
      <c r="B1339" s="348">
        <v>4.2062999999999996E-3</v>
      </c>
      <c r="C1339" s="348">
        <v>1.09125E-2</v>
      </c>
      <c r="D1339" s="348">
        <v>1.41125E-2</v>
      </c>
      <c r="E1339" s="348">
        <v>1.77E-2</v>
      </c>
      <c r="F1339" s="349">
        <v>2.0462500000000002E-2</v>
      </c>
    </row>
    <row r="1340" spans="1:6" ht="12" thickBot="1">
      <c r="A1340" s="347">
        <v>39818</v>
      </c>
      <c r="B1340" s="348">
        <v>4.2874999999999996E-3</v>
      </c>
      <c r="C1340" s="348">
        <v>1.0975E-2</v>
      </c>
      <c r="D1340" s="348">
        <v>1.4212499999999999E-2</v>
      </c>
      <c r="E1340" s="348">
        <v>1.7937499999999999E-2</v>
      </c>
      <c r="F1340" s="349">
        <v>2.0924999999999999E-2</v>
      </c>
    </row>
    <row r="1341" spans="1:6" ht="12" thickBot="1">
      <c r="A1341" s="350">
        <v>39815</v>
      </c>
      <c r="B1341" s="351">
        <v>4.3E-3</v>
      </c>
      <c r="C1341" s="351">
        <v>1.0987500000000001E-2</v>
      </c>
      <c r="D1341" s="351">
        <v>1.4125E-2</v>
      </c>
      <c r="E1341" s="351">
        <v>1.7524999999999999E-2</v>
      </c>
      <c r="F1341" s="352">
        <v>2.0237499999999999E-2</v>
      </c>
    </row>
    <row r="1342" spans="1:6">
      <c r="A1342" s="341">
        <v>2008</v>
      </c>
      <c r="B1342" s="342"/>
      <c r="C1342" s="342"/>
      <c r="D1342" s="342"/>
      <c r="E1342" s="342"/>
      <c r="F1342" s="342"/>
    </row>
    <row r="1343" spans="1:6" ht="12" thickBot="1">
      <c r="A1343" s="343"/>
      <c r="B1343" s="688"/>
      <c r="C1343" s="689"/>
      <c r="D1343" s="689"/>
      <c r="E1343" s="689"/>
      <c r="F1343" s="690"/>
    </row>
    <row r="1344" spans="1:6" ht="23.25" thickBot="1">
      <c r="A1344" s="344" t="s">
        <v>319</v>
      </c>
      <c r="B1344" s="345" t="s">
        <v>323</v>
      </c>
      <c r="C1344" s="345" t="s">
        <v>324</v>
      </c>
      <c r="D1344" s="345" t="s">
        <v>325</v>
      </c>
      <c r="E1344" s="345" t="s">
        <v>326</v>
      </c>
      <c r="F1344" s="346" t="s">
        <v>327</v>
      </c>
    </row>
    <row r="1345" spans="1:6" ht="12" thickBot="1">
      <c r="A1345" s="347">
        <v>39813</v>
      </c>
      <c r="B1345" s="348">
        <v>4.3625000000000001E-3</v>
      </c>
      <c r="C1345" s="348">
        <v>1.10375E-2</v>
      </c>
      <c r="D1345" s="348">
        <v>1.4250000000000001E-2</v>
      </c>
      <c r="E1345" s="348">
        <v>1.7500000000000002E-2</v>
      </c>
      <c r="F1345" s="349">
        <v>2.00375E-2</v>
      </c>
    </row>
    <row r="1346" spans="1:6" ht="12" thickBot="1">
      <c r="A1346" s="347">
        <v>39812</v>
      </c>
      <c r="B1346" s="348">
        <v>4.4749999999999998E-3</v>
      </c>
      <c r="C1346" s="348">
        <v>1.115E-2</v>
      </c>
      <c r="D1346" s="348">
        <v>1.435E-2</v>
      </c>
      <c r="E1346" s="348">
        <v>1.7749999999999998E-2</v>
      </c>
      <c r="F1346" s="349">
        <v>2.0250000000000001E-2</v>
      </c>
    </row>
    <row r="1347" spans="1:6" ht="12" thickBot="1">
      <c r="A1347" s="347">
        <v>39811</v>
      </c>
      <c r="B1347" s="348">
        <v>4.6125000000000003E-3</v>
      </c>
      <c r="C1347" s="348">
        <v>1.13375E-2</v>
      </c>
      <c r="D1347" s="348">
        <v>1.45875E-2</v>
      </c>
      <c r="E1347" s="348">
        <v>1.81125E-2</v>
      </c>
      <c r="F1347" s="349">
        <v>2.0774999999999998E-2</v>
      </c>
    </row>
    <row r="1348" spans="1:6" ht="12" thickBot="1">
      <c r="A1348" s="347">
        <v>39808</v>
      </c>
      <c r="B1348" s="348">
        <v>4.7124999999999997E-3</v>
      </c>
      <c r="C1348" s="348">
        <v>1.1487499999999999E-2</v>
      </c>
      <c r="D1348" s="348">
        <v>1.4675000000000001E-2</v>
      </c>
      <c r="E1348" s="348">
        <v>1.83E-2</v>
      </c>
      <c r="F1348" s="349">
        <v>2.0912500000000001E-2</v>
      </c>
    </row>
    <row r="1349" spans="1:6" ht="12" thickBot="1">
      <c r="A1349" s="347">
        <v>39806</v>
      </c>
      <c r="B1349" s="348">
        <v>4.7124999999999997E-3</v>
      </c>
      <c r="C1349" s="348">
        <v>1.1487499999999999E-2</v>
      </c>
      <c r="D1349" s="348">
        <v>1.4675000000000001E-2</v>
      </c>
      <c r="E1349" s="348">
        <v>1.83E-2</v>
      </c>
      <c r="F1349" s="349">
        <v>2.0912500000000001E-2</v>
      </c>
    </row>
    <row r="1350" spans="1:6" ht="12" thickBot="1">
      <c r="A1350" s="347">
        <v>39805</v>
      </c>
      <c r="B1350" s="348">
        <v>4.7124999999999997E-3</v>
      </c>
      <c r="C1350" s="348">
        <v>1.1537499999999999E-2</v>
      </c>
      <c r="D1350" s="348">
        <v>1.46625E-2</v>
      </c>
      <c r="E1350" s="348">
        <v>1.8499999999999999E-2</v>
      </c>
      <c r="F1350" s="349">
        <v>2.1062500000000001E-2</v>
      </c>
    </row>
    <row r="1351" spans="1:6" ht="12" thickBot="1">
      <c r="A1351" s="347">
        <v>39804</v>
      </c>
      <c r="B1351" s="348">
        <v>4.6125000000000003E-3</v>
      </c>
      <c r="C1351" s="348">
        <v>1.1537499999999999E-2</v>
      </c>
      <c r="D1351" s="348">
        <v>1.46625E-2</v>
      </c>
      <c r="E1351" s="348">
        <v>1.8262500000000001E-2</v>
      </c>
      <c r="F1351" s="349">
        <v>2.07625E-2</v>
      </c>
    </row>
    <row r="1352" spans="1:6" ht="12" thickBot="1">
      <c r="A1352" s="347">
        <v>39801</v>
      </c>
      <c r="B1352" s="348">
        <v>4.7375000000000004E-3</v>
      </c>
      <c r="C1352" s="348">
        <v>1.175E-2</v>
      </c>
      <c r="D1352" s="348">
        <v>1.4975E-2</v>
      </c>
      <c r="E1352" s="348">
        <v>1.8450000000000001E-2</v>
      </c>
      <c r="F1352" s="349">
        <v>2.0924999999999999E-2</v>
      </c>
    </row>
    <row r="1353" spans="1:6" ht="12" thickBot="1">
      <c r="A1353" s="347">
        <v>39800</v>
      </c>
      <c r="B1353" s="348">
        <v>5.0749999999999997E-3</v>
      </c>
      <c r="C1353" s="348">
        <v>1.2149999999999999E-2</v>
      </c>
      <c r="D1353" s="348">
        <v>1.525E-2</v>
      </c>
      <c r="E1353" s="348">
        <v>1.8637500000000001E-2</v>
      </c>
      <c r="F1353" s="349">
        <v>2.0987499999999999E-2</v>
      </c>
    </row>
    <row r="1354" spans="1:6" ht="12" thickBot="1">
      <c r="A1354" s="347">
        <v>39799</v>
      </c>
      <c r="B1354" s="348">
        <v>5.8125E-3</v>
      </c>
      <c r="C1354" s="348">
        <v>1.2725E-2</v>
      </c>
      <c r="D1354" s="348">
        <v>1.5775000000000001E-2</v>
      </c>
      <c r="E1354" s="348">
        <v>1.8912499999999999E-2</v>
      </c>
      <c r="F1354" s="349">
        <v>2.0987499999999999E-2</v>
      </c>
    </row>
    <row r="1355" spans="1:6" ht="12" thickBot="1">
      <c r="A1355" s="347">
        <v>39798</v>
      </c>
      <c r="B1355" s="348">
        <v>8.8374999999999999E-3</v>
      </c>
      <c r="C1355" s="348">
        <v>1.5675000000000001E-2</v>
      </c>
      <c r="D1355" s="348">
        <v>1.8474999999999998E-2</v>
      </c>
      <c r="E1355" s="348">
        <v>2.1675E-2</v>
      </c>
      <c r="F1355" s="349">
        <v>2.3675000000000002E-2</v>
      </c>
    </row>
    <row r="1356" spans="1:6" ht="12" thickBot="1">
      <c r="A1356" s="347">
        <v>39797</v>
      </c>
      <c r="B1356" s="348">
        <v>9.6124999999999995E-3</v>
      </c>
      <c r="C1356" s="348">
        <v>1.6137499999999999E-2</v>
      </c>
      <c r="D1356" s="348">
        <v>1.87125E-2</v>
      </c>
      <c r="E1356" s="348">
        <v>2.2162500000000002E-2</v>
      </c>
      <c r="F1356" s="349">
        <v>2.4299999999999999E-2</v>
      </c>
    </row>
    <row r="1357" spans="1:6" ht="12" thickBot="1">
      <c r="A1357" s="347">
        <v>39794</v>
      </c>
      <c r="B1357" s="348">
        <v>1.04E-2</v>
      </c>
      <c r="C1357" s="348">
        <v>1.68063E-2</v>
      </c>
      <c r="D1357" s="348">
        <v>1.92125E-2</v>
      </c>
      <c r="E1357" s="348">
        <v>2.2200000000000001E-2</v>
      </c>
      <c r="F1357" s="349">
        <v>2.4187500000000001E-2</v>
      </c>
    </row>
    <row r="1358" spans="1:6" ht="12" thickBot="1">
      <c r="A1358" s="347">
        <v>39793</v>
      </c>
      <c r="B1358" s="348">
        <v>1.1950000000000001E-2</v>
      </c>
      <c r="C1358" s="348">
        <v>1.7675E-2</v>
      </c>
      <c r="D1358" s="348">
        <v>1.9962500000000001E-2</v>
      </c>
      <c r="E1358" s="348">
        <v>2.3224999999999999E-2</v>
      </c>
      <c r="F1358" s="349">
        <v>2.5287500000000001E-2</v>
      </c>
    </row>
    <row r="1359" spans="1:6" ht="12" thickBot="1">
      <c r="A1359" s="347">
        <v>39792</v>
      </c>
      <c r="B1359" s="348">
        <v>1.4387499999999999E-2</v>
      </c>
      <c r="C1359" s="348">
        <v>1.9037499999999999E-2</v>
      </c>
      <c r="D1359" s="348">
        <v>2.0987499999999999E-2</v>
      </c>
      <c r="E1359" s="348">
        <v>2.4375000000000001E-2</v>
      </c>
      <c r="F1359" s="349">
        <v>2.6224999999999998E-2</v>
      </c>
    </row>
    <row r="1360" spans="1:6" ht="12" thickBot="1">
      <c r="A1360" s="347">
        <v>39791</v>
      </c>
      <c r="B1360" s="348">
        <v>1.635E-2</v>
      </c>
      <c r="C1360" s="348">
        <v>1.9924999999999998E-2</v>
      </c>
      <c r="D1360" s="348">
        <v>2.16375E-2</v>
      </c>
      <c r="E1360" s="348">
        <v>2.5250000000000002E-2</v>
      </c>
      <c r="F1360" s="349">
        <v>2.7099999999999999E-2</v>
      </c>
    </row>
    <row r="1361" spans="1:6" ht="12" thickBot="1">
      <c r="A1361" s="347">
        <v>39787</v>
      </c>
      <c r="B1361" s="348">
        <v>1.8675000000000001E-2</v>
      </c>
      <c r="C1361" s="348">
        <v>2.0406299999999999E-2</v>
      </c>
      <c r="D1361" s="348">
        <v>2.1856299999999999E-2</v>
      </c>
      <c r="E1361" s="348">
        <v>2.55125E-2</v>
      </c>
      <c r="F1361" s="349">
        <v>2.6925000000000001E-2</v>
      </c>
    </row>
    <row r="1362" spans="1:6" ht="12" thickBot="1">
      <c r="A1362" s="347">
        <v>39786</v>
      </c>
      <c r="B1362" s="348">
        <v>1.8762500000000001E-2</v>
      </c>
      <c r="C1362" s="348">
        <v>2.0437500000000001E-2</v>
      </c>
      <c r="D1362" s="348">
        <v>2.1925E-2</v>
      </c>
      <c r="E1362" s="348">
        <v>2.52E-2</v>
      </c>
      <c r="F1362" s="349">
        <v>2.6487500000000001E-2</v>
      </c>
    </row>
    <row r="1363" spans="1:6" ht="12" thickBot="1">
      <c r="A1363" s="347">
        <v>39785</v>
      </c>
      <c r="B1363" s="348">
        <v>1.89E-2</v>
      </c>
      <c r="C1363" s="348">
        <v>2.0512499999999999E-2</v>
      </c>
      <c r="D1363" s="348">
        <v>2.2012500000000001E-2</v>
      </c>
      <c r="E1363" s="348">
        <v>2.5562499999999998E-2</v>
      </c>
      <c r="F1363" s="349">
        <v>2.7037499999999999E-2</v>
      </c>
    </row>
    <row r="1364" spans="1:6" ht="12" thickBot="1">
      <c r="A1364" s="347">
        <v>39784</v>
      </c>
      <c r="B1364" s="348">
        <v>1.8987500000000001E-2</v>
      </c>
      <c r="C1364" s="348">
        <v>2.0587500000000002E-2</v>
      </c>
      <c r="D1364" s="348">
        <v>2.2100000000000002E-2</v>
      </c>
      <c r="E1364" s="348">
        <v>2.5687499999999999E-2</v>
      </c>
      <c r="F1364" s="349">
        <v>2.7125E-2</v>
      </c>
    </row>
    <row r="1365" spans="1:6" ht="12" thickBot="1">
      <c r="A1365" s="347">
        <v>39783</v>
      </c>
      <c r="B1365" s="348">
        <v>1.9112500000000001E-2</v>
      </c>
      <c r="C1365" s="348">
        <v>2.06625E-2</v>
      </c>
      <c r="D1365" s="348">
        <v>2.2200000000000001E-2</v>
      </c>
      <c r="E1365" s="348">
        <v>2.6062499999999999E-2</v>
      </c>
      <c r="F1365" s="349">
        <v>2.7737499999999998E-2</v>
      </c>
    </row>
    <row r="1366" spans="1:6" ht="12" thickBot="1">
      <c r="A1366" s="347">
        <v>39780</v>
      </c>
      <c r="B1366" s="348">
        <v>1.9012500000000002E-2</v>
      </c>
      <c r="C1366" s="348">
        <v>2.06E-2</v>
      </c>
      <c r="D1366" s="348">
        <v>2.2168799999999999E-2</v>
      </c>
      <c r="E1366" s="348">
        <v>2.5912500000000002E-2</v>
      </c>
      <c r="F1366" s="349">
        <v>2.76625E-2</v>
      </c>
    </row>
    <row r="1367" spans="1:6" ht="12" thickBot="1">
      <c r="A1367" s="347">
        <v>39779</v>
      </c>
      <c r="B1367" s="348">
        <v>1.9E-2</v>
      </c>
      <c r="C1367" s="348">
        <v>2.0437500000000001E-2</v>
      </c>
      <c r="D1367" s="348">
        <v>2.2024999999999999E-2</v>
      </c>
      <c r="E1367" s="348">
        <v>2.5675E-2</v>
      </c>
      <c r="F1367" s="349">
        <v>2.7474999999999999E-2</v>
      </c>
    </row>
    <row r="1368" spans="1:6" ht="12" thickBot="1">
      <c r="A1368" s="347">
        <v>39778</v>
      </c>
      <c r="B1368" s="348">
        <v>1.4312500000000001E-2</v>
      </c>
      <c r="C1368" s="348">
        <v>2.0312500000000001E-2</v>
      </c>
      <c r="D1368" s="348">
        <v>2.1812499999999999E-2</v>
      </c>
      <c r="E1368" s="348">
        <v>2.5437499999999998E-2</v>
      </c>
      <c r="F1368" s="349">
        <v>2.7175000000000001E-2</v>
      </c>
    </row>
    <row r="1369" spans="1:6" ht="12" thickBot="1">
      <c r="A1369" s="347">
        <v>39777</v>
      </c>
      <c r="B1369" s="348">
        <v>1.43625E-2</v>
      </c>
      <c r="C1369" s="348">
        <v>2.0462500000000002E-2</v>
      </c>
      <c r="D1369" s="348">
        <v>2.1962499999999999E-2</v>
      </c>
      <c r="E1369" s="348">
        <v>2.62125E-2</v>
      </c>
      <c r="F1369" s="349">
        <v>2.8400000000000002E-2</v>
      </c>
    </row>
    <row r="1370" spans="1:6" ht="12" thickBot="1">
      <c r="A1370" s="347">
        <v>39776</v>
      </c>
      <c r="B1370" s="348">
        <v>1.41125E-2</v>
      </c>
      <c r="C1370" s="348">
        <v>2.0262499999999999E-2</v>
      </c>
      <c r="D1370" s="348">
        <v>2.1687499999999998E-2</v>
      </c>
      <c r="E1370" s="348">
        <v>2.5749999999999999E-2</v>
      </c>
      <c r="F1370" s="349">
        <v>2.7587500000000001E-2</v>
      </c>
    </row>
    <row r="1371" spans="1:6" ht="12" thickBot="1">
      <c r="A1371" s="347">
        <v>39773</v>
      </c>
      <c r="B1371" s="348">
        <v>1.3950000000000001E-2</v>
      </c>
      <c r="C1371" s="348">
        <v>2.0212500000000001E-2</v>
      </c>
      <c r="D1371" s="348">
        <v>2.1575E-2</v>
      </c>
      <c r="E1371" s="348">
        <v>2.5687499999999999E-2</v>
      </c>
      <c r="F1371" s="349">
        <v>2.7362500000000001E-2</v>
      </c>
    </row>
    <row r="1372" spans="1:6" ht="12" thickBot="1">
      <c r="A1372" s="347">
        <v>39772</v>
      </c>
      <c r="B1372" s="348">
        <v>1.39875E-2</v>
      </c>
      <c r="C1372" s="348">
        <v>2.02875E-2</v>
      </c>
      <c r="D1372" s="348">
        <v>2.15313E-2</v>
      </c>
      <c r="E1372" s="348">
        <v>2.5437499999999998E-2</v>
      </c>
      <c r="F1372" s="349">
        <v>2.7050000000000001E-2</v>
      </c>
    </row>
    <row r="1373" spans="1:6" ht="12" thickBot="1">
      <c r="A1373" s="347">
        <v>39771</v>
      </c>
      <c r="B1373" s="348">
        <v>1.4137500000000001E-2</v>
      </c>
      <c r="C1373" s="348">
        <v>2.04125E-2</v>
      </c>
      <c r="D1373" s="348">
        <v>2.1725000000000001E-2</v>
      </c>
      <c r="E1373" s="348">
        <v>2.5837499999999999E-2</v>
      </c>
      <c r="F1373" s="349">
        <v>2.7550000000000002E-2</v>
      </c>
    </row>
    <row r="1374" spans="1:6" ht="12" thickBot="1">
      <c r="A1374" s="347">
        <v>39770</v>
      </c>
      <c r="B1374" s="348">
        <v>1.4525E-2</v>
      </c>
      <c r="C1374" s="348">
        <v>2.0899999999999998E-2</v>
      </c>
      <c r="D1374" s="348">
        <v>2.2175E-2</v>
      </c>
      <c r="E1374" s="348">
        <v>2.6312499999999999E-2</v>
      </c>
      <c r="F1374" s="349">
        <v>2.7949999999999999E-2</v>
      </c>
    </row>
    <row r="1375" spans="1:6" ht="12" thickBot="1">
      <c r="A1375" s="347">
        <v>39766</v>
      </c>
      <c r="B1375" s="348">
        <v>1.4775E-2</v>
      </c>
      <c r="C1375" s="348">
        <v>2.1162500000000001E-2</v>
      </c>
      <c r="D1375" s="348">
        <v>2.23625E-2</v>
      </c>
      <c r="E1375" s="348">
        <v>2.7137499999999998E-2</v>
      </c>
      <c r="F1375" s="349">
        <v>2.9049999999999999E-2</v>
      </c>
    </row>
    <row r="1376" spans="1:6" ht="12" thickBot="1">
      <c r="A1376" s="347">
        <v>39765</v>
      </c>
      <c r="B1376" s="348">
        <v>1.4225E-2</v>
      </c>
      <c r="C1376" s="348">
        <v>2.04125E-2</v>
      </c>
      <c r="D1376" s="348">
        <v>2.14875E-2</v>
      </c>
      <c r="E1376" s="348">
        <v>2.5950000000000001E-2</v>
      </c>
      <c r="F1376" s="349">
        <v>2.7512499999999999E-2</v>
      </c>
    </row>
    <row r="1377" spans="1:6" ht="12" thickBot="1">
      <c r="A1377" s="347">
        <v>39764</v>
      </c>
      <c r="B1377" s="348">
        <v>1.4087499999999999E-2</v>
      </c>
      <c r="C1377" s="348">
        <v>2.01625E-2</v>
      </c>
      <c r="D1377" s="348">
        <v>2.1325E-2</v>
      </c>
      <c r="E1377" s="348">
        <v>2.5250000000000002E-2</v>
      </c>
      <c r="F1377" s="349">
        <v>2.6825000000000002E-2</v>
      </c>
    </row>
    <row r="1378" spans="1:6" ht="12" thickBot="1">
      <c r="A1378" s="347">
        <v>39763</v>
      </c>
      <c r="B1378" s="348">
        <v>1.4775E-2</v>
      </c>
      <c r="C1378" s="348">
        <v>2.0462500000000002E-2</v>
      </c>
      <c r="D1378" s="348">
        <v>2.1749999999999999E-2</v>
      </c>
      <c r="E1378" s="348">
        <v>2.545E-2</v>
      </c>
      <c r="F1378" s="349">
        <v>2.7074999999999998E-2</v>
      </c>
    </row>
    <row r="1379" spans="1:6" ht="12" thickBot="1">
      <c r="A1379" s="347">
        <v>39762</v>
      </c>
      <c r="B1379" s="348">
        <v>1.53875E-2</v>
      </c>
      <c r="C1379" s="348">
        <v>2.1037500000000001E-2</v>
      </c>
      <c r="D1379" s="348">
        <v>2.2349999999999998E-2</v>
      </c>
      <c r="E1379" s="348">
        <v>2.62125E-2</v>
      </c>
      <c r="F1379" s="349">
        <v>2.7924999999999998E-2</v>
      </c>
    </row>
    <row r="1380" spans="1:6" ht="12" thickBot="1">
      <c r="A1380" s="347">
        <v>39759</v>
      </c>
      <c r="B1380" s="348">
        <v>1.6225E-2</v>
      </c>
      <c r="C1380" s="348">
        <v>2.1587499999999999E-2</v>
      </c>
      <c r="D1380" s="348">
        <v>2.29E-2</v>
      </c>
      <c r="E1380" s="348">
        <v>2.6387500000000001E-2</v>
      </c>
      <c r="F1380" s="349">
        <v>2.8000000000000001E-2</v>
      </c>
    </row>
    <row r="1381" spans="1:6" ht="12" thickBot="1">
      <c r="A1381" s="347">
        <v>39758</v>
      </c>
      <c r="B1381" s="348">
        <v>1.7675E-2</v>
      </c>
      <c r="C1381" s="348">
        <v>2.2487500000000001E-2</v>
      </c>
      <c r="D1381" s="348">
        <v>2.3875E-2</v>
      </c>
      <c r="E1381" s="348">
        <v>2.6987500000000001E-2</v>
      </c>
      <c r="F1381" s="349">
        <v>2.84125E-2</v>
      </c>
    </row>
    <row r="1382" spans="1:6" ht="12" thickBot="1">
      <c r="A1382" s="347">
        <v>39757</v>
      </c>
      <c r="B1382" s="348">
        <v>1.95625E-2</v>
      </c>
      <c r="C1382" s="348">
        <v>2.4125000000000001E-2</v>
      </c>
      <c r="D1382" s="348">
        <v>2.5062500000000001E-2</v>
      </c>
      <c r="E1382" s="348">
        <v>2.8237499999999999E-2</v>
      </c>
      <c r="F1382" s="349">
        <v>2.9687499999999999E-2</v>
      </c>
    </row>
    <row r="1383" spans="1:6" ht="12" thickBot="1">
      <c r="A1383" s="347">
        <v>39756</v>
      </c>
      <c r="B1383" s="348">
        <v>2.1774999999999999E-2</v>
      </c>
      <c r="C1383" s="348">
        <v>2.6062499999999999E-2</v>
      </c>
      <c r="D1383" s="348">
        <v>2.70625E-2</v>
      </c>
      <c r="E1383" s="348">
        <v>2.9687499999999999E-2</v>
      </c>
      <c r="F1383" s="349">
        <v>3.1050000000000001E-2</v>
      </c>
    </row>
    <row r="1384" spans="1:6" ht="12" thickBot="1">
      <c r="A1384" s="347">
        <v>39752</v>
      </c>
      <c r="B1384" s="348">
        <v>2.5812499999999999E-2</v>
      </c>
      <c r="C1384" s="348">
        <v>2.9662500000000001E-2</v>
      </c>
      <c r="D1384" s="348">
        <v>3.0262500000000001E-2</v>
      </c>
      <c r="E1384" s="348">
        <v>3.1212500000000001E-2</v>
      </c>
      <c r="F1384" s="349">
        <v>3.1737500000000002E-2</v>
      </c>
    </row>
    <row r="1385" spans="1:6" ht="12" thickBot="1">
      <c r="A1385" s="347">
        <v>39749</v>
      </c>
      <c r="B1385" s="348">
        <v>3.1712499999999998E-2</v>
      </c>
      <c r="C1385" s="348">
        <v>3.3212499999999999E-2</v>
      </c>
      <c r="D1385" s="348">
        <v>3.465E-2</v>
      </c>
      <c r="E1385" s="348">
        <v>3.4799999999999998E-2</v>
      </c>
      <c r="F1385" s="349">
        <v>3.49E-2</v>
      </c>
    </row>
    <row r="1386" spans="1:6" ht="12" thickBot="1">
      <c r="A1386" s="347">
        <v>39748</v>
      </c>
      <c r="B1386" s="348">
        <v>3.2187500000000001E-2</v>
      </c>
      <c r="C1386" s="348">
        <v>3.3649999999999999E-2</v>
      </c>
      <c r="D1386" s="348">
        <v>3.5075000000000002E-2</v>
      </c>
      <c r="E1386" s="348">
        <v>3.5125000000000003E-2</v>
      </c>
      <c r="F1386" s="349">
        <v>3.4974999999999999E-2</v>
      </c>
    </row>
    <row r="1387" spans="1:6" ht="12" thickBot="1">
      <c r="A1387" s="347">
        <v>39745</v>
      </c>
      <c r="B1387" s="348">
        <v>3.2399999999999998E-2</v>
      </c>
      <c r="C1387" s="348">
        <v>3.3787499999999998E-2</v>
      </c>
      <c r="D1387" s="348">
        <v>3.5162499999999999E-2</v>
      </c>
      <c r="E1387" s="348">
        <v>3.5275000000000001E-2</v>
      </c>
      <c r="F1387" s="349">
        <v>3.5087500000000001E-2</v>
      </c>
    </row>
    <row r="1388" spans="1:6" ht="12" thickBot="1">
      <c r="A1388" s="347">
        <v>39744</v>
      </c>
      <c r="B1388" s="348">
        <v>3.2587499999999998E-2</v>
      </c>
      <c r="C1388" s="348">
        <v>3.3862499999999997E-2</v>
      </c>
      <c r="D1388" s="348">
        <v>3.5349999999999999E-2</v>
      </c>
      <c r="E1388" s="348">
        <v>3.5299999999999998E-2</v>
      </c>
      <c r="F1388" s="349">
        <v>3.5025000000000001E-2</v>
      </c>
    </row>
    <row r="1389" spans="1:6" ht="12" thickBot="1">
      <c r="A1389" s="347">
        <v>39743</v>
      </c>
      <c r="B1389" s="348">
        <v>3.2750000000000001E-2</v>
      </c>
      <c r="C1389" s="348">
        <v>3.38375E-2</v>
      </c>
      <c r="D1389" s="348">
        <v>3.54125E-2</v>
      </c>
      <c r="E1389" s="348">
        <v>3.4825000000000002E-2</v>
      </c>
      <c r="F1389" s="349">
        <v>3.4237499999999997E-2</v>
      </c>
    </row>
    <row r="1390" spans="1:6" ht="12" thickBot="1">
      <c r="A1390" s="347">
        <v>39742</v>
      </c>
      <c r="B1390" s="348">
        <v>3.5275000000000001E-2</v>
      </c>
      <c r="C1390" s="348">
        <v>3.6975000000000001E-2</v>
      </c>
      <c r="D1390" s="348">
        <v>3.8337499999999997E-2</v>
      </c>
      <c r="E1390" s="348">
        <v>3.6999999999999998E-2</v>
      </c>
      <c r="F1390" s="349">
        <v>3.6018799999999997E-2</v>
      </c>
    </row>
    <row r="1391" spans="1:6" ht="12" thickBot="1">
      <c r="A1391" s="347">
        <v>39741</v>
      </c>
      <c r="B1391" s="348">
        <v>3.7512499999999997E-2</v>
      </c>
      <c r="C1391" s="348">
        <v>3.9337499999999997E-2</v>
      </c>
      <c r="D1391" s="348">
        <v>4.0587499999999999E-2</v>
      </c>
      <c r="E1391" s="348">
        <v>3.8287500000000002E-2</v>
      </c>
      <c r="F1391" s="349">
        <v>3.7124999999999998E-2</v>
      </c>
    </row>
    <row r="1392" spans="1:6" ht="12" thickBot="1">
      <c r="A1392" s="347">
        <v>39738</v>
      </c>
      <c r="B1392" s="348">
        <v>4.1812500000000002E-2</v>
      </c>
      <c r="C1392" s="348">
        <v>4.3062499999999997E-2</v>
      </c>
      <c r="D1392" s="348">
        <v>4.4187499999999998E-2</v>
      </c>
      <c r="E1392" s="348">
        <v>4.1300000000000003E-2</v>
      </c>
      <c r="F1392" s="349">
        <v>3.9725000000000003E-2</v>
      </c>
    </row>
    <row r="1393" spans="1:6" ht="12" thickBot="1">
      <c r="A1393" s="347">
        <v>39737</v>
      </c>
      <c r="B1393" s="348">
        <v>4.2775000000000001E-2</v>
      </c>
      <c r="C1393" s="348">
        <v>4.3999999999999997E-2</v>
      </c>
      <c r="D1393" s="348">
        <v>4.5025000000000003E-2</v>
      </c>
      <c r="E1393" s="348">
        <v>4.1787499999999998E-2</v>
      </c>
      <c r="F1393" s="349">
        <v>3.9787500000000003E-2</v>
      </c>
    </row>
    <row r="1394" spans="1:6" ht="12" thickBot="1">
      <c r="A1394" s="347">
        <v>39736</v>
      </c>
      <c r="B1394" s="348">
        <v>4.3587500000000001E-2</v>
      </c>
      <c r="C1394" s="348">
        <v>4.4650000000000002E-2</v>
      </c>
      <c r="D1394" s="348">
        <v>4.5499999999999999E-2</v>
      </c>
      <c r="E1394" s="348">
        <v>4.22125E-2</v>
      </c>
      <c r="F1394" s="349">
        <v>4.0337499999999998E-2</v>
      </c>
    </row>
    <row r="1395" spans="1:6" ht="12" thickBot="1">
      <c r="A1395" s="347">
        <v>39735</v>
      </c>
      <c r="B1395" s="348">
        <v>4.4687499999999998E-2</v>
      </c>
      <c r="C1395" s="348">
        <v>4.5562499999999999E-2</v>
      </c>
      <c r="D1395" s="348">
        <v>4.6350000000000002E-2</v>
      </c>
      <c r="E1395" s="348">
        <v>4.2549999999999998E-2</v>
      </c>
      <c r="F1395" s="349">
        <v>4.0599999999999997E-2</v>
      </c>
    </row>
    <row r="1396" spans="1:6" ht="12" thickBot="1">
      <c r="A1396" s="347">
        <v>39731</v>
      </c>
      <c r="B1396" s="348">
        <v>4.5874999999999999E-2</v>
      </c>
      <c r="C1396" s="348">
        <v>4.6824999999999999E-2</v>
      </c>
      <c r="D1396" s="348">
        <v>4.8187500000000001E-2</v>
      </c>
      <c r="E1396" s="348">
        <v>4.3937499999999997E-2</v>
      </c>
      <c r="F1396" s="349">
        <v>4.1687500000000002E-2</v>
      </c>
    </row>
    <row r="1397" spans="1:6" ht="12" thickBot="1">
      <c r="A1397" s="347">
        <v>39730</v>
      </c>
      <c r="B1397" s="348">
        <v>4.5124999999999998E-2</v>
      </c>
      <c r="C1397" s="348">
        <v>4.5850000000000002E-2</v>
      </c>
      <c r="D1397" s="348">
        <v>4.7500000000000001E-2</v>
      </c>
      <c r="E1397" s="348">
        <v>4.3749999999999997E-2</v>
      </c>
      <c r="F1397" s="349">
        <v>4.23375E-2</v>
      </c>
    </row>
    <row r="1398" spans="1:6" ht="12" thickBot="1">
      <c r="A1398" s="347">
        <v>39729</v>
      </c>
      <c r="B1398" s="348">
        <v>4.2937500000000003E-2</v>
      </c>
      <c r="C1398" s="348">
        <v>4.3812499999999997E-2</v>
      </c>
      <c r="D1398" s="348">
        <v>4.52375E-2</v>
      </c>
      <c r="E1398" s="348">
        <v>4.1075E-2</v>
      </c>
      <c r="F1398" s="349">
        <v>3.9937500000000001E-2</v>
      </c>
    </row>
    <row r="1399" spans="1:6" ht="12" thickBot="1">
      <c r="A1399" s="347">
        <v>39728</v>
      </c>
      <c r="B1399" s="348">
        <v>4.1399999999999999E-2</v>
      </c>
      <c r="C1399" s="348">
        <v>4.2012500000000001E-2</v>
      </c>
      <c r="D1399" s="348">
        <v>4.3200000000000002E-2</v>
      </c>
      <c r="E1399" s="348">
        <v>4.0162499999999997E-2</v>
      </c>
      <c r="F1399" s="349">
        <v>3.9E-2</v>
      </c>
    </row>
    <row r="1400" spans="1:6" ht="12" thickBot="1">
      <c r="A1400" s="347">
        <v>39727</v>
      </c>
      <c r="B1400" s="348">
        <v>4.0925000000000003E-2</v>
      </c>
      <c r="C1400" s="348">
        <v>4.1737499999999997E-2</v>
      </c>
      <c r="D1400" s="348">
        <v>4.2887500000000002E-2</v>
      </c>
      <c r="E1400" s="348">
        <v>4.0524999999999999E-2</v>
      </c>
      <c r="F1400" s="349">
        <v>3.9524999999999998E-2</v>
      </c>
    </row>
    <row r="1401" spans="1:6" ht="12" thickBot="1">
      <c r="A1401" s="347">
        <v>39724</v>
      </c>
      <c r="B1401" s="348">
        <v>4.1099999999999998E-2</v>
      </c>
      <c r="C1401" s="348">
        <v>4.2062500000000003E-2</v>
      </c>
      <c r="D1401" s="348">
        <v>4.3337500000000001E-2</v>
      </c>
      <c r="E1401" s="348">
        <v>4.1312500000000002E-2</v>
      </c>
      <c r="F1401" s="349">
        <v>4.0575E-2</v>
      </c>
    </row>
    <row r="1402" spans="1:6" ht="12" thickBot="1">
      <c r="A1402" s="347">
        <v>39723</v>
      </c>
      <c r="B1402" s="348">
        <v>4.045E-2</v>
      </c>
      <c r="C1402" s="348">
        <v>4.1062500000000002E-2</v>
      </c>
      <c r="D1402" s="348">
        <v>4.2075000000000001E-2</v>
      </c>
      <c r="E1402" s="348">
        <v>4.0524999999999999E-2</v>
      </c>
      <c r="F1402" s="349">
        <v>4.0224999999999997E-2</v>
      </c>
    </row>
    <row r="1403" spans="1:6" ht="12" thickBot="1">
      <c r="A1403" s="347">
        <v>39722</v>
      </c>
      <c r="B1403" s="348">
        <v>4.0024999999999998E-2</v>
      </c>
      <c r="C1403" s="348">
        <v>4.0537499999999997E-2</v>
      </c>
      <c r="D1403" s="348">
        <v>4.1500000000000002E-2</v>
      </c>
      <c r="E1403" s="348">
        <v>4.0375000000000001E-2</v>
      </c>
      <c r="F1403" s="349">
        <v>4.0349999999999997E-2</v>
      </c>
    </row>
    <row r="1404" spans="1:6" ht="12" thickBot="1">
      <c r="A1404" s="347">
        <v>39721</v>
      </c>
      <c r="B1404" s="348">
        <v>3.9262499999999999E-2</v>
      </c>
      <c r="C1404" s="348">
        <v>3.9662500000000003E-2</v>
      </c>
      <c r="D1404" s="348">
        <v>4.0524999999999999E-2</v>
      </c>
      <c r="E1404" s="348">
        <v>3.9812500000000001E-2</v>
      </c>
      <c r="F1404" s="349">
        <v>3.9625E-2</v>
      </c>
    </row>
    <row r="1405" spans="1:6" ht="12" thickBot="1">
      <c r="A1405" s="347">
        <v>39720</v>
      </c>
      <c r="B1405" s="348">
        <v>3.7199999999999997E-2</v>
      </c>
      <c r="C1405" s="348">
        <v>3.7499999999999999E-2</v>
      </c>
      <c r="D1405" s="348">
        <v>3.8824999999999998E-2</v>
      </c>
      <c r="E1405" s="348">
        <v>3.8337499999999997E-2</v>
      </c>
      <c r="F1405" s="349">
        <v>3.8350000000000002E-2</v>
      </c>
    </row>
    <row r="1406" spans="1:6" ht="12" thickBot="1">
      <c r="A1406" s="347">
        <v>39717</v>
      </c>
      <c r="B1406" s="348">
        <v>3.7037500000000001E-2</v>
      </c>
      <c r="C1406" s="348">
        <v>3.7225000000000001E-2</v>
      </c>
      <c r="D1406" s="348">
        <v>3.7618800000000001E-2</v>
      </c>
      <c r="E1406" s="348">
        <v>3.8762499999999998E-2</v>
      </c>
      <c r="F1406" s="349">
        <v>3.8912500000000003E-2</v>
      </c>
    </row>
    <row r="1407" spans="1:6" ht="12" thickBot="1">
      <c r="A1407" s="347">
        <v>39716</v>
      </c>
      <c r="B1407" s="348">
        <v>3.7087500000000002E-2</v>
      </c>
      <c r="C1407" s="348">
        <v>3.7312499999999998E-2</v>
      </c>
      <c r="D1407" s="348">
        <v>3.7687499999999999E-2</v>
      </c>
      <c r="E1407" s="348">
        <v>3.9750000000000001E-2</v>
      </c>
      <c r="F1407" s="349">
        <v>3.9824999999999999E-2</v>
      </c>
    </row>
    <row r="1408" spans="1:6" ht="12" thickBot="1">
      <c r="A1408" s="347">
        <v>39715</v>
      </c>
      <c r="B1408" s="348">
        <v>3.4287499999999999E-2</v>
      </c>
      <c r="C1408" s="348">
        <v>3.4612499999999997E-2</v>
      </c>
      <c r="D1408" s="348">
        <v>3.4762500000000002E-2</v>
      </c>
      <c r="E1408" s="348">
        <v>3.7012499999999997E-2</v>
      </c>
      <c r="F1408" s="349">
        <v>3.7574999999999997E-2</v>
      </c>
    </row>
    <row r="1409" spans="1:6" ht="12" thickBot="1">
      <c r="A1409" s="347">
        <v>39714</v>
      </c>
      <c r="B1409" s="348">
        <v>3.2068800000000001E-2</v>
      </c>
      <c r="C1409" s="348">
        <v>3.2031299999999999E-2</v>
      </c>
      <c r="D1409" s="348">
        <v>3.2112500000000002E-2</v>
      </c>
      <c r="E1409" s="348">
        <v>3.465E-2</v>
      </c>
      <c r="F1409" s="349">
        <v>3.5368799999999999E-2</v>
      </c>
    </row>
    <row r="1410" spans="1:6" ht="12" thickBot="1">
      <c r="A1410" s="347">
        <v>39713</v>
      </c>
      <c r="B1410" s="348">
        <v>3.1762499999999999E-2</v>
      </c>
      <c r="C1410" s="348">
        <v>3.175E-2</v>
      </c>
      <c r="D1410" s="348">
        <v>3.1975000000000003E-2</v>
      </c>
      <c r="E1410" s="348">
        <v>3.4287499999999999E-2</v>
      </c>
      <c r="F1410" s="349">
        <v>3.5125000000000003E-2</v>
      </c>
    </row>
    <row r="1411" spans="1:6" ht="12" thickBot="1">
      <c r="A1411" s="347">
        <v>39710</v>
      </c>
      <c r="B1411" s="348">
        <v>3.1899999999999998E-2</v>
      </c>
      <c r="C1411" s="348">
        <v>3.2024999999999998E-2</v>
      </c>
      <c r="D1411" s="348">
        <v>3.2099999999999997E-2</v>
      </c>
      <c r="E1411" s="348">
        <v>3.4575000000000002E-2</v>
      </c>
      <c r="F1411" s="349">
        <v>3.45875E-2</v>
      </c>
    </row>
    <row r="1412" spans="1:6" ht="12" thickBot="1">
      <c r="A1412" s="347">
        <v>39709</v>
      </c>
      <c r="B1412" s="348">
        <v>3.1875000000000001E-2</v>
      </c>
      <c r="C1412" s="348">
        <v>3.1925000000000002E-2</v>
      </c>
      <c r="D1412" s="348">
        <v>3.2037499999999997E-2</v>
      </c>
      <c r="E1412" s="348">
        <v>3.3849999999999998E-2</v>
      </c>
      <c r="F1412" s="349">
        <v>3.3512500000000001E-2</v>
      </c>
    </row>
    <row r="1413" spans="1:6" ht="12" thickBot="1">
      <c r="A1413" s="347">
        <v>39708</v>
      </c>
      <c r="B1413" s="348">
        <v>3.0300000000000001E-2</v>
      </c>
      <c r="C1413" s="348">
        <v>3.0487500000000001E-2</v>
      </c>
      <c r="D1413" s="348">
        <v>3.0624999999999999E-2</v>
      </c>
      <c r="E1413" s="348">
        <v>3.2524999999999998E-2</v>
      </c>
      <c r="F1413" s="349">
        <v>3.2250000000000001E-2</v>
      </c>
    </row>
    <row r="1414" spans="1:6" ht="12" thickBot="1">
      <c r="A1414" s="347">
        <v>39707</v>
      </c>
      <c r="B1414" s="348">
        <v>2.7474999999999999E-2</v>
      </c>
      <c r="C1414" s="348">
        <v>2.80375E-2</v>
      </c>
      <c r="D1414" s="348">
        <v>2.87625E-2</v>
      </c>
      <c r="E1414" s="348">
        <v>3.0162499999999998E-2</v>
      </c>
      <c r="F1414" s="349">
        <v>2.9524999999999999E-2</v>
      </c>
    </row>
    <row r="1415" spans="1:6" ht="12" thickBot="1">
      <c r="A1415" s="347">
        <v>39706</v>
      </c>
      <c r="B1415" s="348">
        <v>2.4968799999999999E-2</v>
      </c>
      <c r="C1415" s="348">
        <v>2.6862500000000001E-2</v>
      </c>
      <c r="D1415" s="348">
        <v>2.81625E-2</v>
      </c>
      <c r="E1415" s="348">
        <v>3.0012500000000001E-2</v>
      </c>
      <c r="F1415" s="349">
        <v>2.9874999999999999E-2</v>
      </c>
    </row>
    <row r="1416" spans="1:6" ht="12" thickBot="1">
      <c r="A1416" s="347">
        <v>39703</v>
      </c>
      <c r="B1416" s="348">
        <v>2.4881299999999999E-2</v>
      </c>
      <c r="C1416" s="348">
        <v>2.68563E-2</v>
      </c>
      <c r="D1416" s="348">
        <v>2.8187500000000001E-2</v>
      </c>
      <c r="E1416" s="348">
        <v>3.0893799999999999E-2</v>
      </c>
      <c r="F1416" s="349">
        <v>3.1274999999999997E-2</v>
      </c>
    </row>
    <row r="1417" spans="1:6" ht="12" thickBot="1">
      <c r="A1417" s="347">
        <v>39702</v>
      </c>
      <c r="B1417" s="348">
        <v>2.4875000000000001E-2</v>
      </c>
      <c r="C1417" s="348">
        <v>2.6868800000000002E-2</v>
      </c>
      <c r="D1417" s="348">
        <v>2.8187500000000001E-2</v>
      </c>
      <c r="E1417" s="348">
        <v>3.0843800000000001E-2</v>
      </c>
      <c r="F1417" s="349">
        <v>3.1306300000000002E-2</v>
      </c>
    </row>
    <row r="1418" spans="1:6" ht="12" thickBot="1">
      <c r="A1418" s="347">
        <v>39701</v>
      </c>
      <c r="B1418" s="348">
        <v>2.48688E-2</v>
      </c>
      <c r="C1418" s="348">
        <v>2.6868800000000002E-2</v>
      </c>
      <c r="D1418" s="348">
        <v>2.8187500000000001E-2</v>
      </c>
      <c r="E1418" s="348">
        <v>3.0875E-2</v>
      </c>
      <c r="F1418" s="349">
        <v>3.14375E-2</v>
      </c>
    </row>
    <row r="1419" spans="1:6" ht="12" thickBot="1">
      <c r="A1419" s="347">
        <v>39700</v>
      </c>
      <c r="B1419" s="348">
        <v>2.48875E-2</v>
      </c>
      <c r="C1419" s="348">
        <v>2.6893799999999999E-2</v>
      </c>
      <c r="D1419" s="348">
        <v>2.8181299999999999E-2</v>
      </c>
      <c r="E1419" s="348">
        <v>3.0968800000000001E-2</v>
      </c>
      <c r="F1419" s="349">
        <v>3.1662500000000003E-2</v>
      </c>
    </row>
    <row r="1420" spans="1:6" ht="12" thickBot="1">
      <c r="A1420" s="347">
        <v>39699</v>
      </c>
      <c r="B1420" s="348">
        <v>2.4881299999999999E-2</v>
      </c>
      <c r="C1420" s="348">
        <v>2.68813E-2</v>
      </c>
      <c r="D1420" s="348">
        <v>2.8168800000000001E-2</v>
      </c>
      <c r="E1420" s="348">
        <v>3.1224999999999999E-2</v>
      </c>
      <c r="F1420" s="349">
        <v>3.23875E-2</v>
      </c>
    </row>
    <row r="1421" spans="1:6" ht="12" thickBot="1">
      <c r="A1421" s="347">
        <v>39696</v>
      </c>
      <c r="B1421" s="348">
        <v>2.48688E-2</v>
      </c>
      <c r="C1421" s="348">
        <v>2.6843800000000001E-2</v>
      </c>
      <c r="D1421" s="348">
        <v>2.81438E-2</v>
      </c>
      <c r="E1421" s="348">
        <v>3.1025E-2</v>
      </c>
      <c r="F1421" s="349">
        <v>3.1293799999999997E-2</v>
      </c>
    </row>
    <row r="1422" spans="1:6" ht="12" thickBot="1">
      <c r="A1422" s="347">
        <v>39695</v>
      </c>
      <c r="B1422" s="348">
        <v>2.48688E-2</v>
      </c>
      <c r="C1422" s="348">
        <v>2.6843800000000001E-2</v>
      </c>
      <c r="D1422" s="348">
        <v>2.8150000000000001E-2</v>
      </c>
      <c r="E1422" s="348">
        <v>3.1131300000000001E-2</v>
      </c>
      <c r="F1422" s="349">
        <v>3.18125E-2</v>
      </c>
    </row>
    <row r="1423" spans="1:6" ht="12" thickBot="1">
      <c r="A1423" s="347">
        <v>39694</v>
      </c>
      <c r="B1423" s="348">
        <v>2.4875000000000001E-2</v>
      </c>
      <c r="C1423" s="348">
        <v>2.6849999999999999E-2</v>
      </c>
      <c r="D1423" s="348">
        <v>2.8137499999999999E-2</v>
      </c>
      <c r="E1423" s="348">
        <v>3.1087500000000001E-2</v>
      </c>
      <c r="F1423" s="349">
        <v>3.1787500000000003E-2</v>
      </c>
    </row>
    <row r="1424" spans="1:6" ht="12" thickBot="1">
      <c r="A1424" s="347">
        <v>39693</v>
      </c>
      <c r="B1424" s="348">
        <v>2.4856300000000001E-2</v>
      </c>
      <c r="C1424" s="348">
        <v>2.6831299999999999E-2</v>
      </c>
      <c r="D1424" s="348">
        <v>2.8131300000000001E-2</v>
      </c>
      <c r="E1424" s="348">
        <v>3.1193800000000001E-2</v>
      </c>
      <c r="F1424" s="349">
        <v>3.21438E-2</v>
      </c>
    </row>
    <row r="1425" spans="1:6" ht="12" thickBot="1">
      <c r="A1425" s="347">
        <v>39692</v>
      </c>
      <c r="B1425" s="348">
        <v>2.4856300000000001E-2</v>
      </c>
      <c r="C1425" s="348">
        <v>2.6806300000000002E-2</v>
      </c>
      <c r="D1425" s="348">
        <v>2.81E-2</v>
      </c>
      <c r="E1425" s="348">
        <v>3.1125E-2</v>
      </c>
      <c r="F1425" s="349">
        <v>3.1949999999999999E-2</v>
      </c>
    </row>
    <row r="1426" spans="1:6" ht="12" thickBot="1">
      <c r="A1426" s="347">
        <v>39689</v>
      </c>
      <c r="B1426" s="348">
        <v>2.4856300000000001E-2</v>
      </c>
      <c r="C1426" s="348">
        <v>2.6806300000000002E-2</v>
      </c>
      <c r="D1426" s="348">
        <v>2.8106300000000001E-2</v>
      </c>
      <c r="E1426" s="348">
        <v>3.1175000000000001E-2</v>
      </c>
      <c r="F1426" s="349">
        <v>3.2068800000000001E-2</v>
      </c>
    </row>
    <row r="1427" spans="1:6" ht="12" thickBot="1">
      <c r="A1427" s="347">
        <v>39688</v>
      </c>
      <c r="B1427" s="348">
        <v>2.4862499999999999E-2</v>
      </c>
      <c r="C1427" s="348">
        <v>2.6806300000000002E-2</v>
      </c>
      <c r="D1427" s="348">
        <v>2.81E-2</v>
      </c>
      <c r="E1427" s="348">
        <v>3.1150000000000001E-2</v>
      </c>
      <c r="F1427" s="349">
        <v>3.2068800000000001E-2</v>
      </c>
    </row>
    <row r="1428" spans="1:6" ht="12" thickBot="1">
      <c r="A1428" s="347">
        <v>39687</v>
      </c>
      <c r="B1428" s="348">
        <v>2.4687500000000001E-2</v>
      </c>
      <c r="C1428" s="348">
        <v>2.6800000000000001E-2</v>
      </c>
      <c r="D1428" s="348">
        <v>2.81E-2</v>
      </c>
      <c r="E1428" s="348">
        <v>3.1175000000000001E-2</v>
      </c>
      <c r="F1428" s="349">
        <v>3.2306300000000003E-2</v>
      </c>
    </row>
    <row r="1429" spans="1:6" ht="12" thickBot="1">
      <c r="A1429" s="347">
        <v>39686</v>
      </c>
      <c r="B1429" s="348">
        <v>2.47E-2</v>
      </c>
      <c r="C1429" s="348">
        <v>2.6800000000000001E-2</v>
      </c>
      <c r="D1429" s="348">
        <v>2.8093799999999999E-2</v>
      </c>
      <c r="E1429" s="348">
        <v>3.1162499999999999E-2</v>
      </c>
      <c r="F1429" s="349">
        <v>3.2199999999999999E-2</v>
      </c>
    </row>
    <row r="1430" spans="1:6" ht="12" thickBot="1">
      <c r="A1430" s="347">
        <v>39685</v>
      </c>
      <c r="B1430" s="348">
        <v>2.4718799999999999E-2</v>
      </c>
      <c r="C1430" s="348">
        <v>2.68188E-2</v>
      </c>
      <c r="D1430" s="348">
        <v>2.81E-2</v>
      </c>
      <c r="E1430" s="348">
        <v>3.1137499999999999E-2</v>
      </c>
      <c r="F1430" s="349">
        <v>3.2125000000000001E-2</v>
      </c>
    </row>
    <row r="1431" spans="1:6" ht="12" thickBot="1">
      <c r="A1431" s="347">
        <v>39682</v>
      </c>
      <c r="B1431" s="348">
        <v>2.4718799999999999E-2</v>
      </c>
      <c r="C1431" s="348">
        <v>2.68188E-2</v>
      </c>
      <c r="D1431" s="348">
        <v>2.81E-2</v>
      </c>
      <c r="E1431" s="348">
        <v>3.1137499999999999E-2</v>
      </c>
      <c r="F1431" s="349">
        <v>3.2125000000000001E-2</v>
      </c>
    </row>
    <row r="1432" spans="1:6" ht="12" thickBot="1">
      <c r="A1432" s="347">
        <v>39681</v>
      </c>
      <c r="B1432" s="348">
        <v>2.4718799999999999E-2</v>
      </c>
      <c r="C1432" s="348">
        <v>2.6825000000000002E-2</v>
      </c>
      <c r="D1432" s="348">
        <v>2.8106300000000001E-2</v>
      </c>
      <c r="E1432" s="348">
        <v>3.1025E-2</v>
      </c>
      <c r="F1432" s="349">
        <v>3.1718799999999998E-2</v>
      </c>
    </row>
    <row r="1433" spans="1:6" ht="12" thickBot="1">
      <c r="A1433" s="347">
        <v>39680</v>
      </c>
      <c r="B1433" s="348">
        <v>2.4718799999999999E-2</v>
      </c>
      <c r="C1433" s="348">
        <v>2.68125E-2</v>
      </c>
      <c r="D1433" s="348">
        <v>2.8118799999999999E-2</v>
      </c>
      <c r="E1433" s="348">
        <v>3.1237500000000001E-2</v>
      </c>
      <c r="F1433" s="349">
        <v>3.2343799999999999E-2</v>
      </c>
    </row>
    <row r="1434" spans="1:6" ht="12" thickBot="1">
      <c r="A1434" s="347">
        <v>39679</v>
      </c>
      <c r="B1434" s="348">
        <v>2.4712499999999998E-2</v>
      </c>
      <c r="C1434" s="348">
        <v>2.6806300000000002E-2</v>
      </c>
      <c r="D1434" s="348">
        <v>2.8112499999999999E-2</v>
      </c>
      <c r="E1434" s="348">
        <v>3.1337499999999997E-2</v>
      </c>
      <c r="F1434" s="349">
        <v>3.2437500000000001E-2</v>
      </c>
    </row>
    <row r="1435" spans="1:6" ht="12" thickBot="1">
      <c r="A1435" s="347">
        <v>39675</v>
      </c>
      <c r="B1435" s="348">
        <v>2.4656299999999999E-2</v>
      </c>
      <c r="C1435" s="348">
        <v>2.6768799999999999E-2</v>
      </c>
      <c r="D1435" s="348">
        <v>2.8087500000000001E-2</v>
      </c>
      <c r="E1435" s="348">
        <v>3.1181299999999999E-2</v>
      </c>
      <c r="F1435" s="349">
        <v>3.2550000000000003E-2</v>
      </c>
    </row>
    <row r="1436" spans="1:6" ht="12" thickBot="1">
      <c r="A1436" s="347">
        <v>39674</v>
      </c>
      <c r="B1436" s="348">
        <v>2.4656299999999999E-2</v>
      </c>
      <c r="C1436" s="348">
        <v>2.67563E-2</v>
      </c>
      <c r="D1436" s="348">
        <v>2.8068800000000001E-2</v>
      </c>
      <c r="E1436" s="348">
        <v>3.1037499999999999E-2</v>
      </c>
      <c r="F1436" s="349">
        <v>3.23313E-2</v>
      </c>
    </row>
    <row r="1437" spans="1:6" ht="12" thickBot="1">
      <c r="A1437" s="347">
        <v>39673</v>
      </c>
      <c r="B1437" s="348">
        <v>2.4668800000000001E-2</v>
      </c>
      <c r="C1437" s="348">
        <v>2.67313E-2</v>
      </c>
      <c r="D1437" s="348">
        <v>2.8043800000000001E-2</v>
      </c>
      <c r="E1437" s="348">
        <v>3.0949999999999998E-2</v>
      </c>
      <c r="F1437" s="349">
        <v>3.2181300000000003E-2</v>
      </c>
    </row>
    <row r="1438" spans="1:6" ht="12" thickBot="1">
      <c r="A1438" s="347">
        <v>39672</v>
      </c>
      <c r="B1438" s="348">
        <v>2.46375E-2</v>
      </c>
      <c r="C1438" s="348">
        <v>2.6737500000000001E-2</v>
      </c>
      <c r="D1438" s="348">
        <v>2.8043800000000001E-2</v>
      </c>
      <c r="E1438" s="348">
        <v>3.1031300000000001E-2</v>
      </c>
      <c r="F1438" s="349">
        <v>3.2706300000000001E-2</v>
      </c>
    </row>
    <row r="1439" spans="1:6" ht="12" thickBot="1">
      <c r="A1439" s="347">
        <v>39671</v>
      </c>
      <c r="B1439" s="348">
        <v>2.46375E-2</v>
      </c>
      <c r="C1439" s="348">
        <v>2.67125E-2</v>
      </c>
      <c r="D1439" s="348">
        <v>2.80375E-2</v>
      </c>
      <c r="E1439" s="348">
        <v>3.09375E-2</v>
      </c>
      <c r="F1439" s="349">
        <v>3.2406299999999999E-2</v>
      </c>
    </row>
    <row r="1440" spans="1:6" ht="12" thickBot="1">
      <c r="A1440" s="347">
        <v>39668</v>
      </c>
      <c r="B1440" s="348">
        <v>2.4606300000000001E-2</v>
      </c>
      <c r="C1440" s="348">
        <v>2.66938E-2</v>
      </c>
      <c r="D1440" s="348">
        <v>2.80375E-2</v>
      </c>
      <c r="E1440" s="348">
        <v>3.0912499999999999E-2</v>
      </c>
      <c r="F1440" s="349">
        <v>3.2306300000000003E-2</v>
      </c>
    </row>
    <row r="1441" spans="1:6" ht="12" thickBot="1">
      <c r="A1441" s="347">
        <v>39666</v>
      </c>
      <c r="B1441" s="348">
        <v>2.46188E-2</v>
      </c>
      <c r="C1441" s="348">
        <v>2.6687499999999999E-2</v>
      </c>
      <c r="D1441" s="348">
        <v>2.8025000000000001E-2</v>
      </c>
      <c r="E1441" s="348">
        <v>3.1012499999999998E-2</v>
      </c>
      <c r="F1441" s="349">
        <v>3.2668799999999998E-2</v>
      </c>
    </row>
    <row r="1442" spans="1:6" ht="12" thickBot="1">
      <c r="A1442" s="347">
        <v>39665</v>
      </c>
      <c r="B1442" s="348">
        <v>2.4625000000000001E-2</v>
      </c>
      <c r="C1442" s="348">
        <v>2.6681300000000002E-2</v>
      </c>
      <c r="D1442" s="348">
        <v>2.80188E-2</v>
      </c>
      <c r="E1442" s="348">
        <v>3.1137499999999999E-2</v>
      </c>
      <c r="F1442" s="349">
        <v>3.2812500000000001E-2</v>
      </c>
    </row>
    <row r="1443" spans="1:6" ht="12" thickBot="1">
      <c r="A1443" s="347">
        <v>39664</v>
      </c>
      <c r="B1443" s="348">
        <v>2.4612499999999999E-2</v>
      </c>
      <c r="C1443" s="348">
        <v>2.6643799999999999E-2</v>
      </c>
      <c r="D1443" s="348">
        <v>2.7981300000000001E-2</v>
      </c>
      <c r="E1443" s="348">
        <v>3.0906300000000001E-2</v>
      </c>
      <c r="F1443" s="349">
        <v>3.2418799999999998E-2</v>
      </c>
    </row>
    <row r="1444" spans="1:6" ht="12" thickBot="1">
      <c r="A1444" s="347">
        <v>39661</v>
      </c>
      <c r="B1444" s="348">
        <v>2.46E-2</v>
      </c>
      <c r="C1444" s="348">
        <v>2.6618800000000001E-2</v>
      </c>
      <c r="D1444" s="348">
        <v>2.7943800000000001E-2</v>
      </c>
      <c r="E1444" s="348">
        <v>3.075E-2</v>
      </c>
      <c r="F1444" s="349">
        <v>3.2224999999999997E-2</v>
      </c>
    </row>
    <row r="1445" spans="1:6" ht="12" thickBot="1">
      <c r="A1445" s="347">
        <v>39660</v>
      </c>
      <c r="B1445" s="348">
        <v>2.4612499999999999E-2</v>
      </c>
      <c r="C1445" s="348">
        <v>2.6624999999999999E-2</v>
      </c>
      <c r="D1445" s="348">
        <v>2.79125E-2</v>
      </c>
      <c r="E1445" s="348">
        <v>3.08375E-2</v>
      </c>
      <c r="F1445" s="349">
        <v>3.2524999999999998E-2</v>
      </c>
    </row>
    <row r="1446" spans="1:6" ht="12" thickBot="1">
      <c r="A1446" s="347">
        <v>39659</v>
      </c>
      <c r="B1446" s="348">
        <v>2.46375E-2</v>
      </c>
      <c r="C1446" s="348">
        <v>2.66763E-2</v>
      </c>
      <c r="D1446" s="348">
        <v>2.8006300000000001E-2</v>
      </c>
      <c r="E1446" s="348">
        <v>3.125E-2</v>
      </c>
      <c r="F1446" s="349">
        <v>3.2875000000000001E-2</v>
      </c>
    </row>
    <row r="1447" spans="1:6" ht="12" thickBot="1">
      <c r="A1447" s="347">
        <v>39658</v>
      </c>
      <c r="B1447" s="348">
        <v>2.4631299999999998E-2</v>
      </c>
      <c r="C1447" s="348">
        <v>2.6656300000000001E-2</v>
      </c>
      <c r="D1447" s="348">
        <v>2.7987499999999998E-2</v>
      </c>
      <c r="E1447" s="348">
        <v>3.1162499999999999E-2</v>
      </c>
      <c r="F1447" s="349">
        <v>3.2806299999999997E-2</v>
      </c>
    </row>
    <row r="1448" spans="1:6" ht="12" thickBot="1">
      <c r="A1448" s="347">
        <v>39657</v>
      </c>
      <c r="B1448" s="348">
        <v>2.4625000000000001E-2</v>
      </c>
      <c r="C1448" s="348">
        <v>2.6637500000000001E-2</v>
      </c>
      <c r="D1448" s="348">
        <v>2.7962500000000001E-2</v>
      </c>
      <c r="E1448" s="348">
        <v>3.1350000000000003E-2</v>
      </c>
      <c r="F1448" s="349">
        <v>3.31375E-2</v>
      </c>
    </row>
    <row r="1449" spans="1:6" ht="12" thickBot="1">
      <c r="A1449" s="347">
        <v>39654</v>
      </c>
      <c r="B1449" s="348">
        <v>2.4575E-2</v>
      </c>
      <c r="C1449" s="348">
        <v>2.6618800000000001E-2</v>
      </c>
      <c r="D1449" s="348">
        <v>2.7931299999999999E-2</v>
      </c>
      <c r="E1449" s="348">
        <v>3.1118799999999999E-2</v>
      </c>
      <c r="F1449" s="349">
        <v>3.2718799999999999E-2</v>
      </c>
    </row>
    <row r="1450" spans="1:6" ht="12" thickBot="1">
      <c r="A1450" s="347">
        <v>39653</v>
      </c>
      <c r="B1450" s="348">
        <v>2.46E-2</v>
      </c>
      <c r="C1450" s="348">
        <v>2.6668799999999999E-2</v>
      </c>
      <c r="D1450" s="348">
        <v>2.7949999999999999E-2</v>
      </c>
      <c r="E1450" s="348">
        <v>3.1568800000000001E-2</v>
      </c>
      <c r="F1450" s="349">
        <v>3.3806299999999997E-2</v>
      </c>
    </row>
    <row r="1451" spans="1:6" ht="12" thickBot="1">
      <c r="A1451" s="347">
        <v>39652</v>
      </c>
      <c r="B1451" s="348">
        <v>2.4612499999999999E-2</v>
      </c>
      <c r="C1451" s="348">
        <v>2.66938E-2</v>
      </c>
      <c r="D1451" s="348">
        <v>2.8000000000000001E-2</v>
      </c>
      <c r="E1451" s="348">
        <v>3.1712499999999998E-2</v>
      </c>
      <c r="F1451" s="349">
        <v>3.4125000000000003E-2</v>
      </c>
    </row>
    <row r="1452" spans="1:6" ht="12" thickBot="1">
      <c r="A1452" s="347">
        <v>39651</v>
      </c>
      <c r="B1452" s="348">
        <v>2.46188E-2</v>
      </c>
      <c r="C1452" s="348">
        <v>2.6668799999999999E-2</v>
      </c>
      <c r="D1452" s="348">
        <v>2.7962500000000001E-2</v>
      </c>
      <c r="E1452" s="348">
        <v>3.1393799999999999E-2</v>
      </c>
      <c r="F1452" s="349">
        <v>3.3381300000000003E-2</v>
      </c>
    </row>
    <row r="1453" spans="1:6" ht="12" thickBot="1">
      <c r="A1453" s="347">
        <v>39650</v>
      </c>
      <c r="B1453" s="348">
        <v>2.4606300000000001E-2</v>
      </c>
      <c r="C1453" s="348">
        <v>2.6681300000000002E-2</v>
      </c>
      <c r="D1453" s="348">
        <v>2.7993799999999999E-2</v>
      </c>
      <c r="E1453" s="348">
        <v>3.1481299999999997E-2</v>
      </c>
      <c r="F1453" s="349">
        <v>3.3562500000000002E-2</v>
      </c>
    </row>
    <row r="1454" spans="1:6" ht="12" thickBot="1">
      <c r="A1454" s="347">
        <v>39647</v>
      </c>
      <c r="B1454" s="348">
        <v>2.4593799999999999E-2</v>
      </c>
      <c r="C1454" s="348">
        <v>2.6612500000000001E-2</v>
      </c>
      <c r="D1454" s="348">
        <v>2.7906299999999998E-2</v>
      </c>
      <c r="E1454" s="348">
        <v>3.1E-2</v>
      </c>
      <c r="F1454" s="349">
        <v>3.2568800000000002E-2</v>
      </c>
    </row>
    <row r="1455" spans="1:6" ht="12" thickBot="1">
      <c r="A1455" s="347">
        <v>39646</v>
      </c>
      <c r="B1455" s="348">
        <v>2.45813E-2</v>
      </c>
      <c r="C1455" s="348">
        <v>2.6612500000000001E-2</v>
      </c>
      <c r="D1455" s="348">
        <v>2.7862499999999998E-2</v>
      </c>
      <c r="E1455" s="348">
        <v>3.0843800000000001E-2</v>
      </c>
      <c r="F1455" s="349">
        <v>3.2118800000000003E-2</v>
      </c>
    </row>
    <row r="1456" spans="1:6" ht="12" thickBot="1">
      <c r="A1456" s="347">
        <v>39645</v>
      </c>
      <c r="B1456" s="348">
        <v>2.4562500000000001E-2</v>
      </c>
      <c r="C1456" s="348">
        <v>2.6606299999999999E-2</v>
      </c>
      <c r="D1456" s="348">
        <v>2.785E-2</v>
      </c>
      <c r="E1456" s="348">
        <v>3.07125E-2</v>
      </c>
      <c r="F1456" s="349">
        <v>3.1506300000000001E-2</v>
      </c>
    </row>
    <row r="1457" spans="1:6" ht="12" thickBot="1">
      <c r="A1457" s="347">
        <v>39644</v>
      </c>
      <c r="B1457" s="348">
        <v>2.45813E-2</v>
      </c>
      <c r="C1457" s="348">
        <v>2.6624999999999999E-2</v>
      </c>
      <c r="D1457" s="348">
        <v>2.78938E-2</v>
      </c>
      <c r="E1457" s="348">
        <v>3.0925000000000001E-2</v>
      </c>
      <c r="F1457" s="349">
        <v>3.1993800000000003E-2</v>
      </c>
    </row>
    <row r="1458" spans="1:6" ht="12" thickBot="1">
      <c r="A1458" s="347">
        <v>39643</v>
      </c>
      <c r="B1458" s="348">
        <v>2.46E-2</v>
      </c>
      <c r="C1458" s="348">
        <v>2.6606299999999999E-2</v>
      </c>
      <c r="D1458" s="348">
        <v>2.7906299999999998E-2</v>
      </c>
      <c r="E1458" s="348">
        <v>3.1224999999999999E-2</v>
      </c>
      <c r="F1458" s="349">
        <v>3.2750000000000001E-2</v>
      </c>
    </row>
    <row r="1459" spans="1:6" ht="12" thickBot="1">
      <c r="A1459" s="347">
        <v>39640</v>
      </c>
      <c r="B1459" s="348">
        <v>2.4575E-2</v>
      </c>
      <c r="C1459" s="348">
        <v>2.6606299999999999E-2</v>
      </c>
      <c r="D1459" s="348">
        <v>2.7906299999999998E-2</v>
      </c>
      <c r="E1459" s="348">
        <v>3.1212500000000001E-2</v>
      </c>
      <c r="F1459" s="349">
        <v>3.2562500000000001E-2</v>
      </c>
    </row>
    <row r="1460" spans="1:6" ht="12" thickBot="1">
      <c r="A1460" s="347">
        <v>39639</v>
      </c>
      <c r="B1460" s="348">
        <v>2.4562500000000001E-2</v>
      </c>
      <c r="C1460" s="348">
        <v>2.6599999999999999E-2</v>
      </c>
      <c r="D1460" s="348">
        <v>2.7881300000000001E-2</v>
      </c>
      <c r="E1460" s="348">
        <v>3.09375E-2</v>
      </c>
      <c r="F1460" s="349">
        <v>3.2050000000000002E-2</v>
      </c>
    </row>
    <row r="1461" spans="1:6" ht="12" thickBot="1">
      <c r="A1461" s="347">
        <v>39638</v>
      </c>
      <c r="B1461" s="348">
        <v>2.4587500000000002E-2</v>
      </c>
      <c r="C1461" s="348">
        <v>2.6612500000000001E-2</v>
      </c>
      <c r="D1461" s="348">
        <v>2.7918800000000001E-2</v>
      </c>
      <c r="E1461" s="348">
        <v>3.1131300000000001E-2</v>
      </c>
      <c r="F1461" s="349">
        <v>3.2487500000000002E-2</v>
      </c>
    </row>
    <row r="1462" spans="1:6" ht="12" thickBot="1">
      <c r="A1462" s="347">
        <v>39637</v>
      </c>
      <c r="B1462" s="348">
        <v>2.4587500000000002E-2</v>
      </c>
      <c r="C1462" s="348">
        <v>2.6612500000000001E-2</v>
      </c>
      <c r="D1462" s="348">
        <v>2.7900000000000001E-2</v>
      </c>
      <c r="E1462" s="348">
        <v>3.0974999999999999E-2</v>
      </c>
      <c r="F1462" s="349">
        <v>3.2224999999999997E-2</v>
      </c>
    </row>
    <row r="1463" spans="1:6" ht="12" thickBot="1">
      <c r="A1463" s="347">
        <v>39636</v>
      </c>
      <c r="B1463" s="348">
        <v>2.4612499999999999E-2</v>
      </c>
      <c r="C1463" s="348">
        <v>2.6606299999999999E-2</v>
      </c>
      <c r="D1463" s="348">
        <v>2.79125E-2</v>
      </c>
      <c r="E1463" s="348">
        <v>3.1156300000000001E-2</v>
      </c>
      <c r="F1463" s="349">
        <v>3.295E-2</v>
      </c>
    </row>
    <row r="1464" spans="1:6" ht="12" thickBot="1">
      <c r="A1464" s="347">
        <v>39633</v>
      </c>
      <c r="B1464" s="348">
        <v>2.4612499999999999E-2</v>
      </c>
      <c r="C1464" s="348">
        <v>2.6599999999999999E-2</v>
      </c>
      <c r="D1464" s="348">
        <v>2.78938E-2</v>
      </c>
      <c r="E1464" s="348">
        <v>3.1131300000000001E-2</v>
      </c>
      <c r="F1464" s="349">
        <v>3.2937500000000001E-2</v>
      </c>
    </row>
    <row r="1465" spans="1:6" ht="12" thickBot="1">
      <c r="A1465" s="347">
        <v>39632</v>
      </c>
      <c r="B1465" s="348">
        <v>2.46E-2</v>
      </c>
      <c r="C1465" s="348">
        <v>2.6599999999999999E-2</v>
      </c>
      <c r="D1465" s="348">
        <v>2.79125E-2</v>
      </c>
      <c r="E1465" s="348">
        <v>3.1300000000000001E-2</v>
      </c>
      <c r="F1465" s="349">
        <v>3.3250000000000002E-2</v>
      </c>
    </row>
    <row r="1466" spans="1:6" ht="12" thickBot="1">
      <c r="A1466" s="347">
        <v>39631</v>
      </c>
      <c r="B1466" s="348">
        <v>2.4625000000000001E-2</v>
      </c>
      <c r="C1466" s="348">
        <v>2.65875E-2</v>
      </c>
      <c r="D1466" s="348">
        <v>2.79125E-2</v>
      </c>
      <c r="E1466" s="348">
        <v>3.1337499999999997E-2</v>
      </c>
      <c r="F1466" s="349">
        <v>3.3450000000000001E-2</v>
      </c>
    </row>
    <row r="1467" spans="1:6" ht="12" thickBot="1">
      <c r="A1467" s="347">
        <v>39630</v>
      </c>
      <c r="B1467" s="348">
        <v>2.4612499999999999E-2</v>
      </c>
      <c r="C1467" s="348">
        <v>2.6543799999999999E-2</v>
      </c>
      <c r="D1467" s="348">
        <v>2.7875E-2</v>
      </c>
      <c r="E1467" s="348">
        <v>3.1224999999999999E-2</v>
      </c>
      <c r="F1467" s="349">
        <v>3.3237500000000003E-2</v>
      </c>
    </row>
    <row r="1468" spans="1:6" ht="12" thickBot="1">
      <c r="A1468" s="347">
        <v>39626</v>
      </c>
      <c r="B1468" s="348">
        <v>2.47063E-2</v>
      </c>
      <c r="C1468" s="348">
        <v>2.6624999999999999E-2</v>
      </c>
      <c r="D1468" s="348">
        <v>2.79125E-2</v>
      </c>
      <c r="E1468" s="348">
        <v>3.1537500000000003E-2</v>
      </c>
      <c r="F1468" s="349">
        <v>3.3793799999999999E-2</v>
      </c>
    </row>
    <row r="1469" spans="1:6" ht="12" thickBot="1">
      <c r="A1469" s="347">
        <v>39625</v>
      </c>
      <c r="B1469" s="348">
        <v>2.4825E-2</v>
      </c>
      <c r="C1469" s="348">
        <v>2.6681300000000002E-2</v>
      </c>
      <c r="D1469" s="348">
        <v>2.8006300000000001E-2</v>
      </c>
      <c r="E1469" s="348">
        <v>3.1337499999999997E-2</v>
      </c>
      <c r="F1469" s="349">
        <v>3.4412499999999999E-2</v>
      </c>
    </row>
    <row r="1470" spans="1:6" ht="12" thickBot="1">
      <c r="A1470" s="347">
        <v>39624</v>
      </c>
      <c r="B1470" s="348">
        <v>2.4825E-2</v>
      </c>
      <c r="C1470" s="348">
        <v>2.6737500000000001E-2</v>
      </c>
      <c r="D1470" s="348">
        <v>2.80813E-2</v>
      </c>
      <c r="E1470" s="348">
        <v>3.1712499999999998E-2</v>
      </c>
      <c r="F1470" s="349">
        <v>3.5075000000000002E-2</v>
      </c>
    </row>
    <row r="1471" spans="1:6" ht="12" thickBot="1">
      <c r="A1471" s="347">
        <v>39623</v>
      </c>
      <c r="B1471" s="348">
        <v>2.4818799999999999E-2</v>
      </c>
      <c r="C1471" s="348">
        <v>2.6762500000000002E-2</v>
      </c>
      <c r="D1471" s="348">
        <v>2.8093799999999999E-2</v>
      </c>
      <c r="E1471" s="348">
        <v>3.1856299999999997E-2</v>
      </c>
      <c r="F1471" s="349">
        <v>3.5562499999999997E-2</v>
      </c>
    </row>
    <row r="1472" spans="1:6" ht="12" thickBot="1">
      <c r="A1472" s="347">
        <v>39622</v>
      </c>
      <c r="B1472" s="348">
        <v>2.4825E-2</v>
      </c>
      <c r="C1472" s="348">
        <v>2.67313E-2</v>
      </c>
      <c r="D1472" s="348">
        <v>2.8043800000000001E-2</v>
      </c>
      <c r="E1472" s="348">
        <v>3.1800000000000002E-2</v>
      </c>
      <c r="F1472" s="349">
        <v>3.53563E-2</v>
      </c>
    </row>
    <row r="1473" spans="1:6" ht="12" thickBot="1">
      <c r="A1473" s="347">
        <v>39619</v>
      </c>
      <c r="B1473" s="348">
        <v>2.4812500000000001E-2</v>
      </c>
      <c r="C1473" s="348">
        <v>2.6718800000000001E-2</v>
      </c>
      <c r="D1473" s="348">
        <v>2.80188E-2</v>
      </c>
      <c r="E1473" s="348">
        <v>3.1800000000000002E-2</v>
      </c>
      <c r="F1473" s="349">
        <v>3.5450000000000002E-2</v>
      </c>
    </row>
    <row r="1474" spans="1:6" ht="12" thickBot="1">
      <c r="A1474" s="347">
        <v>39618</v>
      </c>
      <c r="B1474" s="348">
        <v>2.4812500000000001E-2</v>
      </c>
      <c r="C1474" s="348">
        <v>2.67125E-2</v>
      </c>
      <c r="D1474" s="348">
        <v>2.8012499999999999E-2</v>
      </c>
      <c r="E1474" s="348">
        <v>3.1818800000000001E-2</v>
      </c>
      <c r="F1474" s="349">
        <v>3.5512500000000002E-2</v>
      </c>
    </row>
    <row r="1475" spans="1:6" ht="12" thickBot="1">
      <c r="A1475" s="347">
        <v>39617</v>
      </c>
      <c r="B1475" s="348">
        <v>2.4818799999999999E-2</v>
      </c>
      <c r="C1475" s="348">
        <v>2.67125E-2</v>
      </c>
      <c r="D1475" s="348">
        <v>2.8025000000000001E-2</v>
      </c>
      <c r="E1475" s="348">
        <v>3.1937500000000001E-2</v>
      </c>
      <c r="F1475" s="349">
        <v>3.5775000000000001E-2</v>
      </c>
    </row>
    <row r="1476" spans="1:6" ht="12" thickBot="1">
      <c r="A1476" s="347">
        <v>39616</v>
      </c>
      <c r="B1476" s="348">
        <v>2.4825E-2</v>
      </c>
      <c r="C1476" s="348">
        <v>2.6749999999999999E-2</v>
      </c>
      <c r="D1476" s="348">
        <v>2.8087500000000001E-2</v>
      </c>
      <c r="E1476" s="348">
        <v>3.2149999999999998E-2</v>
      </c>
      <c r="F1476" s="349">
        <v>3.5937499999999997E-2</v>
      </c>
    </row>
    <row r="1477" spans="1:6" ht="12" thickBot="1">
      <c r="A1477" s="347">
        <v>39615</v>
      </c>
      <c r="B1477" s="348">
        <v>2.4812500000000001E-2</v>
      </c>
      <c r="C1477" s="348">
        <v>2.6762500000000002E-2</v>
      </c>
      <c r="D1477" s="348">
        <v>2.8125000000000001E-2</v>
      </c>
      <c r="E1477" s="348">
        <v>3.2406299999999999E-2</v>
      </c>
      <c r="F1477" s="349">
        <v>3.6637500000000003E-2</v>
      </c>
    </row>
    <row r="1478" spans="1:6" ht="12" thickBot="1">
      <c r="A1478" s="347">
        <v>39612</v>
      </c>
      <c r="B1478" s="348">
        <v>2.4818799999999999E-2</v>
      </c>
      <c r="C1478" s="348">
        <v>2.67563E-2</v>
      </c>
      <c r="D1478" s="348">
        <v>2.8137499999999999E-2</v>
      </c>
      <c r="E1478" s="348">
        <v>3.2550000000000003E-2</v>
      </c>
      <c r="F1478" s="349">
        <v>3.6812499999999998E-2</v>
      </c>
    </row>
    <row r="1479" spans="1:6" ht="12" thickBot="1">
      <c r="A1479" s="347">
        <v>39611</v>
      </c>
      <c r="B1479" s="348">
        <v>2.4712499999999998E-2</v>
      </c>
      <c r="C1479" s="348">
        <v>2.6518799999999999E-2</v>
      </c>
      <c r="D1479" s="348">
        <v>2.7762499999999999E-2</v>
      </c>
      <c r="E1479" s="348">
        <v>3.1331299999999999E-2</v>
      </c>
      <c r="F1479" s="349">
        <v>3.5031300000000001E-2</v>
      </c>
    </row>
    <row r="1480" spans="1:6" ht="12" thickBot="1">
      <c r="A1480" s="347">
        <v>39610</v>
      </c>
      <c r="B1480" s="348">
        <v>2.4768800000000001E-2</v>
      </c>
      <c r="C1480" s="348">
        <v>2.6550000000000001E-2</v>
      </c>
      <c r="D1480" s="348">
        <v>2.7881300000000001E-2</v>
      </c>
      <c r="E1480" s="348">
        <v>3.1537500000000003E-2</v>
      </c>
      <c r="F1480" s="349">
        <v>3.5200000000000002E-2</v>
      </c>
    </row>
    <row r="1481" spans="1:6" ht="12" thickBot="1">
      <c r="A1481" s="347">
        <v>39609</v>
      </c>
      <c r="B1481" s="348">
        <v>2.4750000000000001E-2</v>
      </c>
      <c r="C1481" s="348">
        <v>2.6543799999999999E-2</v>
      </c>
      <c r="D1481" s="348">
        <v>2.7862499999999998E-2</v>
      </c>
      <c r="E1481" s="348">
        <v>3.1699999999999999E-2</v>
      </c>
      <c r="F1481" s="349">
        <v>3.54188E-2</v>
      </c>
    </row>
    <row r="1482" spans="1:6" ht="12" thickBot="1">
      <c r="A1482" s="347">
        <v>39608</v>
      </c>
      <c r="B1482" s="348">
        <v>2.4481300000000001E-2</v>
      </c>
      <c r="C1482" s="348">
        <v>2.57375E-2</v>
      </c>
      <c r="D1482" s="348">
        <v>2.6912499999999999E-2</v>
      </c>
      <c r="E1482" s="348">
        <v>2.9575000000000001E-2</v>
      </c>
      <c r="F1482" s="349">
        <v>3.1875000000000001E-2</v>
      </c>
    </row>
    <row r="1483" spans="1:6" ht="12" thickBot="1">
      <c r="A1483" s="347">
        <v>39605</v>
      </c>
      <c r="B1483" s="348">
        <v>2.44938E-2</v>
      </c>
      <c r="C1483" s="348">
        <v>2.5793799999999999E-2</v>
      </c>
      <c r="D1483" s="348">
        <v>2.6956299999999999E-2</v>
      </c>
      <c r="E1483" s="348">
        <v>2.9693799999999999E-2</v>
      </c>
      <c r="F1483" s="349">
        <v>3.2106299999999997E-2</v>
      </c>
    </row>
    <row r="1484" spans="1:6" ht="12" thickBot="1">
      <c r="A1484" s="347">
        <v>39604</v>
      </c>
      <c r="B1484" s="348">
        <v>2.4481300000000001E-2</v>
      </c>
      <c r="C1484" s="348">
        <v>2.5712499999999999E-2</v>
      </c>
      <c r="D1484" s="348">
        <v>2.6768799999999999E-2</v>
      </c>
      <c r="E1484" s="348">
        <v>2.9187500000000002E-2</v>
      </c>
      <c r="F1484" s="349">
        <v>3.1300000000000001E-2</v>
      </c>
    </row>
    <row r="1485" spans="1:6" ht="12" thickBot="1">
      <c r="A1485" s="347">
        <v>39603</v>
      </c>
      <c r="B1485" s="348">
        <v>2.4500000000000001E-2</v>
      </c>
      <c r="C1485" s="348">
        <v>2.5693799999999999E-2</v>
      </c>
      <c r="D1485" s="348">
        <v>2.6718800000000001E-2</v>
      </c>
      <c r="E1485" s="348">
        <v>2.8912500000000001E-2</v>
      </c>
      <c r="F1485" s="349">
        <v>3.0974999999999999E-2</v>
      </c>
    </row>
    <row r="1486" spans="1:6" ht="12" thickBot="1">
      <c r="A1486" s="347">
        <v>39602</v>
      </c>
      <c r="B1486" s="348">
        <v>2.45125E-2</v>
      </c>
      <c r="C1486" s="348">
        <v>2.5700000000000001E-2</v>
      </c>
      <c r="D1486" s="348">
        <v>2.67313E-2</v>
      </c>
      <c r="E1486" s="348">
        <v>2.8837499999999999E-2</v>
      </c>
      <c r="F1486" s="349">
        <v>3.09625E-2</v>
      </c>
    </row>
    <row r="1487" spans="1:6" ht="12" thickBot="1">
      <c r="A1487" s="347">
        <v>39598</v>
      </c>
      <c r="B1487" s="348">
        <v>2.4575E-2</v>
      </c>
      <c r="C1487" s="348">
        <v>2.5787500000000001E-2</v>
      </c>
      <c r="D1487" s="348">
        <v>2.6806300000000002E-2</v>
      </c>
      <c r="E1487" s="348">
        <v>2.9106300000000002E-2</v>
      </c>
      <c r="F1487" s="349">
        <v>3.1637499999999999E-2</v>
      </c>
    </row>
    <row r="1488" spans="1:6" ht="12" thickBot="1">
      <c r="A1488" s="347">
        <v>39597</v>
      </c>
      <c r="B1488" s="348">
        <v>2.4593799999999999E-2</v>
      </c>
      <c r="C1488" s="348">
        <v>2.5768800000000001E-2</v>
      </c>
      <c r="D1488" s="348">
        <v>2.68188E-2</v>
      </c>
      <c r="E1488" s="348">
        <v>2.9274999999999999E-2</v>
      </c>
      <c r="F1488" s="349">
        <v>3.2050000000000002E-2</v>
      </c>
    </row>
    <row r="1489" spans="1:6" ht="12" thickBot="1">
      <c r="A1489" s="347">
        <v>39596</v>
      </c>
      <c r="B1489" s="348">
        <v>2.38125E-2</v>
      </c>
      <c r="C1489" s="348">
        <v>2.5399999999999999E-2</v>
      </c>
      <c r="D1489" s="348">
        <v>2.6493800000000001E-2</v>
      </c>
      <c r="E1489" s="348">
        <v>2.8587499999999998E-2</v>
      </c>
      <c r="F1489" s="349">
        <v>3.0862500000000001E-2</v>
      </c>
    </row>
    <row r="1490" spans="1:6" ht="12" thickBot="1">
      <c r="A1490" s="347">
        <v>39595</v>
      </c>
      <c r="B1490" s="348">
        <v>2.37875E-2</v>
      </c>
      <c r="C1490" s="348">
        <v>2.53688E-2</v>
      </c>
      <c r="D1490" s="348">
        <v>2.64438E-2</v>
      </c>
      <c r="E1490" s="348">
        <v>2.84938E-2</v>
      </c>
      <c r="F1490" s="349">
        <v>3.0675000000000001E-2</v>
      </c>
    </row>
    <row r="1491" spans="1:6" ht="12" thickBot="1">
      <c r="A1491" s="347">
        <v>39591</v>
      </c>
      <c r="B1491" s="348">
        <v>2.3824999999999999E-2</v>
      </c>
      <c r="C1491" s="348">
        <v>2.5399999999999999E-2</v>
      </c>
      <c r="D1491" s="348">
        <v>2.6456299999999999E-2</v>
      </c>
      <c r="E1491" s="348">
        <v>2.8487499999999999E-2</v>
      </c>
      <c r="F1491" s="349">
        <v>3.06688E-2</v>
      </c>
    </row>
    <row r="1492" spans="1:6" ht="12" thickBot="1">
      <c r="A1492" s="347">
        <v>39590</v>
      </c>
      <c r="B1492" s="348">
        <v>2.3924999999999998E-2</v>
      </c>
      <c r="C1492" s="348">
        <v>2.5381299999999999E-2</v>
      </c>
      <c r="D1492" s="348">
        <v>2.63813E-2</v>
      </c>
      <c r="E1492" s="348">
        <v>2.8087500000000001E-2</v>
      </c>
      <c r="F1492" s="349">
        <v>2.9975000000000002E-2</v>
      </c>
    </row>
    <row r="1493" spans="1:6" ht="12" thickBot="1">
      <c r="A1493" s="347">
        <v>39589</v>
      </c>
      <c r="B1493" s="348">
        <v>2.4043800000000001E-2</v>
      </c>
      <c r="C1493" s="348">
        <v>2.54313E-2</v>
      </c>
      <c r="D1493" s="348">
        <v>2.63813E-2</v>
      </c>
      <c r="E1493" s="348">
        <v>2.7837500000000001E-2</v>
      </c>
      <c r="F1493" s="349">
        <v>2.9512500000000001E-2</v>
      </c>
    </row>
    <row r="1494" spans="1:6" ht="12" thickBot="1">
      <c r="A1494" s="347">
        <v>39588</v>
      </c>
      <c r="B1494" s="348">
        <v>2.4299999999999999E-2</v>
      </c>
      <c r="C1494" s="348">
        <v>2.5687499999999999E-2</v>
      </c>
      <c r="D1494" s="348">
        <v>2.6575000000000001E-2</v>
      </c>
      <c r="E1494" s="348">
        <v>2.8006300000000001E-2</v>
      </c>
      <c r="F1494" s="349">
        <v>2.9762500000000001E-2</v>
      </c>
    </row>
    <row r="1495" spans="1:6" ht="12" thickBot="1">
      <c r="A1495" s="347">
        <v>39587</v>
      </c>
      <c r="B1495" s="348">
        <v>2.45125E-2</v>
      </c>
      <c r="C1495" s="348">
        <v>2.5887500000000001E-2</v>
      </c>
      <c r="D1495" s="348">
        <v>2.6775E-2</v>
      </c>
      <c r="E1495" s="348">
        <v>2.845E-2</v>
      </c>
      <c r="F1495" s="349">
        <v>3.0262500000000001E-2</v>
      </c>
    </row>
    <row r="1496" spans="1:6" ht="12" thickBot="1">
      <c r="A1496" s="347">
        <v>39584</v>
      </c>
      <c r="B1496" s="348">
        <v>2.4787500000000001E-2</v>
      </c>
      <c r="C1496" s="348">
        <v>2.6081300000000002E-2</v>
      </c>
      <c r="D1496" s="348">
        <v>2.6950000000000002E-2</v>
      </c>
      <c r="E1496" s="348">
        <v>2.8862499999999999E-2</v>
      </c>
      <c r="F1496" s="349">
        <v>3.08125E-2</v>
      </c>
    </row>
    <row r="1497" spans="1:6" ht="12" thickBot="1">
      <c r="A1497" s="347">
        <v>39583</v>
      </c>
      <c r="B1497" s="348">
        <v>2.4975000000000001E-2</v>
      </c>
      <c r="C1497" s="348">
        <v>2.63E-2</v>
      </c>
      <c r="D1497" s="348">
        <v>2.71875E-2</v>
      </c>
      <c r="E1497" s="348">
        <v>2.9412500000000001E-2</v>
      </c>
      <c r="F1497" s="349">
        <v>3.1762499999999999E-2</v>
      </c>
    </row>
    <row r="1498" spans="1:6" ht="12" thickBot="1">
      <c r="A1498" s="347">
        <v>39582</v>
      </c>
      <c r="B1498" s="348">
        <v>2.5049999999999999E-2</v>
      </c>
      <c r="C1498" s="348">
        <v>2.6343800000000001E-2</v>
      </c>
      <c r="D1498" s="348">
        <v>2.7199999999999998E-2</v>
      </c>
      <c r="E1498" s="348">
        <v>2.93875E-2</v>
      </c>
      <c r="F1498" s="349">
        <v>3.1681300000000003E-2</v>
      </c>
    </row>
    <row r="1499" spans="1:6" ht="12" thickBot="1">
      <c r="A1499" s="347">
        <v>39581</v>
      </c>
      <c r="B1499" s="348">
        <v>2.5143800000000001E-2</v>
      </c>
      <c r="C1499" s="348">
        <v>2.6200000000000001E-2</v>
      </c>
      <c r="D1499" s="348">
        <v>2.67563E-2</v>
      </c>
      <c r="E1499" s="348">
        <v>2.8275000000000002E-2</v>
      </c>
      <c r="F1499" s="349">
        <v>2.9624999999999999E-2</v>
      </c>
    </row>
    <row r="1500" spans="1:6" ht="12" thickBot="1">
      <c r="A1500" s="347">
        <v>39580</v>
      </c>
      <c r="B1500" s="348">
        <v>2.5293800000000002E-2</v>
      </c>
      <c r="C1500" s="348">
        <v>2.62563E-2</v>
      </c>
      <c r="D1500" s="348">
        <v>2.6781300000000001E-2</v>
      </c>
      <c r="E1500" s="348">
        <v>2.8043800000000001E-2</v>
      </c>
      <c r="F1500" s="349">
        <v>2.92188E-2</v>
      </c>
    </row>
    <row r="1501" spans="1:6" ht="12" thickBot="1">
      <c r="A1501" s="347">
        <v>39577</v>
      </c>
      <c r="B1501" s="348">
        <v>2.5499999999999998E-2</v>
      </c>
      <c r="C1501" s="348">
        <v>2.6356299999999999E-2</v>
      </c>
      <c r="D1501" s="348">
        <v>2.6849999999999999E-2</v>
      </c>
      <c r="E1501" s="348">
        <v>2.7799999999999998E-2</v>
      </c>
      <c r="F1501" s="349">
        <v>2.8725000000000001E-2</v>
      </c>
    </row>
    <row r="1502" spans="1:6" ht="12" thickBot="1">
      <c r="A1502" s="347">
        <v>39576</v>
      </c>
      <c r="B1502" s="348">
        <v>2.5899999999999999E-2</v>
      </c>
      <c r="C1502" s="348">
        <v>2.6643799999999999E-2</v>
      </c>
      <c r="D1502" s="348">
        <v>2.7156300000000001E-2</v>
      </c>
      <c r="E1502" s="348">
        <v>2.8199999999999999E-2</v>
      </c>
      <c r="F1502" s="349">
        <v>2.9437499999999998E-2</v>
      </c>
    </row>
    <row r="1503" spans="1:6" ht="12" thickBot="1">
      <c r="A1503" s="347">
        <v>39575</v>
      </c>
      <c r="B1503" s="348">
        <v>2.62125E-2</v>
      </c>
      <c r="C1503" s="348">
        <v>2.69E-2</v>
      </c>
      <c r="D1503" s="348">
        <v>2.7343800000000001E-2</v>
      </c>
      <c r="E1503" s="348">
        <v>2.8487499999999999E-2</v>
      </c>
      <c r="F1503" s="349">
        <v>2.9981299999999999E-2</v>
      </c>
    </row>
    <row r="1504" spans="1:6" ht="12" thickBot="1">
      <c r="A1504" s="347">
        <v>39574</v>
      </c>
      <c r="B1504" s="348">
        <v>2.6737500000000001E-2</v>
      </c>
      <c r="C1504" s="348">
        <v>2.7237500000000001E-2</v>
      </c>
      <c r="D1504" s="348">
        <v>2.7574999999999999E-2</v>
      </c>
      <c r="E1504" s="348">
        <v>2.87625E-2</v>
      </c>
      <c r="F1504" s="349">
        <v>3.015E-2</v>
      </c>
    </row>
    <row r="1505" spans="1:6" ht="12" thickBot="1">
      <c r="A1505" s="347">
        <v>39570</v>
      </c>
      <c r="B1505" s="348">
        <v>2.6974999999999999E-2</v>
      </c>
      <c r="C1505" s="348">
        <v>2.7375E-2</v>
      </c>
      <c r="D1505" s="348">
        <v>2.7699999999999999E-2</v>
      </c>
      <c r="E1505" s="348">
        <v>2.8737499999999999E-2</v>
      </c>
      <c r="F1505" s="349">
        <v>2.9937499999999999E-2</v>
      </c>
    </row>
    <row r="1506" spans="1:6" ht="12" thickBot="1">
      <c r="A1506" s="347">
        <v>39568</v>
      </c>
      <c r="B1506" s="348">
        <v>2.8025000000000001E-2</v>
      </c>
      <c r="C1506" s="348">
        <v>2.8299999999999999E-2</v>
      </c>
      <c r="D1506" s="348">
        <v>2.8500000000000001E-2</v>
      </c>
      <c r="E1506" s="348">
        <v>2.9649999999999999E-2</v>
      </c>
      <c r="F1506" s="349">
        <v>3.0787499999999999E-2</v>
      </c>
    </row>
    <row r="1507" spans="1:6" ht="12" thickBot="1">
      <c r="A1507" s="347">
        <v>39567</v>
      </c>
      <c r="B1507" s="348">
        <v>2.8275000000000002E-2</v>
      </c>
      <c r="C1507" s="348">
        <v>2.8531299999999999E-2</v>
      </c>
      <c r="D1507" s="348">
        <v>2.8728099999999999E-2</v>
      </c>
      <c r="E1507" s="348">
        <v>2.98625E-2</v>
      </c>
      <c r="F1507" s="349">
        <v>3.1074999999999998E-2</v>
      </c>
    </row>
    <row r="1508" spans="1:6" ht="12" thickBot="1">
      <c r="A1508" s="347">
        <v>39566</v>
      </c>
      <c r="B1508" s="348">
        <v>2.86E-2</v>
      </c>
      <c r="C1508" s="348">
        <v>2.8799999999999999E-2</v>
      </c>
      <c r="D1508" s="348">
        <v>2.9000000000000001E-2</v>
      </c>
      <c r="E1508" s="348">
        <v>3.04E-2</v>
      </c>
      <c r="F1508" s="349">
        <v>3.1800000000000002E-2</v>
      </c>
    </row>
    <row r="1509" spans="1:6" ht="12" thickBot="1">
      <c r="A1509" s="347">
        <v>39563</v>
      </c>
      <c r="B1509" s="348">
        <v>2.8812500000000001E-2</v>
      </c>
      <c r="C1509" s="348">
        <v>2.8981300000000002E-2</v>
      </c>
      <c r="D1509" s="348">
        <v>2.9125000000000002E-2</v>
      </c>
      <c r="E1509" s="348">
        <v>3.0800000000000001E-2</v>
      </c>
      <c r="F1509" s="349">
        <v>3.2349999999999997E-2</v>
      </c>
    </row>
    <row r="1510" spans="1:6" ht="12" thickBot="1">
      <c r="A1510" s="347">
        <v>39562</v>
      </c>
      <c r="B1510" s="348">
        <v>2.8862499999999999E-2</v>
      </c>
      <c r="C1510" s="348">
        <v>2.8962499999999999E-2</v>
      </c>
      <c r="D1510" s="348">
        <v>2.9068799999999999E-2</v>
      </c>
      <c r="E1510" s="348">
        <v>3.0281300000000001E-2</v>
      </c>
      <c r="F1510" s="349">
        <v>3.0775E-2</v>
      </c>
    </row>
    <row r="1511" spans="1:6" ht="12" thickBot="1">
      <c r="A1511" s="347">
        <v>39561</v>
      </c>
      <c r="B1511" s="348">
        <v>2.895E-2</v>
      </c>
      <c r="C1511" s="348">
        <v>2.9062500000000002E-2</v>
      </c>
      <c r="D1511" s="348">
        <v>2.92E-2</v>
      </c>
      <c r="E1511" s="348">
        <v>3.04625E-2</v>
      </c>
      <c r="F1511" s="349">
        <v>3.1112500000000001E-2</v>
      </c>
    </row>
    <row r="1512" spans="1:6" ht="12" thickBot="1">
      <c r="A1512" s="347">
        <v>39560</v>
      </c>
      <c r="B1512" s="348">
        <v>2.895E-2</v>
      </c>
      <c r="C1512" s="348">
        <v>2.9075E-2</v>
      </c>
      <c r="D1512" s="348">
        <v>2.92E-2</v>
      </c>
      <c r="E1512" s="348">
        <v>3.0374999999999999E-2</v>
      </c>
      <c r="F1512" s="349">
        <v>3.0931299999999998E-2</v>
      </c>
    </row>
    <row r="1513" spans="1:6" ht="12" thickBot="1">
      <c r="A1513" s="347">
        <v>39559</v>
      </c>
      <c r="B1513" s="348">
        <v>2.8975000000000001E-2</v>
      </c>
      <c r="C1513" s="348">
        <v>2.9075E-2</v>
      </c>
      <c r="D1513" s="348">
        <v>2.92E-2</v>
      </c>
      <c r="E1513" s="348">
        <v>3.02125E-2</v>
      </c>
      <c r="F1513" s="349">
        <v>3.0599999999999999E-2</v>
      </c>
    </row>
    <row r="1514" spans="1:6" ht="12" thickBot="1">
      <c r="A1514" s="347">
        <v>39556</v>
      </c>
      <c r="B1514" s="348">
        <v>2.8737499999999999E-2</v>
      </c>
      <c r="C1514" s="348">
        <v>2.8899999999999999E-2</v>
      </c>
      <c r="D1514" s="348">
        <v>2.9075E-2</v>
      </c>
      <c r="E1514" s="348">
        <v>3.0187499999999999E-2</v>
      </c>
      <c r="F1514" s="349">
        <v>3.0675000000000001E-2</v>
      </c>
    </row>
    <row r="1515" spans="1:6" ht="12" thickBot="1">
      <c r="A1515" s="347">
        <v>39555</v>
      </c>
      <c r="B1515" s="348">
        <v>2.8000000000000001E-2</v>
      </c>
      <c r="C1515" s="348">
        <v>2.80813E-2</v>
      </c>
      <c r="D1515" s="348">
        <v>2.8174999999999999E-2</v>
      </c>
      <c r="E1515" s="348">
        <v>2.8818799999999999E-2</v>
      </c>
      <c r="F1515" s="349">
        <v>2.9112499999999999E-2</v>
      </c>
    </row>
    <row r="1516" spans="1:6" ht="12" thickBot="1">
      <c r="A1516" s="347">
        <v>39554</v>
      </c>
      <c r="B1516" s="348">
        <v>2.73219E-2</v>
      </c>
      <c r="C1516" s="348">
        <v>2.7324999999999999E-2</v>
      </c>
      <c r="D1516" s="348">
        <v>2.7337500000000001E-2</v>
      </c>
      <c r="E1516" s="348">
        <v>2.7587500000000001E-2</v>
      </c>
      <c r="F1516" s="349">
        <v>2.7375E-2</v>
      </c>
    </row>
    <row r="1517" spans="1:6" ht="12" thickBot="1">
      <c r="A1517" s="347">
        <v>39553</v>
      </c>
      <c r="B1517" s="348">
        <v>2.7162499999999999E-2</v>
      </c>
      <c r="C1517" s="348">
        <v>2.71594E-2</v>
      </c>
      <c r="D1517" s="348">
        <v>2.71594E-2</v>
      </c>
      <c r="E1517" s="348">
        <v>2.71688E-2</v>
      </c>
      <c r="F1517" s="349">
        <v>2.63E-2</v>
      </c>
    </row>
    <row r="1518" spans="1:6" ht="12" thickBot="1">
      <c r="A1518" s="347">
        <v>39552</v>
      </c>
      <c r="B1518" s="348">
        <v>2.7131300000000001E-2</v>
      </c>
      <c r="C1518" s="348">
        <v>2.7074999999999998E-2</v>
      </c>
      <c r="D1518" s="348">
        <v>2.70875E-2</v>
      </c>
      <c r="E1518" s="348">
        <v>2.6868800000000002E-2</v>
      </c>
      <c r="F1518" s="349">
        <v>2.57375E-2</v>
      </c>
    </row>
    <row r="1519" spans="1:6" ht="12" thickBot="1">
      <c r="A1519" s="347">
        <v>39549</v>
      </c>
      <c r="B1519" s="348">
        <v>2.71594E-2</v>
      </c>
      <c r="C1519" s="348">
        <v>2.7137499999999998E-2</v>
      </c>
      <c r="D1519" s="348">
        <v>2.7131300000000001E-2</v>
      </c>
      <c r="E1519" s="348">
        <v>2.7112500000000001E-2</v>
      </c>
      <c r="F1519" s="349">
        <v>2.6368800000000001E-2</v>
      </c>
    </row>
    <row r="1520" spans="1:6" ht="12" thickBot="1">
      <c r="A1520" s="347">
        <v>39548</v>
      </c>
      <c r="B1520" s="348">
        <v>2.7175000000000001E-2</v>
      </c>
      <c r="C1520" s="348">
        <v>2.7131300000000001E-2</v>
      </c>
      <c r="D1520" s="348">
        <v>2.7099999999999999E-2</v>
      </c>
      <c r="E1520" s="348">
        <v>2.68375E-2</v>
      </c>
      <c r="F1520" s="349">
        <v>2.57375E-2</v>
      </c>
    </row>
    <row r="1521" spans="1:6" ht="12" thickBot="1">
      <c r="A1521" s="347">
        <v>39547</v>
      </c>
      <c r="B1521" s="348">
        <v>2.7268799999999999E-2</v>
      </c>
      <c r="C1521" s="348">
        <v>2.7212500000000001E-2</v>
      </c>
      <c r="D1521" s="348">
        <v>2.7156300000000001E-2</v>
      </c>
      <c r="E1521" s="348">
        <v>2.6987500000000001E-2</v>
      </c>
      <c r="F1521" s="349">
        <v>2.6181300000000001E-2</v>
      </c>
    </row>
    <row r="1522" spans="1:6" ht="12" thickBot="1">
      <c r="A1522" s="347">
        <v>39546</v>
      </c>
      <c r="B1522" s="348">
        <v>2.72156E-2</v>
      </c>
      <c r="C1522" s="348">
        <v>2.71688E-2</v>
      </c>
      <c r="D1522" s="348">
        <v>2.7099999999999999E-2</v>
      </c>
      <c r="E1522" s="348">
        <v>2.6800000000000001E-2</v>
      </c>
      <c r="F1522" s="349">
        <v>2.6018800000000002E-2</v>
      </c>
    </row>
    <row r="1523" spans="1:6" ht="12" thickBot="1">
      <c r="A1523" s="347">
        <v>39545</v>
      </c>
      <c r="B1523" s="348">
        <v>2.7243799999999999E-2</v>
      </c>
      <c r="C1523" s="348">
        <v>2.7175000000000001E-2</v>
      </c>
      <c r="D1523" s="348">
        <v>2.7099999999999999E-2</v>
      </c>
      <c r="E1523" s="348">
        <v>2.6800000000000001E-2</v>
      </c>
      <c r="F1523" s="349">
        <v>2.5931300000000001E-2</v>
      </c>
    </row>
    <row r="1524" spans="1:6" ht="12" thickBot="1">
      <c r="A1524" s="347">
        <v>39542</v>
      </c>
      <c r="B1524" s="348">
        <v>2.7387499999999999E-2</v>
      </c>
      <c r="C1524" s="348">
        <v>2.7287499999999999E-2</v>
      </c>
      <c r="D1524" s="348">
        <v>2.7275000000000001E-2</v>
      </c>
      <c r="E1524" s="348">
        <v>2.7199999999999998E-2</v>
      </c>
      <c r="F1524" s="349">
        <v>2.6637500000000001E-2</v>
      </c>
    </row>
    <row r="1525" spans="1:6" ht="12" thickBot="1">
      <c r="A1525" s="347">
        <v>39541</v>
      </c>
      <c r="B1525" s="348">
        <v>2.7412499999999999E-2</v>
      </c>
      <c r="C1525" s="348">
        <v>2.7324999999999999E-2</v>
      </c>
      <c r="D1525" s="348">
        <v>2.7275000000000001E-2</v>
      </c>
      <c r="E1525" s="348">
        <v>2.7199999999999998E-2</v>
      </c>
      <c r="F1525" s="349">
        <v>2.6537499999999999E-2</v>
      </c>
    </row>
    <row r="1526" spans="1:6" ht="12" thickBot="1">
      <c r="A1526" s="347">
        <v>39540</v>
      </c>
      <c r="B1526" s="348">
        <v>2.7099999999999999E-2</v>
      </c>
      <c r="C1526" s="348">
        <v>2.7037499999999999E-2</v>
      </c>
      <c r="D1526" s="348">
        <v>2.7E-2</v>
      </c>
      <c r="E1526" s="348">
        <v>2.6700000000000002E-2</v>
      </c>
      <c r="F1526" s="349">
        <v>2.56125E-2</v>
      </c>
    </row>
    <row r="1527" spans="1:6" ht="12" thickBot="1">
      <c r="A1527" s="347">
        <v>39539</v>
      </c>
      <c r="B1527" s="348">
        <v>2.7E-2</v>
      </c>
      <c r="C1527" s="348">
        <v>2.6925000000000001E-2</v>
      </c>
      <c r="D1527" s="348">
        <v>2.68375E-2</v>
      </c>
      <c r="E1527" s="348">
        <v>2.6162500000000002E-2</v>
      </c>
      <c r="F1527" s="349">
        <v>2.47E-2</v>
      </c>
    </row>
    <row r="1528" spans="1:6" ht="12" thickBot="1">
      <c r="A1528" s="347">
        <v>39538</v>
      </c>
      <c r="B1528" s="348">
        <v>2.7031300000000001E-2</v>
      </c>
      <c r="C1528" s="348">
        <v>2.6950000000000002E-2</v>
      </c>
      <c r="D1528" s="348">
        <v>2.68813E-2</v>
      </c>
      <c r="E1528" s="348">
        <v>2.6143799999999998E-2</v>
      </c>
      <c r="F1528" s="349">
        <v>2.4862499999999999E-2</v>
      </c>
    </row>
    <row r="1529" spans="1:6" ht="12" thickBot="1">
      <c r="A1529" s="347">
        <v>39535</v>
      </c>
      <c r="B1529" s="348">
        <v>2.70875E-2</v>
      </c>
      <c r="C1529" s="348">
        <v>2.7037499999999999E-2</v>
      </c>
      <c r="D1529" s="348">
        <v>2.6974999999999999E-2</v>
      </c>
      <c r="E1529" s="348">
        <v>2.6325000000000001E-2</v>
      </c>
      <c r="F1529" s="349">
        <v>2.5174999999999999E-2</v>
      </c>
    </row>
    <row r="1530" spans="1:6" ht="12" thickBot="1">
      <c r="A1530" s="347">
        <v>39534</v>
      </c>
      <c r="B1530" s="348">
        <v>2.7037499999999999E-2</v>
      </c>
      <c r="C1530" s="348">
        <v>2.7E-2</v>
      </c>
      <c r="D1530" s="348">
        <v>2.69625E-2</v>
      </c>
      <c r="E1530" s="348">
        <v>2.63E-2</v>
      </c>
      <c r="F1530" s="349">
        <v>2.50563E-2</v>
      </c>
    </row>
    <row r="1531" spans="1:6" ht="12" thickBot="1">
      <c r="A1531" s="347">
        <v>39533</v>
      </c>
      <c r="B1531" s="348">
        <v>2.6775E-2</v>
      </c>
      <c r="C1531" s="348">
        <v>2.6737500000000001E-2</v>
      </c>
      <c r="D1531" s="348">
        <v>2.67125E-2</v>
      </c>
      <c r="E1531" s="348">
        <v>2.63188E-2</v>
      </c>
      <c r="F1531" s="349">
        <v>2.5274999999999999E-2</v>
      </c>
    </row>
    <row r="1532" spans="1:6" ht="12" thickBot="1">
      <c r="A1532" s="347">
        <v>39532</v>
      </c>
      <c r="B1532" s="348">
        <v>2.6537499999999999E-2</v>
      </c>
      <c r="C1532" s="348">
        <v>2.6537499999999999E-2</v>
      </c>
      <c r="D1532" s="348">
        <v>2.6550000000000001E-2</v>
      </c>
      <c r="E1532" s="348">
        <v>2.63375E-2</v>
      </c>
      <c r="F1532" s="349">
        <v>2.54875E-2</v>
      </c>
    </row>
    <row r="1533" spans="1:6" ht="12" thickBot="1">
      <c r="A1533" s="347">
        <v>39526</v>
      </c>
      <c r="B1533" s="348">
        <v>2.59875E-2</v>
      </c>
      <c r="C1533" s="348">
        <v>2.5975000000000002E-2</v>
      </c>
      <c r="D1533" s="348">
        <v>2.59875E-2</v>
      </c>
      <c r="E1533" s="348">
        <v>2.4975000000000001E-2</v>
      </c>
      <c r="F1533" s="349">
        <v>2.3387499999999999E-2</v>
      </c>
    </row>
    <row r="1534" spans="1:6" ht="12" thickBot="1">
      <c r="A1534" s="347">
        <v>39525</v>
      </c>
      <c r="B1534" s="348">
        <v>2.5356299999999998E-2</v>
      </c>
      <c r="C1534" s="348">
        <v>2.53688E-2</v>
      </c>
      <c r="D1534" s="348">
        <v>2.5418799999999998E-2</v>
      </c>
      <c r="E1534" s="348">
        <v>2.3824999999999999E-2</v>
      </c>
      <c r="F1534" s="349">
        <v>2.2100000000000002E-2</v>
      </c>
    </row>
    <row r="1535" spans="1:6" ht="12" thickBot="1">
      <c r="A1535" s="347">
        <v>39524</v>
      </c>
      <c r="B1535" s="348">
        <v>2.5587499999999999E-2</v>
      </c>
      <c r="C1535" s="348">
        <v>2.5649999999999999E-2</v>
      </c>
      <c r="D1535" s="348">
        <v>2.5787500000000001E-2</v>
      </c>
      <c r="E1535" s="348">
        <v>2.36625E-2</v>
      </c>
      <c r="F1535" s="349">
        <v>2.17813E-2</v>
      </c>
    </row>
    <row r="1536" spans="1:6" ht="12" thickBot="1">
      <c r="A1536" s="347">
        <v>39521</v>
      </c>
      <c r="B1536" s="348">
        <v>2.775E-2</v>
      </c>
      <c r="C1536" s="348">
        <v>2.77063E-2</v>
      </c>
      <c r="D1536" s="348">
        <v>2.7637499999999999E-2</v>
      </c>
      <c r="E1536" s="348">
        <v>2.67125E-2</v>
      </c>
      <c r="F1536" s="349">
        <v>2.5125000000000001E-2</v>
      </c>
    </row>
    <row r="1537" spans="1:6" ht="12" thickBot="1">
      <c r="A1537" s="347">
        <v>39520</v>
      </c>
      <c r="B1537" s="348">
        <v>2.8174999999999999E-2</v>
      </c>
      <c r="C1537" s="348">
        <v>2.80188E-2</v>
      </c>
      <c r="D1537" s="348">
        <v>2.8000000000000001E-2</v>
      </c>
      <c r="E1537" s="348">
        <v>2.6993799999999998E-2</v>
      </c>
      <c r="F1537" s="349">
        <v>2.5168800000000002E-2</v>
      </c>
    </row>
    <row r="1538" spans="1:6" ht="12" thickBot="1">
      <c r="A1538" s="347">
        <v>39519</v>
      </c>
      <c r="B1538" s="348">
        <v>2.8612499999999999E-2</v>
      </c>
      <c r="C1538" s="348">
        <v>2.8587499999999998E-2</v>
      </c>
      <c r="D1538" s="348">
        <v>2.8500000000000001E-2</v>
      </c>
      <c r="E1538" s="348">
        <v>2.7875E-2</v>
      </c>
      <c r="F1538" s="349">
        <v>2.6468800000000001E-2</v>
      </c>
    </row>
    <row r="1539" spans="1:6" ht="12" thickBot="1">
      <c r="A1539" s="347">
        <v>39518</v>
      </c>
      <c r="B1539" s="348">
        <v>2.8899999999999999E-2</v>
      </c>
      <c r="C1539" s="348">
        <v>2.8799999999999999E-2</v>
      </c>
      <c r="D1539" s="348">
        <v>2.8674999999999999E-2</v>
      </c>
      <c r="E1539" s="348">
        <v>2.7400000000000001E-2</v>
      </c>
      <c r="F1539" s="349">
        <v>2.5700000000000001E-2</v>
      </c>
    </row>
    <row r="1540" spans="1:6" ht="12" thickBot="1">
      <c r="A1540" s="347">
        <v>39517</v>
      </c>
      <c r="B1540" s="348">
        <v>2.9350000000000001E-2</v>
      </c>
      <c r="C1540" s="348">
        <v>2.92E-2</v>
      </c>
      <c r="D1540" s="348">
        <v>2.90125E-2</v>
      </c>
      <c r="E1540" s="348">
        <v>2.78125E-2</v>
      </c>
      <c r="F1540" s="349">
        <v>2.5887500000000001E-2</v>
      </c>
    </row>
    <row r="1541" spans="1:6" ht="12" thickBot="1">
      <c r="A1541" s="347">
        <v>39514</v>
      </c>
      <c r="B1541" s="348">
        <v>0.03</v>
      </c>
      <c r="C1541" s="348">
        <v>2.9812499999999999E-2</v>
      </c>
      <c r="D1541" s="348">
        <v>2.93875E-2</v>
      </c>
      <c r="E1541" s="348">
        <v>2.7843799999999998E-2</v>
      </c>
      <c r="F1541" s="349">
        <v>2.5749999999999999E-2</v>
      </c>
    </row>
    <row r="1542" spans="1:6" ht="12" thickBot="1">
      <c r="A1542" s="347">
        <v>39513</v>
      </c>
      <c r="B1542" s="348">
        <v>3.0581299999999999E-2</v>
      </c>
      <c r="C1542" s="348">
        <v>3.0287499999999998E-2</v>
      </c>
      <c r="D1542" s="348">
        <v>2.9899999999999999E-2</v>
      </c>
      <c r="E1542" s="348">
        <v>2.8924999999999999E-2</v>
      </c>
      <c r="F1542" s="349">
        <v>2.6862500000000001E-2</v>
      </c>
    </row>
    <row r="1543" spans="1:6" ht="12" thickBot="1">
      <c r="A1543" s="347">
        <v>39512</v>
      </c>
      <c r="B1543" s="348">
        <v>3.075E-2</v>
      </c>
      <c r="C1543" s="348">
        <v>3.0387500000000001E-2</v>
      </c>
      <c r="D1543" s="348">
        <v>0.03</v>
      </c>
      <c r="E1543" s="348">
        <v>2.8924999999999999E-2</v>
      </c>
      <c r="F1543" s="349">
        <v>2.6675000000000001E-2</v>
      </c>
    </row>
    <row r="1544" spans="1:6" ht="12" thickBot="1">
      <c r="A1544" s="347">
        <v>39511</v>
      </c>
      <c r="B1544" s="348">
        <v>3.0800000000000001E-2</v>
      </c>
      <c r="C1544" s="348">
        <v>3.0418799999999999E-2</v>
      </c>
      <c r="D1544" s="348">
        <v>3.0081299999999998E-2</v>
      </c>
      <c r="E1544" s="348">
        <v>2.8768800000000001E-2</v>
      </c>
      <c r="F1544" s="349">
        <v>2.6581299999999999E-2</v>
      </c>
    </row>
    <row r="1545" spans="1:6" ht="12" thickBot="1">
      <c r="A1545" s="347">
        <v>39510</v>
      </c>
      <c r="B1545" s="348">
        <v>3.0862500000000001E-2</v>
      </c>
      <c r="C1545" s="348">
        <v>3.0425000000000001E-2</v>
      </c>
      <c r="D1545" s="348">
        <v>3.0143799999999998E-2</v>
      </c>
      <c r="E1545" s="348">
        <v>2.8625000000000001E-2</v>
      </c>
      <c r="F1545" s="349">
        <v>2.62563E-2</v>
      </c>
    </row>
    <row r="1546" spans="1:6" ht="12" thickBot="1">
      <c r="A1546" s="347">
        <v>39507</v>
      </c>
      <c r="B1546" s="348">
        <v>3.11063E-2</v>
      </c>
      <c r="C1546" s="348">
        <v>3.0700000000000002E-2</v>
      </c>
      <c r="D1546" s="348">
        <v>3.0575000000000001E-2</v>
      </c>
      <c r="E1546" s="348">
        <v>2.9312499999999998E-2</v>
      </c>
      <c r="F1546" s="349">
        <v>2.70875E-2</v>
      </c>
    </row>
    <row r="1547" spans="1:6" ht="12" thickBot="1">
      <c r="A1547" s="347">
        <v>39506</v>
      </c>
      <c r="B1547" s="348">
        <v>3.1193800000000001E-2</v>
      </c>
      <c r="C1547" s="348">
        <v>3.0843800000000001E-2</v>
      </c>
      <c r="D1547" s="348">
        <v>3.07563E-2</v>
      </c>
      <c r="E1547" s="348">
        <v>2.9687499999999999E-2</v>
      </c>
      <c r="F1547" s="349">
        <v>2.775E-2</v>
      </c>
    </row>
    <row r="1548" spans="1:6" ht="12" thickBot="1">
      <c r="A1548" s="347">
        <v>39505</v>
      </c>
      <c r="B1548" s="348">
        <v>3.1218800000000001E-2</v>
      </c>
      <c r="C1548" s="348">
        <v>3.0949999999999998E-2</v>
      </c>
      <c r="D1548" s="348">
        <v>3.0849999999999999E-2</v>
      </c>
      <c r="E1548" s="348">
        <v>3.0168799999999999E-2</v>
      </c>
      <c r="F1548" s="349">
        <v>2.82875E-2</v>
      </c>
    </row>
    <row r="1549" spans="1:6" ht="12" thickBot="1">
      <c r="A1549" s="347">
        <v>39504</v>
      </c>
      <c r="B1549" s="348">
        <v>3.125E-2</v>
      </c>
      <c r="C1549" s="348">
        <v>3.1E-2</v>
      </c>
      <c r="D1549" s="348">
        <v>3.09E-2</v>
      </c>
      <c r="E1549" s="348">
        <v>3.0575000000000001E-2</v>
      </c>
      <c r="F1549" s="349">
        <v>2.9250000000000002E-2</v>
      </c>
    </row>
    <row r="1550" spans="1:6" ht="12" thickBot="1">
      <c r="A1550" s="347">
        <v>39503</v>
      </c>
      <c r="B1550" s="348">
        <v>3.1237500000000001E-2</v>
      </c>
      <c r="C1550" s="348">
        <v>3.1E-2</v>
      </c>
      <c r="D1550" s="348">
        <v>3.0893799999999999E-2</v>
      </c>
      <c r="E1550" s="348">
        <v>3.0562499999999999E-2</v>
      </c>
      <c r="F1550" s="349">
        <v>2.9087499999999999E-2</v>
      </c>
    </row>
    <row r="1551" spans="1:6" ht="12" thickBot="1">
      <c r="A1551" s="347">
        <v>39500</v>
      </c>
      <c r="B1551" s="348">
        <v>3.1199999999999999E-2</v>
      </c>
      <c r="C1551" s="348">
        <v>3.0906300000000001E-2</v>
      </c>
      <c r="D1551" s="348">
        <v>3.0800000000000001E-2</v>
      </c>
      <c r="E1551" s="348">
        <v>2.9993800000000001E-2</v>
      </c>
      <c r="F1551" s="349">
        <v>2.82063E-2</v>
      </c>
    </row>
    <row r="1552" spans="1:6" ht="12" thickBot="1">
      <c r="A1552" s="347">
        <v>39499</v>
      </c>
      <c r="B1552" s="348">
        <v>3.1350000000000003E-2</v>
      </c>
      <c r="C1552" s="348">
        <v>3.10438E-2</v>
      </c>
      <c r="D1552" s="348">
        <v>3.0925000000000001E-2</v>
      </c>
      <c r="E1552" s="348">
        <v>3.0706299999999999E-2</v>
      </c>
      <c r="F1552" s="349">
        <v>2.955E-2</v>
      </c>
    </row>
    <row r="1553" spans="1:6" ht="12" thickBot="1">
      <c r="A1553" s="347">
        <v>39498</v>
      </c>
      <c r="B1553" s="348">
        <v>3.1175000000000001E-2</v>
      </c>
      <c r="C1553" s="348">
        <v>3.08813E-2</v>
      </c>
      <c r="D1553" s="348">
        <v>3.0781300000000001E-2</v>
      </c>
      <c r="E1553" s="348">
        <v>3.01938E-2</v>
      </c>
      <c r="F1553" s="349">
        <v>2.8750000000000001E-2</v>
      </c>
    </row>
    <row r="1554" spans="1:6" ht="12" thickBot="1">
      <c r="A1554" s="347">
        <v>39497</v>
      </c>
      <c r="B1554" s="348">
        <v>3.11063E-2</v>
      </c>
      <c r="C1554" s="348">
        <v>3.08375E-2</v>
      </c>
      <c r="D1554" s="348">
        <v>3.0700000000000002E-2</v>
      </c>
      <c r="E1554" s="348">
        <v>2.98E-2</v>
      </c>
      <c r="F1554" s="349">
        <v>2.7806299999999999E-2</v>
      </c>
    </row>
    <row r="1555" spans="1:6" ht="12" thickBot="1">
      <c r="A1555" s="347">
        <v>39496</v>
      </c>
      <c r="B1555" s="348">
        <v>3.1137499999999999E-2</v>
      </c>
      <c r="C1555" s="348">
        <v>3.08375E-2</v>
      </c>
      <c r="D1555" s="348">
        <v>3.0700000000000002E-2</v>
      </c>
      <c r="E1555" s="348">
        <v>2.98E-2</v>
      </c>
      <c r="F1555" s="349">
        <v>2.7712500000000001E-2</v>
      </c>
    </row>
    <row r="1556" spans="1:6" ht="12" thickBot="1">
      <c r="A1556" s="347">
        <v>39493</v>
      </c>
      <c r="B1556" s="348">
        <v>3.11875E-2</v>
      </c>
      <c r="C1556" s="348">
        <v>3.0862500000000001E-2</v>
      </c>
      <c r="D1556" s="348">
        <v>3.0700000000000002E-2</v>
      </c>
      <c r="E1556" s="348">
        <v>2.9693799999999999E-2</v>
      </c>
      <c r="F1556" s="349">
        <v>2.7443800000000001E-2</v>
      </c>
    </row>
    <row r="1557" spans="1:6" ht="12" thickBot="1">
      <c r="A1557" s="347">
        <v>39492</v>
      </c>
      <c r="B1557" s="348">
        <v>3.1162499999999999E-2</v>
      </c>
      <c r="C1557" s="348">
        <v>3.08563E-2</v>
      </c>
      <c r="D1557" s="348">
        <v>3.065E-2</v>
      </c>
      <c r="E1557" s="348">
        <v>2.96125E-2</v>
      </c>
      <c r="F1557" s="349">
        <v>2.7487500000000002E-2</v>
      </c>
    </row>
    <row r="1558" spans="1:6" ht="12" thickBot="1">
      <c r="A1558" s="347">
        <v>39491</v>
      </c>
      <c r="B1558" s="348">
        <v>3.1212500000000001E-2</v>
      </c>
      <c r="C1558" s="348">
        <v>3.09188E-2</v>
      </c>
      <c r="D1558" s="348">
        <v>3.065E-2</v>
      </c>
      <c r="E1558" s="348">
        <v>2.9543799999999999E-2</v>
      </c>
      <c r="F1558" s="349">
        <v>2.7275000000000001E-2</v>
      </c>
    </row>
    <row r="1559" spans="1:6" ht="12" thickBot="1">
      <c r="A1559" s="347">
        <v>39490</v>
      </c>
      <c r="B1559" s="348">
        <v>3.1274999999999997E-2</v>
      </c>
      <c r="C1559" s="348">
        <v>3.0974999999999999E-2</v>
      </c>
      <c r="D1559" s="348">
        <v>3.0675000000000001E-2</v>
      </c>
      <c r="E1559" s="348">
        <v>2.9587499999999999E-2</v>
      </c>
      <c r="F1559" s="349">
        <v>2.7324999999999999E-2</v>
      </c>
    </row>
    <row r="1560" spans="1:6" ht="12" thickBot="1">
      <c r="A1560" s="347">
        <v>39489</v>
      </c>
      <c r="B1560" s="348">
        <v>3.1387499999999999E-2</v>
      </c>
      <c r="C1560" s="348">
        <v>3.1E-2</v>
      </c>
      <c r="D1560" s="348">
        <v>3.0700000000000002E-2</v>
      </c>
      <c r="E1560" s="348">
        <v>2.9624999999999999E-2</v>
      </c>
      <c r="F1560" s="349">
        <v>2.7337500000000001E-2</v>
      </c>
    </row>
    <row r="1561" spans="1:6" ht="12" thickBot="1">
      <c r="A1561" s="347">
        <v>39486</v>
      </c>
      <c r="B1561" s="348">
        <v>3.1537500000000003E-2</v>
      </c>
      <c r="C1561" s="348">
        <v>3.1175000000000001E-2</v>
      </c>
      <c r="D1561" s="348">
        <v>3.08813E-2</v>
      </c>
      <c r="E1561" s="348">
        <v>2.9912500000000002E-2</v>
      </c>
      <c r="F1561" s="349">
        <v>2.7762499999999999E-2</v>
      </c>
    </row>
    <row r="1562" spans="1:6" ht="12" thickBot="1">
      <c r="A1562" s="347">
        <v>39485</v>
      </c>
      <c r="B1562" s="348">
        <v>3.1649999999999998E-2</v>
      </c>
      <c r="C1562" s="348">
        <v>3.1262499999999999E-2</v>
      </c>
      <c r="D1562" s="348">
        <v>3.09625E-2</v>
      </c>
      <c r="E1562" s="348">
        <v>2.9774999999999999E-2</v>
      </c>
      <c r="F1562" s="349">
        <v>2.7300000000000001E-2</v>
      </c>
    </row>
    <row r="1563" spans="1:6" ht="12" thickBot="1">
      <c r="A1563" s="347">
        <v>39484</v>
      </c>
      <c r="B1563" s="348">
        <v>3.1925000000000002E-2</v>
      </c>
      <c r="C1563" s="348">
        <v>3.15E-2</v>
      </c>
      <c r="D1563" s="348">
        <v>3.1274999999999997E-2</v>
      </c>
      <c r="E1563" s="348">
        <v>3.0025E-2</v>
      </c>
      <c r="F1563" s="349">
        <v>2.7337500000000001E-2</v>
      </c>
    </row>
    <row r="1564" spans="1:6" ht="12" thickBot="1">
      <c r="A1564" s="347">
        <v>39483</v>
      </c>
      <c r="B1564" s="348">
        <v>3.2181300000000003E-2</v>
      </c>
      <c r="C1564" s="348">
        <v>3.1824999999999999E-2</v>
      </c>
      <c r="D1564" s="348">
        <v>3.1618800000000002E-2</v>
      </c>
      <c r="E1564" s="348">
        <v>3.1112500000000001E-2</v>
      </c>
      <c r="F1564" s="349">
        <v>2.89313E-2</v>
      </c>
    </row>
    <row r="1565" spans="1:6" ht="12" thickBot="1">
      <c r="A1565" s="347">
        <v>39482</v>
      </c>
      <c r="B1565" s="348">
        <v>3.18125E-2</v>
      </c>
      <c r="C1565" s="348">
        <v>3.1574999999999999E-2</v>
      </c>
      <c r="D1565" s="348">
        <v>3.1449999999999999E-2</v>
      </c>
      <c r="E1565" s="348">
        <v>3.0974999999999999E-2</v>
      </c>
      <c r="F1565" s="349">
        <v>2.8962499999999999E-2</v>
      </c>
    </row>
    <row r="1566" spans="1:6" ht="12" thickBot="1">
      <c r="A1566" s="347">
        <v>39479</v>
      </c>
      <c r="B1566" s="348">
        <v>3.1412500000000003E-2</v>
      </c>
      <c r="C1566" s="348">
        <v>3.1125E-2</v>
      </c>
      <c r="D1566" s="348">
        <v>3.0949999999999998E-2</v>
      </c>
      <c r="E1566" s="348">
        <v>3.0162499999999998E-2</v>
      </c>
      <c r="F1566" s="349">
        <v>2.8187500000000001E-2</v>
      </c>
    </row>
    <row r="1567" spans="1:6" ht="12" thickBot="1">
      <c r="A1567" s="347">
        <v>39478</v>
      </c>
      <c r="B1567" s="348">
        <v>3.14375E-2</v>
      </c>
      <c r="C1567" s="348">
        <v>3.125E-2</v>
      </c>
      <c r="D1567" s="348">
        <v>3.1118799999999999E-2</v>
      </c>
      <c r="E1567" s="348">
        <v>3.0412499999999999E-2</v>
      </c>
      <c r="F1567" s="349">
        <v>2.84938E-2</v>
      </c>
    </row>
    <row r="1568" spans="1:6" ht="12" thickBot="1">
      <c r="A1568" s="347">
        <v>39477</v>
      </c>
      <c r="B1568" s="348">
        <v>3.26375E-2</v>
      </c>
      <c r="C1568" s="348">
        <v>3.25188E-2</v>
      </c>
      <c r="D1568" s="348">
        <v>3.23938E-2</v>
      </c>
      <c r="E1568" s="348">
        <v>3.1862500000000002E-2</v>
      </c>
      <c r="F1568" s="349">
        <v>2.98E-2</v>
      </c>
    </row>
    <row r="1569" spans="1:6" ht="12" thickBot="1">
      <c r="A1569" s="347">
        <v>39476</v>
      </c>
      <c r="B1569" s="348">
        <v>3.2712499999999999E-2</v>
      </c>
      <c r="C1569" s="348">
        <v>3.2606299999999998E-2</v>
      </c>
      <c r="D1569" s="348">
        <v>3.2437500000000001E-2</v>
      </c>
      <c r="E1569" s="348">
        <v>3.1818800000000001E-2</v>
      </c>
      <c r="F1569" s="349">
        <v>2.9662500000000001E-2</v>
      </c>
    </row>
    <row r="1570" spans="1:6" ht="12" thickBot="1">
      <c r="A1570" s="347">
        <v>39475</v>
      </c>
      <c r="B1570" s="348">
        <v>3.2812500000000001E-2</v>
      </c>
      <c r="C1570" s="348">
        <v>3.27E-2</v>
      </c>
      <c r="D1570" s="348">
        <v>3.25125E-2</v>
      </c>
      <c r="E1570" s="348">
        <v>3.1837499999999998E-2</v>
      </c>
      <c r="F1570" s="349">
        <v>2.9562499999999999E-2</v>
      </c>
    </row>
    <row r="1571" spans="1:6" ht="12" thickBot="1">
      <c r="A1571" s="347">
        <v>39472</v>
      </c>
      <c r="B1571" s="348">
        <v>3.3125000000000002E-2</v>
      </c>
      <c r="C1571" s="348">
        <v>3.3075E-2</v>
      </c>
      <c r="D1571" s="348">
        <v>3.3062500000000002E-2</v>
      </c>
      <c r="E1571" s="348">
        <v>3.3000000000000002E-2</v>
      </c>
      <c r="F1571" s="349">
        <v>3.1262499999999999E-2</v>
      </c>
    </row>
    <row r="1572" spans="1:6" ht="12" thickBot="1">
      <c r="A1572" s="347">
        <v>39471</v>
      </c>
      <c r="B1572" s="348">
        <v>3.2849999999999997E-2</v>
      </c>
      <c r="C1572" s="348">
        <v>3.2656299999999999E-2</v>
      </c>
      <c r="D1572" s="348">
        <v>3.2437500000000001E-2</v>
      </c>
      <c r="E1572" s="348">
        <v>3.15E-2</v>
      </c>
      <c r="F1572" s="349">
        <v>2.8625000000000001E-2</v>
      </c>
    </row>
    <row r="1573" spans="1:6" ht="12" thickBot="1">
      <c r="A1573" s="347">
        <v>39470</v>
      </c>
      <c r="B1573" s="348">
        <v>3.3762500000000001E-2</v>
      </c>
      <c r="C1573" s="348">
        <v>3.3524999999999999E-2</v>
      </c>
      <c r="D1573" s="348">
        <v>3.3312500000000002E-2</v>
      </c>
      <c r="E1573" s="348">
        <v>3.1637499999999999E-2</v>
      </c>
      <c r="F1573" s="349">
        <v>2.8062500000000001E-2</v>
      </c>
    </row>
    <row r="1574" spans="1:6" ht="12" thickBot="1">
      <c r="A1574" s="347">
        <v>39469</v>
      </c>
      <c r="B1574" s="348">
        <v>3.77375E-2</v>
      </c>
      <c r="C1574" s="348">
        <v>3.7525000000000003E-2</v>
      </c>
      <c r="D1574" s="348">
        <v>3.7175E-2</v>
      </c>
      <c r="E1574" s="348">
        <v>3.49E-2</v>
      </c>
      <c r="F1574" s="349">
        <v>3.08375E-2</v>
      </c>
    </row>
    <row r="1575" spans="1:6" ht="12" thickBot="1">
      <c r="A1575" s="347">
        <v>39468</v>
      </c>
      <c r="B1575" s="348">
        <v>3.9024999999999997E-2</v>
      </c>
      <c r="C1575" s="348">
        <v>3.8774999999999997E-2</v>
      </c>
      <c r="D1575" s="348">
        <v>3.8475000000000002E-2</v>
      </c>
      <c r="E1575" s="348">
        <v>3.67438E-2</v>
      </c>
      <c r="F1575" s="349">
        <v>3.2681300000000003E-2</v>
      </c>
    </row>
    <row r="1576" spans="1:6" ht="12" thickBot="1">
      <c r="A1576" s="347">
        <v>39465</v>
      </c>
      <c r="B1576" s="348">
        <v>3.9343799999999998E-2</v>
      </c>
      <c r="C1576" s="348">
        <v>3.9156299999999998E-2</v>
      </c>
      <c r="D1576" s="348">
        <v>3.89375E-2</v>
      </c>
      <c r="E1576" s="348">
        <v>3.7537500000000001E-2</v>
      </c>
      <c r="F1576" s="349">
        <v>3.39625E-2</v>
      </c>
    </row>
    <row r="1577" spans="1:6" ht="12" thickBot="1">
      <c r="A1577" s="347">
        <v>39464</v>
      </c>
      <c r="B1577" s="348">
        <v>3.9587499999999998E-2</v>
      </c>
      <c r="C1577" s="348">
        <v>3.9449999999999999E-2</v>
      </c>
      <c r="D1577" s="348">
        <v>3.9262499999999999E-2</v>
      </c>
      <c r="E1577" s="348">
        <v>3.8112500000000001E-2</v>
      </c>
      <c r="F1577" s="349">
        <v>3.4799999999999998E-2</v>
      </c>
    </row>
    <row r="1578" spans="1:6" ht="12" thickBot="1">
      <c r="A1578" s="347">
        <v>39463</v>
      </c>
      <c r="B1578" s="348">
        <v>3.98938E-2</v>
      </c>
      <c r="C1578" s="348">
        <v>3.97063E-2</v>
      </c>
      <c r="D1578" s="348">
        <v>3.9512499999999999E-2</v>
      </c>
      <c r="E1578" s="348">
        <v>3.7937499999999999E-2</v>
      </c>
      <c r="F1578" s="349">
        <v>3.4237499999999997E-2</v>
      </c>
    </row>
    <row r="1579" spans="1:6" ht="12" thickBot="1">
      <c r="A1579" s="347">
        <v>39462</v>
      </c>
      <c r="B1579" s="348">
        <v>4.0224999999999997E-2</v>
      </c>
      <c r="C1579" s="348">
        <v>4.0075E-2</v>
      </c>
      <c r="D1579" s="348">
        <v>3.9974999999999997E-2</v>
      </c>
      <c r="E1579" s="348">
        <v>3.8275000000000003E-2</v>
      </c>
      <c r="F1579" s="349">
        <v>3.4737499999999998E-2</v>
      </c>
    </row>
    <row r="1580" spans="1:6" ht="12" thickBot="1">
      <c r="A1580" s="347">
        <v>39457</v>
      </c>
      <c r="B1580" s="348">
        <v>4.3193799999999997E-2</v>
      </c>
      <c r="C1580" s="348">
        <v>4.3525000000000001E-2</v>
      </c>
      <c r="D1580" s="348">
        <v>4.3768799999999997E-2</v>
      </c>
      <c r="E1580" s="348">
        <v>4.1937500000000003E-2</v>
      </c>
      <c r="F1580" s="349">
        <v>3.8124999999999999E-2</v>
      </c>
    </row>
    <row r="1581" spans="1:6" ht="12" thickBot="1">
      <c r="A1581" s="347">
        <v>39456</v>
      </c>
      <c r="B1581" s="348">
        <v>4.3706299999999997E-2</v>
      </c>
      <c r="C1581" s="348">
        <v>4.4150000000000002E-2</v>
      </c>
      <c r="D1581" s="348">
        <v>4.4424999999999999E-2</v>
      </c>
      <c r="E1581" s="348">
        <v>4.2625000000000003E-2</v>
      </c>
      <c r="F1581" s="349">
        <v>3.8643799999999999E-2</v>
      </c>
    </row>
    <row r="1582" spans="1:6" ht="12" thickBot="1">
      <c r="A1582" s="347">
        <v>39455</v>
      </c>
      <c r="B1582" s="348">
        <v>4.4112499999999999E-2</v>
      </c>
      <c r="C1582" s="348">
        <v>4.4687499999999998E-2</v>
      </c>
      <c r="D1582" s="348">
        <v>4.505E-2</v>
      </c>
      <c r="E1582" s="348">
        <v>4.32875E-2</v>
      </c>
      <c r="F1582" s="349">
        <v>3.9287500000000003E-2</v>
      </c>
    </row>
    <row r="1583" spans="1:6" ht="12" thickBot="1">
      <c r="A1583" s="347">
        <v>39451</v>
      </c>
      <c r="B1583" s="348">
        <v>4.5150000000000003E-2</v>
      </c>
      <c r="C1583" s="348">
        <v>4.58E-2</v>
      </c>
      <c r="D1583" s="348">
        <v>4.6199999999999998E-2</v>
      </c>
      <c r="E1583" s="348">
        <v>4.4674999999999999E-2</v>
      </c>
      <c r="F1583" s="349">
        <v>4.0524999999999999E-2</v>
      </c>
    </row>
    <row r="1584" spans="1:6" ht="12" thickBot="1">
      <c r="A1584" s="347">
        <v>39450</v>
      </c>
      <c r="B1584" s="348">
        <v>4.5400000000000003E-2</v>
      </c>
      <c r="C1584" s="348">
        <v>4.6037500000000002E-2</v>
      </c>
      <c r="D1584" s="348">
        <v>4.6462499999999997E-2</v>
      </c>
      <c r="E1584" s="348">
        <v>4.4737499999999999E-2</v>
      </c>
      <c r="F1584" s="349">
        <v>4.0418799999999998E-2</v>
      </c>
    </row>
    <row r="1585" spans="1:6" ht="12" thickBot="1">
      <c r="A1585" s="350">
        <v>39449</v>
      </c>
      <c r="B1585" s="351">
        <v>4.5699999999999998E-2</v>
      </c>
      <c r="C1585" s="351">
        <v>4.6362500000000001E-2</v>
      </c>
      <c r="D1585" s="351">
        <v>4.6806300000000002E-2</v>
      </c>
      <c r="E1585" s="351">
        <v>4.5662500000000002E-2</v>
      </c>
      <c r="F1585" s="352">
        <v>4.1875000000000002E-2</v>
      </c>
    </row>
    <row r="1586" spans="1:6">
      <c r="A1586" s="341">
        <v>2007</v>
      </c>
      <c r="B1586" s="342"/>
      <c r="C1586" s="342"/>
      <c r="D1586" s="342"/>
      <c r="E1586" s="342"/>
      <c r="F1586" s="342"/>
    </row>
    <row r="1587" spans="1:6" ht="12" thickBot="1">
      <c r="A1587" s="343"/>
      <c r="B1587" s="688"/>
      <c r="C1587" s="689"/>
      <c r="D1587" s="689"/>
      <c r="E1587" s="689"/>
      <c r="F1587" s="690"/>
    </row>
    <row r="1588" spans="1:6" ht="23.25" thickBot="1">
      <c r="A1588" s="344" t="s">
        <v>319</v>
      </c>
      <c r="B1588" s="345" t="s">
        <v>323</v>
      </c>
      <c r="C1588" s="345" t="s">
        <v>324</v>
      </c>
      <c r="D1588" s="345" t="s">
        <v>325</v>
      </c>
      <c r="E1588" s="345" t="s">
        <v>326</v>
      </c>
      <c r="F1588" s="346" t="s">
        <v>327</v>
      </c>
    </row>
    <row r="1589" spans="1:6" ht="12" thickBot="1">
      <c r="A1589" s="347">
        <v>39444</v>
      </c>
      <c r="B1589" s="348">
        <v>4.63125E-2</v>
      </c>
      <c r="C1589" s="348">
        <v>4.6824999999999999E-2</v>
      </c>
      <c r="D1589" s="348">
        <v>4.7287500000000003E-2</v>
      </c>
      <c r="E1589" s="348">
        <v>4.6487500000000001E-2</v>
      </c>
      <c r="F1589" s="349">
        <v>4.2950000000000002E-2</v>
      </c>
    </row>
    <row r="1590" spans="1:6" ht="12" thickBot="1">
      <c r="A1590" s="347">
        <v>39443</v>
      </c>
      <c r="B1590" s="348">
        <v>4.845E-2</v>
      </c>
      <c r="C1590" s="348">
        <v>4.8381300000000002E-2</v>
      </c>
      <c r="D1590" s="348">
        <v>4.8300000000000003E-2</v>
      </c>
      <c r="E1590" s="348">
        <v>4.7175000000000002E-2</v>
      </c>
      <c r="F1590" s="349">
        <v>4.34125E-2</v>
      </c>
    </row>
    <row r="1591" spans="1:6" ht="12" thickBot="1">
      <c r="A1591" s="347">
        <v>39442</v>
      </c>
      <c r="B1591" s="348">
        <v>4.8550000000000003E-2</v>
      </c>
      <c r="C1591" s="348">
        <v>4.8487500000000003E-2</v>
      </c>
      <c r="D1591" s="348">
        <v>4.8425000000000003E-2</v>
      </c>
      <c r="E1591" s="348">
        <v>4.7175000000000002E-2</v>
      </c>
      <c r="F1591" s="349">
        <v>4.3437499999999997E-2</v>
      </c>
    </row>
    <row r="1592" spans="1:6" ht="12" thickBot="1">
      <c r="A1592" s="347">
        <v>39440</v>
      </c>
      <c r="B1592" s="348">
        <v>4.8550000000000003E-2</v>
      </c>
      <c r="C1592" s="348">
        <v>4.8487500000000003E-2</v>
      </c>
      <c r="D1592" s="348">
        <v>4.8425000000000003E-2</v>
      </c>
      <c r="E1592" s="348">
        <v>4.7175000000000002E-2</v>
      </c>
      <c r="F1592" s="349">
        <v>4.3437499999999997E-2</v>
      </c>
    </row>
    <row r="1593" spans="1:6" ht="12" thickBot="1">
      <c r="A1593" s="347">
        <v>39437</v>
      </c>
      <c r="B1593" s="348">
        <v>4.8649999999999999E-2</v>
      </c>
      <c r="C1593" s="348">
        <v>4.8612500000000003E-2</v>
      </c>
      <c r="D1593" s="348">
        <v>4.8575E-2</v>
      </c>
      <c r="E1593" s="348">
        <v>4.7274999999999998E-2</v>
      </c>
      <c r="F1593" s="349">
        <v>4.3174999999999998E-2</v>
      </c>
    </row>
    <row r="1594" spans="1:6" ht="12" thickBot="1">
      <c r="A1594" s="347">
        <v>39436</v>
      </c>
      <c r="B1594" s="348">
        <v>4.8962499999999999E-2</v>
      </c>
      <c r="C1594" s="348">
        <v>4.895E-2</v>
      </c>
      <c r="D1594" s="348">
        <v>4.8837499999999999E-2</v>
      </c>
      <c r="E1594" s="348">
        <v>4.7449999999999999E-2</v>
      </c>
      <c r="F1594" s="349">
        <v>4.3475E-2</v>
      </c>
    </row>
    <row r="1595" spans="1:6" ht="12" thickBot="1">
      <c r="A1595" s="347">
        <v>39435</v>
      </c>
      <c r="B1595" s="348">
        <v>4.9318800000000003E-2</v>
      </c>
      <c r="C1595" s="348">
        <v>4.9231299999999999E-2</v>
      </c>
      <c r="D1595" s="348">
        <v>4.9099999999999998E-2</v>
      </c>
      <c r="E1595" s="348">
        <v>4.7774999999999998E-2</v>
      </c>
      <c r="F1595" s="349">
        <v>4.4174999999999999E-2</v>
      </c>
    </row>
    <row r="1596" spans="1:6" ht="12" thickBot="1">
      <c r="A1596" s="347">
        <v>39434</v>
      </c>
      <c r="B1596" s="348">
        <v>4.9487499999999997E-2</v>
      </c>
      <c r="C1596" s="348">
        <v>4.9381300000000003E-2</v>
      </c>
      <c r="D1596" s="348">
        <v>4.9262500000000001E-2</v>
      </c>
      <c r="E1596" s="348">
        <v>4.8250000000000001E-2</v>
      </c>
      <c r="F1596" s="349">
        <v>4.4718800000000003E-2</v>
      </c>
    </row>
    <row r="1597" spans="1:6" ht="12" thickBot="1">
      <c r="A1597" s="347">
        <v>39433</v>
      </c>
      <c r="B1597" s="348">
        <v>4.965E-2</v>
      </c>
      <c r="C1597" s="348">
        <v>4.9549999999999997E-2</v>
      </c>
      <c r="D1597" s="348">
        <v>4.9412499999999998E-2</v>
      </c>
      <c r="E1597" s="348">
        <v>4.8487500000000003E-2</v>
      </c>
      <c r="F1597" s="349">
        <v>4.5187499999999999E-2</v>
      </c>
    </row>
    <row r="1598" spans="1:6" ht="12" thickBot="1">
      <c r="A1598" s="347">
        <v>39430</v>
      </c>
      <c r="B1598" s="348">
        <v>4.99625E-2</v>
      </c>
      <c r="C1598" s="348">
        <v>4.9825000000000001E-2</v>
      </c>
      <c r="D1598" s="348">
        <v>4.9662499999999998E-2</v>
      </c>
      <c r="E1598" s="348">
        <v>4.8487500000000003E-2</v>
      </c>
      <c r="F1598" s="349">
        <v>4.4912500000000001E-2</v>
      </c>
    </row>
    <row r="1599" spans="1:6" ht="12" thickBot="1">
      <c r="A1599" s="347">
        <v>39429</v>
      </c>
      <c r="B1599" s="348">
        <v>5.0275E-2</v>
      </c>
      <c r="C1599" s="348">
        <v>5.0099999999999999E-2</v>
      </c>
      <c r="D1599" s="348">
        <v>4.9906300000000001E-2</v>
      </c>
      <c r="E1599" s="348">
        <v>4.8287499999999997E-2</v>
      </c>
      <c r="F1599" s="349">
        <v>4.4387500000000003E-2</v>
      </c>
    </row>
    <row r="1600" spans="1:6" ht="12" thickBot="1">
      <c r="A1600" s="347">
        <v>39428</v>
      </c>
      <c r="B1600" s="348">
        <v>5.1025000000000001E-2</v>
      </c>
      <c r="C1600" s="348">
        <v>5.0849999999999999E-2</v>
      </c>
      <c r="D1600" s="348">
        <v>5.0575000000000002E-2</v>
      </c>
      <c r="E1600" s="348">
        <v>4.9287499999999998E-2</v>
      </c>
      <c r="F1600" s="349">
        <v>4.5018799999999998E-2</v>
      </c>
    </row>
    <row r="1601" spans="1:6" ht="12" thickBot="1">
      <c r="A1601" s="347">
        <v>39427</v>
      </c>
      <c r="B1601" s="348">
        <v>5.20375E-2</v>
      </c>
      <c r="C1601" s="348">
        <v>5.1343800000000002E-2</v>
      </c>
      <c r="D1601" s="348">
        <v>5.1112499999999998E-2</v>
      </c>
      <c r="E1601" s="348">
        <v>4.9562500000000002E-2</v>
      </c>
      <c r="F1601" s="349">
        <v>4.54875E-2</v>
      </c>
    </row>
    <row r="1602" spans="1:6" ht="12" thickBot="1">
      <c r="A1602" s="347">
        <v>39426</v>
      </c>
      <c r="B1602" s="348">
        <v>5.2318799999999999E-2</v>
      </c>
      <c r="C1602" s="348">
        <v>5.1549999999999999E-2</v>
      </c>
      <c r="D1602" s="348">
        <v>5.1325000000000003E-2</v>
      </c>
      <c r="E1602" s="348">
        <v>4.9674999999999997E-2</v>
      </c>
      <c r="F1602" s="349">
        <v>4.5525000000000003E-2</v>
      </c>
    </row>
    <row r="1603" spans="1:6" ht="12" thickBot="1">
      <c r="A1603" s="347">
        <v>39423</v>
      </c>
      <c r="B1603" s="348">
        <v>5.2374999999999998E-2</v>
      </c>
      <c r="C1603" s="348">
        <v>5.16E-2</v>
      </c>
      <c r="D1603" s="348">
        <v>5.1406300000000002E-2</v>
      </c>
      <c r="E1603" s="348">
        <v>4.9318800000000003E-2</v>
      </c>
      <c r="F1603" s="349">
        <v>4.4887499999999997E-2</v>
      </c>
    </row>
    <row r="1604" spans="1:6" ht="12" thickBot="1">
      <c r="A1604" s="347">
        <v>39422</v>
      </c>
      <c r="B1604" s="348">
        <v>5.2400000000000002E-2</v>
      </c>
      <c r="C1604" s="348">
        <v>5.1700000000000003E-2</v>
      </c>
      <c r="D1604" s="348">
        <v>5.1499999999999997E-2</v>
      </c>
      <c r="E1604" s="348">
        <v>4.9000000000000002E-2</v>
      </c>
      <c r="F1604" s="349">
        <v>4.4400000000000002E-2</v>
      </c>
    </row>
    <row r="1605" spans="1:6" ht="12" thickBot="1">
      <c r="A1605" s="347">
        <v>39421</v>
      </c>
      <c r="B1605" s="348">
        <v>5.2499999999999998E-2</v>
      </c>
      <c r="C1605" s="348">
        <v>5.1725E-2</v>
      </c>
      <c r="D1605" s="348">
        <v>5.1506299999999998E-2</v>
      </c>
      <c r="E1605" s="348">
        <v>4.9037499999999998E-2</v>
      </c>
      <c r="F1605" s="349">
        <v>4.4325000000000003E-2</v>
      </c>
    </row>
    <row r="1606" spans="1:6" ht="12" thickBot="1">
      <c r="A1606" s="347">
        <v>39420</v>
      </c>
      <c r="B1606" s="348">
        <v>5.2518799999999997E-2</v>
      </c>
      <c r="C1606" s="348">
        <v>5.1700000000000003E-2</v>
      </c>
      <c r="D1606" s="348">
        <v>5.1499999999999997E-2</v>
      </c>
      <c r="E1606" s="348">
        <v>4.9087499999999999E-2</v>
      </c>
      <c r="F1606" s="349">
        <v>4.4231300000000001E-2</v>
      </c>
    </row>
    <row r="1607" spans="1:6" ht="12" thickBot="1">
      <c r="A1607" s="347">
        <v>39419</v>
      </c>
      <c r="B1607" s="348">
        <v>5.2456299999999997E-2</v>
      </c>
      <c r="C1607" s="348">
        <v>5.16E-2</v>
      </c>
      <c r="D1607" s="348">
        <v>5.1406300000000002E-2</v>
      </c>
      <c r="E1607" s="348">
        <v>4.8956300000000001E-2</v>
      </c>
      <c r="F1607" s="349">
        <v>4.4338799999999998E-2</v>
      </c>
    </row>
    <row r="1608" spans="1:6" ht="12" thickBot="1">
      <c r="A1608" s="347">
        <v>39416</v>
      </c>
      <c r="B1608" s="348">
        <v>5.2362499999999999E-2</v>
      </c>
      <c r="C1608" s="348">
        <v>5.1499999999999997E-2</v>
      </c>
      <c r="D1608" s="348">
        <v>5.1312499999999997E-2</v>
      </c>
      <c r="E1608" s="348">
        <v>4.9099999999999998E-2</v>
      </c>
      <c r="F1608" s="349">
        <v>4.4574999999999997E-2</v>
      </c>
    </row>
    <row r="1609" spans="1:6" ht="12" thickBot="1">
      <c r="A1609" s="347">
        <v>39415</v>
      </c>
      <c r="B1609" s="348">
        <v>5.2249999999999998E-2</v>
      </c>
      <c r="C1609" s="348">
        <v>5.1374999999999997E-2</v>
      </c>
      <c r="D1609" s="348">
        <v>5.1237499999999998E-2</v>
      </c>
      <c r="E1609" s="348">
        <v>4.9125000000000002E-2</v>
      </c>
      <c r="F1609" s="349">
        <v>4.4887499999999997E-2</v>
      </c>
    </row>
    <row r="1610" spans="1:6" ht="12" thickBot="1">
      <c r="A1610" s="347">
        <v>39414</v>
      </c>
      <c r="B1610" s="348">
        <v>4.8218799999999999E-2</v>
      </c>
      <c r="C1610" s="348">
        <v>5.08563E-2</v>
      </c>
      <c r="D1610" s="348">
        <v>5.0812499999999997E-2</v>
      </c>
      <c r="E1610" s="348">
        <v>4.9062500000000002E-2</v>
      </c>
      <c r="F1610" s="349">
        <v>4.4881299999999999E-2</v>
      </c>
    </row>
    <row r="1611" spans="1:6" ht="12" thickBot="1">
      <c r="A1611" s="347">
        <v>39413</v>
      </c>
      <c r="B1611" s="348">
        <v>4.8087499999999998E-2</v>
      </c>
      <c r="C1611" s="348">
        <v>5.0674999999999998E-2</v>
      </c>
      <c r="D1611" s="348">
        <v>5.0618799999999999E-2</v>
      </c>
      <c r="E1611" s="348">
        <v>4.8625000000000002E-2</v>
      </c>
      <c r="F1611" s="349">
        <v>4.3987499999999999E-2</v>
      </c>
    </row>
    <row r="1612" spans="1:6" ht="12" thickBot="1">
      <c r="A1612" s="347">
        <v>39412</v>
      </c>
      <c r="B1612" s="348">
        <v>4.8000000000000001E-2</v>
      </c>
      <c r="C1612" s="348">
        <v>5.0568799999999997E-2</v>
      </c>
      <c r="D1612" s="348">
        <v>5.0531300000000001E-2</v>
      </c>
      <c r="E1612" s="348">
        <v>4.8937500000000002E-2</v>
      </c>
      <c r="F1612" s="349">
        <v>4.48063E-2</v>
      </c>
    </row>
    <row r="1613" spans="1:6" ht="12" thickBot="1">
      <c r="A1613" s="347">
        <v>39409</v>
      </c>
      <c r="B1613" s="348">
        <v>4.7931300000000003E-2</v>
      </c>
      <c r="C1613" s="348">
        <v>5.0468800000000001E-2</v>
      </c>
      <c r="D1613" s="348">
        <v>5.04E-2</v>
      </c>
      <c r="E1613" s="348">
        <v>4.8562500000000001E-2</v>
      </c>
      <c r="F1613" s="349">
        <v>4.4400000000000002E-2</v>
      </c>
    </row>
    <row r="1614" spans="1:6" ht="12" thickBot="1">
      <c r="A1614" s="347">
        <v>39408</v>
      </c>
      <c r="B1614" s="348">
        <v>4.78875E-2</v>
      </c>
      <c r="C1614" s="348">
        <v>5.0349999999999999E-2</v>
      </c>
      <c r="D1614" s="348">
        <v>5.0299999999999997E-2</v>
      </c>
      <c r="E1614" s="348">
        <v>4.8550000000000003E-2</v>
      </c>
      <c r="F1614" s="349">
        <v>4.4487499999999999E-2</v>
      </c>
    </row>
    <row r="1615" spans="1:6" ht="12" thickBot="1">
      <c r="A1615" s="347">
        <v>39407</v>
      </c>
      <c r="B1615" s="348">
        <v>4.78313E-2</v>
      </c>
      <c r="C1615" s="348">
        <v>5.0174999999999997E-2</v>
      </c>
      <c r="D1615" s="348">
        <v>5.015E-2</v>
      </c>
      <c r="E1615" s="348">
        <v>4.8524999999999999E-2</v>
      </c>
      <c r="F1615" s="349">
        <v>4.4725000000000001E-2</v>
      </c>
    </row>
    <row r="1616" spans="1:6" ht="12" thickBot="1">
      <c r="A1616" s="347">
        <v>39406</v>
      </c>
      <c r="B1616" s="348">
        <v>4.7800000000000002E-2</v>
      </c>
      <c r="C1616" s="348">
        <v>5.0018800000000002E-2</v>
      </c>
      <c r="D1616" s="348">
        <v>0.05</v>
      </c>
      <c r="E1616" s="348">
        <v>4.8562500000000001E-2</v>
      </c>
      <c r="F1616" s="349">
        <v>4.5100000000000001E-2</v>
      </c>
    </row>
    <row r="1617" spans="1:6" ht="12" thickBot="1">
      <c r="A1617" s="347">
        <v>39405</v>
      </c>
      <c r="B1617" s="348">
        <v>4.7675000000000002E-2</v>
      </c>
      <c r="C1617" s="348">
        <v>4.9843800000000001E-2</v>
      </c>
      <c r="D1617" s="348">
        <v>4.9818800000000003E-2</v>
      </c>
      <c r="E1617" s="348">
        <v>4.845E-2</v>
      </c>
      <c r="F1617" s="349">
        <v>4.5025000000000003E-2</v>
      </c>
    </row>
    <row r="1618" spans="1:6" ht="12" thickBot="1">
      <c r="A1618" s="347">
        <v>39402</v>
      </c>
      <c r="B1618" s="348">
        <v>4.7399999999999998E-2</v>
      </c>
      <c r="C1618" s="348">
        <v>4.9474999999999998E-2</v>
      </c>
      <c r="D1618" s="348">
        <v>4.9487499999999997E-2</v>
      </c>
      <c r="E1618" s="348">
        <v>4.8087499999999998E-2</v>
      </c>
      <c r="F1618" s="349">
        <v>4.4662500000000001E-2</v>
      </c>
    </row>
    <row r="1619" spans="1:6" ht="12" thickBot="1">
      <c r="A1619" s="347">
        <v>39401</v>
      </c>
      <c r="B1619" s="348">
        <v>4.6862500000000001E-2</v>
      </c>
      <c r="C1619" s="348">
        <v>4.9068800000000003E-2</v>
      </c>
      <c r="D1619" s="348">
        <v>4.9050000000000003E-2</v>
      </c>
      <c r="E1619" s="348">
        <v>4.7912499999999997E-2</v>
      </c>
      <c r="F1619" s="349">
        <v>4.5137499999999997E-2</v>
      </c>
    </row>
    <row r="1620" spans="1:6" ht="12" thickBot="1">
      <c r="A1620" s="347">
        <v>39400</v>
      </c>
      <c r="B1620" s="348">
        <v>4.6581299999999999E-2</v>
      </c>
      <c r="C1620" s="348">
        <v>4.8800000000000003E-2</v>
      </c>
      <c r="D1620" s="348">
        <v>4.8774999999999999E-2</v>
      </c>
      <c r="E1620" s="348">
        <v>4.7750000000000001E-2</v>
      </c>
      <c r="F1620" s="349">
        <v>4.53E-2</v>
      </c>
    </row>
    <row r="1621" spans="1:6" ht="12" thickBot="1">
      <c r="A1621" s="347">
        <v>39399</v>
      </c>
      <c r="B1621" s="348">
        <v>4.6518799999999999E-2</v>
      </c>
      <c r="C1621" s="348">
        <v>4.87188E-2</v>
      </c>
      <c r="D1621" s="348">
        <v>4.8687500000000002E-2</v>
      </c>
      <c r="E1621" s="348">
        <v>4.7375E-2</v>
      </c>
      <c r="F1621" s="349">
        <v>4.4600000000000001E-2</v>
      </c>
    </row>
    <row r="1622" spans="1:6" ht="12" thickBot="1">
      <c r="A1622" s="347">
        <v>39395</v>
      </c>
      <c r="B1622" s="348">
        <v>4.6593799999999998E-2</v>
      </c>
      <c r="C1622" s="348">
        <v>4.8812500000000002E-2</v>
      </c>
      <c r="D1622" s="348">
        <v>4.8793799999999998E-2</v>
      </c>
      <c r="E1622" s="348">
        <v>4.7625000000000001E-2</v>
      </c>
      <c r="F1622" s="349">
        <v>4.5106300000000002E-2</v>
      </c>
    </row>
    <row r="1623" spans="1:6" ht="12" thickBot="1">
      <c r="A1623" s="347">
        <v>39394</v>
      </c>
      <c r="B1623" s="348">
        <v>4.6600000000000003E-2</v>
      </c>
      <c r="C1623" s="348">
        <v>4.8893800000000001E-2</v>
      </c>
      <c r="D1623" s="348">
        <v>4.8868799999999997E-2</v>
      </c>
      <c r="E1623" s="348">
        <v>4.8031299999999999E-2</v>
      </c>
      <c r="F1623" s="349">
        <v>4.5837500000000003E-2</v>
      </c>
    </row>
    <row r="1624" spans="1:6" ht="12" thickBot="1">
      <c r="A1624" s="347">
        <v>39393</v>
      </c>
      <c r="B1624" s="348">
        <v>4.6649999999999997E-2</v>
      </c>
      <c r="C1624" s="348">
        <v>4.8993799999999997E-2</v>
      </c>
      <c r="D1624" s="348">
        <v>4.8962499999999999E-2</v>
      </c>
      <c r="E1624" s="348">
        <v>4.83875E-2</v>
      </c>
      <c r="F1624" s="349">
        <v>4.6350000000000002E-2</v>
      </c>
    </row>
    <row r="1625" spans="1:6" ht="12" thickBot="1">
      <c r="A1625" s="347">
        <v>39392</v>
      </c>
      <c r="B1625" s="348">
        <v>4.6668800000000003E-2</v>
      </c>
      <c r="C1625" s="348">
        <v>4.8987500000000003E-2</v>
      </c>
      <c r="D1625" s="348">
        <v>4.8974999999999998E-2</v>
      </c>
      <c r="E1625" s="348">
        <v>4.8524999999999999E-2</v>
      </c>
      <c r="F1625" s="349">
        <v>4.6581299999999999E-2</v>
      </c>
    </row>
    <row r="1626" spans="1:6" ht="12" thickBot="1">
      <c r="A1626" s="347">
        <v>39388</v>
      </c>
      <c r="B1626" s="348">
        <v>4.6774999999999997E-2</v>
      </c>
      <c r="C1626" s="348">
        <v>4.8693800000000002E-2</v>
      </c>
      <c r="D1626" s="348">
        <v>4.8649999999999999E-2</v>
      </c>
      <c r="E1626" s="348">
        <v>4.7937500000000001E-2</v>
      </c>
      <c r="F1626" s="349">
        <v>4.6206299999999999E-2</v>
      </c>
    </row>
    <row r="1627" spans="1:6" ht="12" thickBot="1">
      <c r="A1627" s="347">
        <v>39387</v>
      </c>
      <c r="B1627" s="348">
        <v>4.6875E-2</v>
      </c>
      <c r="C1627" s="348">
        <v>4.8837499999999999E-2</v>
      </c>
      <c r="D1627" s="348">
        <v>4.8774999999999999E-2</v>
      </c>
      <c r="E1627" s="348">
        <v>4.8462499999999999E-2</v>
      </c>
      <c r="F1627" s="349">
        <v>4.74563E-2</v>
      </c>
    </row>
    <row r="1628" spans="1:6" ht="12" thickBot="1">
      <c r="A1628" s="347">
        <v>39386</v>
      </c>
      <c r="B1628" s="348">
        <v>4.70625E-2</v>
      </c>
      <c r="C1628" s="348">
        <v>4.8962499999999999E-2</v>
      </c>
      <c r="D1628" s="348">
        <v>4.8937500000000002E-2</v>
      </c>
      <c r="E1628" s="348">
        <v>4.8062500000000001E-2</v>
      </c>
      <c r="F1628" s="349">
        <v>4.6375E-2</v>
      </c>
    </row>
    <row r="1629" spans="1:6" ht="12" thickBot="1">
      <c r="A1629" s="347">
        <v>39385</v>
      </c>
      <c r="B1629" s="348">
        <v>4.7162500000000003E-2</v>
      </c>
      <c r="C1629" s="348">
        <v>4.9112500000000003E-2</v>
      </c>
      <c r="D1629" s="348">
        <v>4.9112500000000003E-2</v>
      </c>
      <c r="E1629" s="348">
        <v>4.8181300000000003E-2</v>
      </c>
      <c r="F1629" s="349">
        <v>4.6412500000000002E-2</v>
      </c>
    </row>
    <row r="1630" spans="1:6" ht="12" thickBot="1">
      <c r="A1630" s="347">
        <v>39384</v>
      </c>
      <c r="B1630" s="348">
        <v>4.7524999999999998E-2</v>
      </c>
      <c r="C1630" s="348">
        <v>4.8024999999999998E-2</v>
      </c>
      <c r="D1630" s="348">
        <v>4.9599999999999998E-2</v>
      </c>
      <c r="E1630" s="348">
        <v>4.8312500000000001E-2</v>
      </c>
      <c r="F1630" s="349">
        <v>4.6324999999999998E-2</v>
      </c>
    </row>
    <row r="1631" spans="1:6" ht="12" thickBot="1">
      <c r="A1631" s="347">
        <v>39381</v>
      </c>
      <c r="B1631" s="348">
        <v>4.7925000000000002E-2</v>
      </c>
      <c r="C1631" s="348">
        <v>4.8474999999999997E-2</v>
      </c>
      <c r="D1631" s="348">
        <v>4.98375E-2</v>
      </c>
      <c r="E1631" s="348">
        <v>4.8318800000000002E-2</v>
      </c>
      <c r="F1631" s="349">
        <v>4.6268799999999999E-2</v>
      </c>
    </row>
    <row r="1632" spans="1:6" ht="12" thickBot="1">
      <c r="A1632" s="347">
        <v>39380</v>
      </c>
      <c r="B1632" s="348">
        <v>4.8187500000000001E-2</v>
      </c>
      <c r="C1632" s="348">
        <v>4.8875000000000002E-2</v>
      </c>
      <c r="D1632" s="348">
        <v>5.0106299999999999E-2</v>
      </c>
      <c r="E1632" s="348">
        <v>4.8356299999999998E-2</v>
      </c>
      <c r="F1632" s="349">
        <v>4.6175000000000001E-2</v>
      </c>
    </row>
    <row r="1633" spans="1:6" ht="12" thickBot="1">
      <c r="A1633" s="347">
        <v>39379</v>
      </c>
      <c r="B1633" s="348">
        <v>4.8562500000000001E-2</v>
      </c>
      <c r="C1633" s="348">
        <v>4.9474999999999998E-2</v>
      </c>
      <c r="D1633" s="348">
        <v>5.0650000000000001E-2</v>
      </c>
      <c r="E1633" s="348">
        <v>4.9000000000000002E-2</v>
      </c>
      <c r="F1633" s="349">
        <v>4.6862500000000001E-2</v>
      </c>
    </row>
    <row r="1634" spans="1:6" ht="12" thickBot="1">
      <c r="A1634" s="347">
        <v>39378</v>
      </c>
      <c r="B1634" s="348">
        <v>4.8724999999999997E-2</v>
      </c>
      <c r="C1634" s="348">
        <v>4.965E-2</v>
      </c>
      <c r="D1634" s="348">
        <v>5.0837500000000001E-2</v>
      </c>
      <c r="E1634" s="348">
        <v>4.9387500000000001E-2</v>
      </c>
      <c r="F1634" s="349">
        <v>4.7550000000000002E-2</v>
      </c>
    </row>
    <row r="1635" spans="1:6" ht="12" thickBot="1">
      <c r="A1635" s="347">
        <v>39377</v>
      </c>
      <c r="B1635" s="348">
        <v>4.8925000000000003E-2</v>
      </c>
      <c r="C1635" s="348">
        <v>4.9912499999999999E-2</v>
      </c>
      <c r="D1635" s="348">
        <v>5.0924999999999998E-2</v>
      </c>
      <c r="E1635" s="348">
        <v>4.9250000000000002E-2</v>
      </c>
      <c r="F1635" s="349">
        <v>4.7106299999999997E-2</v>
      </c>
    </row>
    <row r="1636" spans="1:6" ht="12" thickBot="1">
      <c r="A1636" s="347">
        <v>39374</v>
      </c>
      <c r="B1636" s="348">
        <v>4.9500000000000002E-2</v>
      </c>
      <c r="C1636" s="348">
        <v>5.04625E-2</v>
      </c>
      <c r="D1636" s="348">
        <v>5.1512500000000003E-2</v>
      </c>
      <c r="E1636" s="348">
        <v>5.0056299999999998E-2</v>
      </c>
      <c r="F1636" s="349">
        <v>4.8149999999999998E-2</v>
      </c>
    </row>
    <row r="1637" spans="1:6" ht="12" thickBot="1">
      <c r="A1637" s="347">
        <v>39373</v>
      </c>
      <c r="B1637" s="348">
        <v>4.9974999999999999E-2</v>
      </c>
      <c r="C1637" s="348">
        <v>5.0799999999999998E-2</v>
      </c>
      <c r="D1637" s="348">
        <v>5.1799999999999999E-2</v>
      </c>
      <c r="E1637" s="348">
        <v>5.0787499999999999E-2</v>
      </c>
      <c r="F1637" s="349">
        <v>4.8987500000000003E-2</v>
      </c>
    </row>
    <row r="1638" spans="1:6" ht="12" thickBot="1">
      <c r="A1638" s="347">
        <v>39372</v>
      </c>
      <c r="B1638" s="348">
        <v>5.02125E-2</v>
      </c>
      <c r="C1638" s="348">
        <v>5.0974999999999999E-2</v>
      </c>
      <c r="D1638" s="348">
        <v>5.1987499999999999E-2</v>
      </c>
      <c r="E1638" s="348">
        <v>5.1062499999999997E-2</v>
      </c>
      <c r="F1638" s="349">
        <v>4.9637500000000001E-2</v>
      </c>
    </row>
    <row r="1639" spans="1:6" ht="12" thickBot="1">
      <c r="A1639" s="347">
        <v>39371</v>
      </c>
      <c r="B1639" s="348">
        <v>5.0349999999999999E-2</v>
      </c>
      <c r="C1639" s="348">
        <v>5.1075000000000002E-2</v>
      </c>
      <c r="D1639" s="348">
        <v>5.2087500000000002E-2</v>
      </c>
      <c r="E1639" s="348">
        <v>5.1337500000000001E-2</v>
      </c>
      <c r="F1639" s="349">
        <v>5.0153099999999999E-2</v>
      </c>
    </row>
    <row r="1640" spans="1:6" ht="12" thickBot="1">
      <c r="A1640" s="347">
        <v>39367</v>
      </c>
      <c r="B1640" s="348">
        <v>5.0599999999999999E-2</v>
      </c>
      <c r="C1640" s="348">
        <v>5.1337500000000001E-2</v>
      </c>
      <c r="D1640" s="348">
        <v>5.2237499999999999E-2</v>
      </c>
      <c r="E1640" s="348">
        <v>5.1374999999999997E-2</v>
      </c>
      <c r="F1640" s="349">
        <v>4.9950000000000001E-2</v>
      </c>
    </row>
    <row r="1641" spans="1:6" ht="12" thickBot="1">
      <c r="A1641" s="347">
        <v>39366</v>
      </c>
      <c r="B1641" s="348">
        <v>5.0912499999999999E-2</v>
      </c>
      <c r="C1641" s="348">
        <v>5.1549999999999999E-2</v>
      </c>
      <c r="D1641" s="348">
        <v>5.2424999999999999E-2</v>
      </c>
      <c r="E1641" s="348">
        <v>5.2049999999999999E-2</v>
      </c>
      <c r="F1641" s="349">
        <v>5.0687500000000003E-2</v>
      </c>
    </row>
    <row r="1642" spans="1:6" ht="12" thickBot="1">
      <c r="A1642" s="347">
        <v>39365</v>
      </c>
      <c r="B1642" s="348">
        <v>5.11E-2</v>
      </c>
      <c r="C1642" s="348">
        <v>5.1612499999999999E-2</v>
      </c>
      <c r="D1642" s="348">
        <v>5.2475000000000001E-2</v>
      </c>
      <c r="E1642" s="348">
        <v>5.2212500000000002E-2</v>
      </c>
      <c r="F1642" s="349">
        <v>5.0887500000000002E-2</v>
      </c>
    </row>
    <row r="1643" spans="1:6" ht="12" thickBot="1">
      <c r="A1643" s="347">
        <v>39364</v>
      </c>
      <c r="B1643" s="348">
        <v>5.11625E-2</v>
      </c>
      <c r="C1643" s="348">
        <v>5.1643799999999997E-2</v>
      </c>
      <c r="D1643" s="348">
        <v>5.2487499999999999E-2</v>
      </c>
      <c r="E1643" s="348">
        <v>5.2124999999999998E-2</v>
      </c>
      <c r="F1643" s="349">
        <v>5.0612499999999998E-2</v>
      </c>
    </row>
    <row r="1644" spans="1:6" ht="12" thickBot="1">
      <c r="A1644" s="347">
        <v>39363</v>
      </c>
      <c r="B1644" s="348">
        <v>5.1200000000000002E-2</v>
      </c>
      <c r="C1644" s="348">
        <v>5.1668800000000001E-2</v>
      </c>
      <c r="D1644" s="348">
        <v>5.2531300000000003E-2</v>
      </c>
      <c r="E1644" s="348">
        <v>5.2174999999999999E-2</v>
      </c>
      <c r="F1644" s="349">
        <v>5.0724999999999999E-2</v>
      </c>
    </row>
    <row r="1645" spans="1:6" ht="12" thickBot="1">
      <c r="A1645" s="347">
        <v>39360</v>
      </c>
      <c r="B1645" s="348">
        <v>5.1218800000000002E-2</v>
      </c>
      <c r="C1645" s="348">
        <v>5.1656300000000002E-2</v>
      </c>
      <c r="D1645" s="348">
        <v>5.24313E-2</v>
      </c>
      <c r="E1645" s="348">
        <v>5.1749999999999997E-2</v>
      </c>
      <c r="F1645" s="349">
        <v>4.9875000000000003E-2</v>
      </c>
    </row>
    <row r="1646" spans="1:6" ht="12" thickBot="1">
      <c r="A1646" s="347">
        <v>39359</v>
      </c>
      <c r="B1646" s="348">
        <v>5.1249999999999997E-2</v>
      </c>
      <c r="C1646" s="348">
        <v>5.1674999999999999E-2</v>
      </c>
      <c r="D1646" s="348">
        <v>5.2437499999999998E-2</v>
      </c>
      <c r="E1646" s="348">
        <v>5.1781300000000002E-2</v>
      </c>
      <c r="F1646" s="349">
        <v>4.9950000000000001E-2</v>
      </c>
    </row>
    <row r="1647" spans="1:6" ht="12" thickBot="1">
      <c r="A1647" s="347">
        <v>39358</v>
      </c>
      <c r="B1647" s="348">
        <v>5.1249999999999997E-2</v>
      </c>
      <c r="C1647" s="348">
        <v>5.1687499999999997E-2</v>
      </c>
      <c r="D1647" s="348">
        <v>5.2437499999999998E-2</v>
      </c>
      <c r="E1647" s="348">
        <v>5.16625E-2</v>
      </c>
      <c r="F1647" s="349">
        <v>4.9543799999999999E-2</v>
      </c>
    </row>
    <row r="1648" spans="1:6" ht="12" thickBot="1">
      <c r="A1648" s="347">
        <v>39357</v>
      </c>
      <c r="B1648" s="348">
        <v>5.1262500000000003E-2</v>
      </c>
      <c r="C1648" s="348">
        <v>5.1693799999999998E-2</v>
      </c>
      <c r="D1648" s="348">
        <v>5.2400000000000002E-2</v>
      </c>
      <c r="E1648" s="348">
        <v>5.1624999999999997E-2</v>
      </c>
      <c r="F1648" s="349">
        <v>4.9756300000000003E-2</v>
      </c>
    </row>
    <row r="1649" spans="1:6" ht="12" thickBot="1">
      <c r="A1649" s="347">
        <v>39356</v>
      </c>
      <c r="B1649" s="348">
        <v>5.1206300000000003E-2</v>
      </c>
      <c r="C1649" s="348">
        <v>5.16625E-2</v>
      </c>
      <c r="D1649" s="348">
        <v>5.2299999999999999E-2</v>
      </c>
      <c r="E1649" s="348">
        <v>5.1462500000000001E-2</v>
      </c>
      <c r="F1649" s="349">
        <v>4.9349999999999998E-2</v>
      </c>
    </row>
    <row r="1650" spans="1:6" ht="12" thickBot="1">
      <c r="A1650" s="347">
        <v>39353</v>
      </c>
      <c r="B1650" s="348">
        <v>5.1237499999999998E-2</v>
      </c>
      <c r="C1650" s="348">
        <v>5.16625E-2</v>
      </c>
      <c r="D1650" s="348">
        <v>5.2287500000000001E-2</v>
      </c>
      <c r="E1650" s="348">
        <v>5.1325000000000003E-2</v>
      </c>
      <c r="F1650" s="349">
        <v>4.9012500000000001E-2</v>
      </c>
    </row>
    <row r="1651" spans="1:6" ht="12" thickBot="1">
      <c r="A1651" s="347">
        <v>39352</v>
      </c>
      <c r="B1651" s="348">
        <v>5.1275000000000001E-2</v>
      </c>
      <c r="C1651" s="348">
        <v>5.1687499999999997E-2</v>
      </c>
      <c r="D1651" s="348">
        <v>5.23063E-2</v>
      </c>
      <c r="E1651" s="348">
        <v>5.1443799999999998E-2</v>
      </c>
      <c r="F1651" s="349">
        <v>4.9349999999999998E-2</v>
      </c>
    </row>
    <row r="1652" spans="1:6" ht="12" thickBot="1">
      <c r="A1652" s="347">
        <v>39351</v>
      </c>
      <c r="B1652" s="348">
        <v>5.12875E-2</v>
      </c>
      <c r="C1652" s="348">
        <v>5.1681299999999999E-2</v>
      </c>
      <c r="D1652" s="348">
        <v>5.1981300000000001E-2</v>
      </c>
      <c r="E1652" s="348">
        <v>5.1424999999999998E-2</v>
      </c>
      <c r="F1652" s="349">
        <v>4.9299999999999997E-2</v>
      </c>
    </row>
    <row r="1653" spans="1:6" ht="12" thickBot="1">
      <c r="A1653" s="347">
        <v>39350</v>
      </c>
      <c r="B1653" s="348">
        <v>5.12875E-2</v>
      </c>
      <c r="C1653" s="348">
        <v>5.1687499999999997E-2</v>
      </c>
      <c r="D1653" s="348">
        <v>5.1999999999999998E-2</v>
      </c>
      <c r="E1653" s="348">
        <v>5.14125E-2</v>
      </c>
      <c r="F1653" s="349">
        <v>4.9274999999999999E-2</v>
      </c>
    </row>
    <row r="1654" spans="1:6" ht="12" thickBot="1">
      <c r="A1654" s="347">
        <v>39349</v>
      </c>
      <c r="B1654" s="348">
        <v>5.12875E-2</v>
      </c>
      <c r="C1654" s="348">
        <v>5.1700000000000003E-2</v>
      </c>
      <c r="D1654" s="348">
        <v>5.1999999999999998E-2</v>
      </c>
      <c r="E1654" s="348">
        <v>5.1062499999999997E-2</v>
      </c>
      <c r="F1654" s="349">
        <v>4.9106299999999999E-2</v>
      </c>
    </row>
    <row r="1655" spans="1:6" ht="12" thickBot="1">
      <c r="A1655" s="347">
        <v>39346</v>
      </c>
      <c r="B1655" s="348">
        <v>5.1312499999999997E-2</v>
      </c>
      <c r="C1655" s="348">
        <v>5.1712500000000002E-2</v>
      </c>
      <c r="D1655" s="348">
        <v>5.2025000000000002E-2</v>
      </c>
      <c r="E1655" s="348">
        <v>5.0950000000000002E-2</v>
      </c>
      <c r="F1655" s="349">
        <v>4.9037499999999998E-2</v>
      </c>
    </row>
    <row r="1656" spans="1:6" ht="12" thickBot="1">
      <c r="A1656" s="347">
        <v>39345</v>
      </c>
      <c r="B1656" s="348">
        <v>5.1362499999999998E-2</v>
      </c>
      <c r="C1656" s="348">
        <v>5.1749999999999997E-2</v>
      </c>
      <c r="D1656" s="348">
        <v>5.21E-2</v>
      </c>
      <c r="E1656" s="348">
        <v>5.0693799999999997E-2</v>
      </c>
      <c r="F1656" s="349">
        <v>4.8462499999999999E-2</v>
      </c>
    </row>
    <row r="1657" spans="1:6" ht="12" thickBot="1">
      <c r="A1657" s="347">
        <v>39344</v>
      </c>
      <c r="B1657" s="348">
        <v>5.1487499999999999E-2</v>
      </c>
      <c r="C1657" s="348">
        <v>5.1937499999999998E-2</v>
      </c>
      <c r="D1657" s="348">
        <v>5.2374999999999998E-2</v>
      </c>
      <c r="E1657" s="348">
        <v>5.11E-2</v>
      </c>
      <c r="F1657" s="349">
        <v>4.8774999999999999E-2</v>
      </c>
    </row>
    <row r="1658" spans="1:6" ht="12" thickBot="1">
      <c r="A1658" s="347">
        <v>39343</v>
      </c>
      <c r="B1658" s="348">
        <v>5.4962499999999997E-2</v>
      </c>
      <c r="C1658" s="348">
        <v>5.5537499999999997E-2</v>
      </c>
      <c r="D1658" s="348">
        <v>5.5875000000000001E-2</v>
      </c>
      <c r="E1658" s="348">
        <v>5.4199999999999998E-2</v>
      </c>
      <c r="F1658" s="349">
        <v>5.1124999999999997E-2</v>
      </c>
    </row>
    <row r="1659" spans="1:6" ht="12" thickBot="1">
      <c r="A1659" s="347">
        <v>39342</v>
      </c>
      <c r="B1659" s="348">
        <v>5.5024999999999998E-2</v>
      </c>
      <c r="C1659" s="348">
        <v>5.5649999999999998E-2</v>
      </c>
      <c r="D1659" s="348">
        <v>5.5974999999999997E-2</v>
      </c>
      <c r="E1659" s="348">
        <v>5.4199999999999998E-2</v>
      </c>
      <c r="F1659" s="349">
        <v>5.1137500000000002E-2</v>
      </c>
    </row>
    <row r="1660" spans="1:6" ht="12" thickBot="1">
      <c r="A1660" s="347">
        <v>39339</v>
      </c>
      <c r="B1660" s="348">
        <v>5.61375E-2</v>
      </c>
      <c r="C1660" s="348">
        <v>5.6312500000000001E-2</v>
      </c>
      <c r="D1660" s="348">
        <v>5.6462499999999999E-2</v>
      </c>
      <c r="E1660" s="348">
        <v>5.4574999999999999E-2</v>
      </c>
      <c r="F1660" s="349">
        <v>5.1237499999999998E-2</v>
      </c>
    </row>
    <row r="1661" spans="1:6" ht="12" thickBot="1">
      <c r="A1661" s="347">
        <v>39338</v>
      </c>
      <c r="B1661" s="348">
        <v>5.7525E-2</v>
      </c>
      <c r="C1661" s="348">
        <v>5.7168799999999999E-2</v>
      </c>
      <c r="D1661" s="348">
        <v>5.6943800000000003E-2</v>
      </c>
      <c r="E1661" s="348">
        <v>5.5093799999999998E-2</v>
      </c>
      <c r="F1661" s="349">
        <v>5.1299999999999998E-2</v>
      </c>
    </row>
    <row r="1662" spans="1:6" ht="12" thickBot="1">
      <c r="A1662" s="347">
        <v>39337</v>
      </c>
      <c r="B1662" s="348">
        <v>5.8000000000000003E-2</v>
      </c>
      <c r="C1662" s="348">
        <v>5.7325000000000001E-2</v>
      </c>
      <c r="D1662" s="348">
        <v>5.70313E-2</v>
      </c>
      <c r="E1662" s="348">
        <v>5.51875E-2</v>
      </c>
      <c r="F1662" s="349">
        <v>5.1237499999999998E-2</v>
      </c>
    </row>
    <row r="1663" spans="1:6" ht="12" thickBot="1">
      <c r="A1663" s="347">
        <v>39336</v>
      </c>
      <c r="B1663" s="348">
        <v>5.8031300000000001E-2</v>
      </c>
      <c r="C1663" s="348">
        <v>5.7331300000000002E-2</v>
      </c>
      <c r="D1663" s="348">
        <v>5.70313E-2</v>
      </c>
      <c r="E1663" s="348">
        <v>5.4887499999999999E-2</v>
      </c>
      <c r="F1663" s="349">
        <v>5.0825000000000002E-2</v>
      </c>
    </row>
    <row r="1664" spans="1:6" ht="12" thickBot="1">
      <c r="A1664" s="347">
        <v>39335</v>
      </c>
      <c r="B1664" s="348">
        <v>5.8062500000000003E-2</v>
      </c>
      <c r="C1664" s="348">
        <v>5.73375E-2</v>
      </c>
      <c r="D1664" s="348">
        <v>5.7037499999999998E-2</v>
      </c>
      <c r="E1664" s="348">
        <v>5.4787500000000003E-2</v>
      </c>
      <c r="F1664" s="349">
        <v>5.0693799999999997E-2</v>
      </c>
    </row>
    <row r="1665" spans="1:6" ht="12" thickBot="1">
      <c r="A1665" s="347">
        <v>39332</v>
      </c>
      <c r="B1665" s="348">
        <v>5.8237499999999998E-2</v>
      </c>
      <c r="C1665" s="348">
        <v>5.7537499999999998E-2</v>
      </c>
      <c r="D1665" s="348">
        <v>5.7250000000000002E-2</v>
      </c>
      <c r="E1665" s="348">
        <v>5.5724999999999997E-2</v>
      </c>
      <c r="F1665" s="349">
        <v>5.2262500000000003E-2</v>
      </c>
    </row>
    <row r="1666" spans="1:6" ht="12" thickBot="1">
      <c r="A1666" s="347">
        <v>39331</v>
      </c>
      <c r="B1666" s="348">
        <v>5.8200000000000002E-2</v>
      </c>
      <c r="C1666" s="348">
        <v>5.7537499999999998E-2</v>
      </c>
      <c r="D1666" s="348">
        <v>5.7237499999999997E-2</v>
      </c>
      <c r="E1666" s="348">
        <v>5.5625000000000001E-2</v>
      </c>
      <c r="F1666" s="349">
        <v>5.2281300000000003E-2</v>
      </c>
    </row>
    <row r="1667" spans="1:6" ht="12" thickBot="1">
      <c r="A1667" s="347">
        <v>39330</v>
      </c>
      <c r="B1667" s="348">
        <v>5.8187500000000003E-2</v>
      </c>
      <c r="C1667" s="348">
        <v>5.7500000000000002E-2</v>
      </c>
      <c r="D1667" s="348">
        <v>5.7200000000000001E-2</v>
      </c>
      <c r="E1667" s="348">
        <v>5.595E-2</v>
      </c>
      <c r="F1667" s="349">
        <v>5.2824999999999997E-2</v>
      </c>
    </row>
    <row r="1668" spans="1:6" ht="12" thickBot="1">
      <c r="A1668" s="347">
        <v>39329</v>
      </c>
      <c r="B1668" s="348">
        <v>5.7974999999999999E-2</v>
      </c>
      <c r="C1668" s="348">
        <v>5.7287499999999998E-2</v>
      </c>
      <c r="D1668" s="348">
        <v>5.6981299999999999E-2</v>
      </c>
      <c r="E1668" s="348">
        <v>5.5637499999999999E-2</v>
      </c>
      <c r="F1668" s="349">
        <v>5.2525000000000002E-2</v>
      </c>
    </row>
    <row r="1669" spans="1:6" ht="12" thickBot="1">
      <c r="A1669" s="347">
        <v>39328</v>
      </c>
      <c r="B1669" s="348">
        <v>5.765E-2</v>
      </c>
      <c r="C1669" s="348">
        <v>5.6974999999999998E-2</v>
      </c>
      <c r="D1669" s="348">
        <v>5.6687500000000002E-2</v>
      </c>
      <c r="E1669" s="348">
        <v>5.5487500000000002E-2</v>
      </c>
      <c r="F1669" s="349">
        <v>5.2600000000000001E-2</v>
      </c>
    </row>
    <row r="1670" spans="1:6" ht="12" thickBot="1">
      <c r="A1670" s="347">
        <v>39325</v>
      </c>
      <c r="B1670" s="348">
        <v>5.7200000000000001E-2</v>
      </c>
      <c r="C1670" s="348">
        <v>5.6550000000000003E-2</v>
      </c>
      <c r="D1670" s="348">
        <v>5.6212499999999999E-2</v>
      </c>
      <c r="E1670" s="348">
        <v>5.5350000000000003E-2</v>
      </c>
      <c r="F1670" s="349">
        <v>5.2749999999999998E-2</v>
      </c>
    </row>
    <row r="1671" spans="1:6" ht="12" thickBot="1">
      <c r="A1671" s="347">
        <v>39324</v>
      </c>
      <c r="B1671" s="348">
        <v>5.6649999999999999E-2</v>
      </c>
      <c r="C1671" s="348">
        <v>5.61375E-2</v>
      </c>
      <c r="D1671" s="348">
        <v>5.5800000000000002E-2</v>
      </c>
      <c r="E1671" s="348">
        <v>5.4625E-2</v>
      </c>
      <c r="F1671" s="349">
        <v>5.2075000000000003E-2</v>
      </c>
    </row>
    <row r="1672" spans="1:6" ht="12" thickBot="1">
      <c r="A1672" s="347">
        <v>39323</v>
      </c>
      <c r="B1672" s="348">
        <v>5.5649999999999998E-2</v>
      </c>
      <c r="C1672" s="348">
        <v>5.5500000000000001E-2</v>
      </c>
      <c r="D1672" s="348">
        <v>5.5412500000000003E-2</v>
      </c>
      <c r="E1672" s="348">
        <v>5.4274999999999997E-2</v>
      </c>
      <c r="F1672" s="349">
        <v>5.1799999999999999E-2</v>
      </c>
    </row>
    <row r="1673" spans="1:6" ht="12" thickBot="1">
      <c r="A1673" s="347">
        <v>39322</v>
      </c>
      <c r="B1673" s="348">
        <v>5.5074999999999999E-2</v>
      </c>
      <c r="C1673" s="348">
        <v>5.5093799999999998E-2</v>
      </c>
      <c r="D1673" s="348">
        <v>5.5100000000000003E-2</v>
      </c>
      <c r="E1673" s="348">
        <v>5.4274999999999997E-2</v>
      </c>
      <c r="F1673" s="349">
        <v>5.2124999999999998E-2</v>
      </c>
    </row>
    <row r="1674" spans="1:6" ht="12" thickBot="1">
      <c r="A1674" s="347">
        <v>39321</v>
      </c>
      <c r="B1674" s="348">
        <v>5.5024999999999998E-2</v>
      </c>
      <c r="C1674" s="348">
        <v>5.5056300000000002E-2</v>
      </c>
      <c r="D1674" s="348">
        <v>5.5056300000000002E-2</v>
      </c>
      <c r="E1674" s="348">
        <v>5.4112500000000001E-2</v>
      </c>
      <c r="F1674" s="349">
        <v>5.1999999999999998E-2</v>
      </c>
    </row>
    <row r="1675" spans="1:6" ht="12" thickBot="1">
      <c r="A1675" s="347">
        <v>39317</v>
      </c>
      <c r="B1675" s="348">
        <v>5.5050000000000002E-2</v>
      </c>
      <c r="C1675" s="348">
        <v>5.50625E-2</v>
      </c>
      <c r="D1675" s="348">
        <v>5.5050000000000002E-2</v>
      </c>
      <c r="E1675" s="348">
        <v>5.43125E-2</v>
      </c>
      <c r="F1675" s="349">
        <v>5.2187499999999998E-2</v>
      </c>
    </row>
    <row r="1676" spans="1:6" ht="12" thickBot="1">
      <c r="A1676" s="347">
        <v>39316</v>
      </c>
      <c r="B1676" s="348">
        <v>5.5E-2</v>
      </c>
      <c r="C1676" s="348">
        <v>5.5E-2</v>
      </c>
      <c r="D1676" s="348">
        <v>5.4987500000000002E-2</v>
      </c>
      <c r="E1676" s="348">
        <v>5.3731300000000003E-2</v>
      </c>
      <c r="F1676" s="349">
        <v>5.10375E-2</v>
      </c>
    </row>
    <row r="1677" spans="1:6" ht="12" thickBot="1">
      <c r="A1677" s="347">
        <v>39315</v>
      </c>
      <c r="B1677" s="348">
        <v>5.5E-2</v>
      </c>
      <c r="C1677" s="348">
        <v>5.4975000000000003E-2</v>
      </c>
      <c r="D1677" s="348">
        <v>5.4943800000000001E-2</v>
      </c>
      <c r="E1677" s="348">
        <v>5.3287500000000002E-2</v>
      </c>
      <c r="F1677" s="349">
        <v>5.0450000000000002E-2</v>
      </c>
    </row>
    <row r="1678" spans="1:6" ht="12" thickBot="1">
      <c r="A1678" s="347">
        <v>39314</v>
      </c>
      <c r="B1678" s="348">
        <v>5.5012499999999999E-2</v>
      </c>
      <c r="C1678" s="348">
        <v>5.4975000000000003E-2</v>
      </c>
      <c r="D1678" s="348">
        <v>5.4949999999999999E-2</v>
      </c>
      <c r="E1678" s="348">
        <v>5.3475000000000002E-2</v>
      </c>
      <c r="F1678" s="349">
        <v>5.0775000000000001E-2</v>
      </c>
    </row>
    <row r="1679" spans="1:6" ht="12" thickBot="1">
      <c r="A1679" s="347">
        <v>39311</v>
      </c>
      <c r="B1679" s="348">
        <v>5.5100000000000003E-2</v>
      </c>
      <c r="C1679" s="348">
        <v>5.50625E-2</v>
      </c>
      <c r="D1679" s="348">
        <v>5.5E-2</v>
      </c>
      <c r="E1679" s="348">
        <v>5.355E-2</v>
      </c>
      <c r="F1679" s="349">
        <v>5.0737499999999998E-2</v>
      </c>
    </row>
    <row r="1680" spans="1:6" ht="12" thickBot="1">
      <c r="A1680" s="347">
        <v>39310</v>
      </c>
      <c r="B1680" s="348">
        <v>5.5375000000000001E-2</v>
      </c>
      <c r="C1680" s="348">
        <v>5.5237500000000002E-2</v>
      </c>
      <c r="D1680" s="348">
        <v>5.5100000000000003E-2</v>
      </c>
      <c r="E1680" s="348">
        <v>5.3787500000000002E-2</v>
      </c>
      <c r="F1680" s="349">
        <v>5.1618799999999999E-2</v>
      </c>
    </row>
    <row r="1681" spans="1:6" ht="12" thickBot="1">
      <c r="A1681" s="347">
        <v>39309</v>
      </c>
      <c r="B1681" s="348">
        <v>5.5693800000000002E-2</v>
      </c>
      <c r="C1681" s="348">
        <v>5.5399999999999998E-2</v>
      </c>
      <c r="D1681" s="348">
        <v>5.5199999999999999E-2</v>
      </c>
      <c r="E1681" s="348">
        <v>5.3912500000000002E-2</v>
      </c>
      <c r="F1681" s="349">
        <v>5.2087500000000002E-2</v>
      </c>
    </row>
    <row r="1682" spans="1:6" ht="12" thickBot="1">
      <c r="A1682" s="347">
        <v>39308</v>
      </c>
      <c r="B1682" s="348">
        <v>5.58875E-2</v>
      </c>
      <c r="C1682" s="348">
        <v>5.5500000000000001E-2</v>
      </c>
      <c r="D1682" s="348">
        <v>5.5300000000000002E-2</v>
      </c>
      <c r="E1682" s="348">
        <v>5.3987500000000001E-2</v>
      </c>
      <c r="F1682" s="349">
        <v>5.2424999999999999E-2</v>
      </c>
    </row>
    <row r="1683" spans="1:6" ht="12" thickBot="1">
      <c r="A1683" s="347">
        <v>39307</v>
      </c>
      <c r="B1683" s="348">
        <v>5.6112500000000003E-2</v>
      </c>
      <c r="C1683" s="348">
        <v>5.57625E-2</v>
      </c>
      <c r="D1683" s="348">
        <v>5.5574999999999999E-2</v>
      </c>
      <c r="E1683" s="348">
        <v>5.3999999999999999E-2</v>
      </c>
      <c r="F1683" s="349">
        <v>5.2362499999999999E-2</v>
      </c>
    </row>
    <row r="1684" spans="1:6" ht="12" thickBot="1">
      <c r="A1684" s="347">
        <v>39304</v>
      </c>
      <c r="B1684" s="348">
        <v>5.6187500000000001E-2</v>
      </c>
      <c r="C1684" s="348">
        <v>5.5937500000000001E-2</v>
      </c>
      <c r="D1684" s="348">
        <v>5.5750000000000001E-2</v>
      </c>
      <c r="E1684" s="348">
        <v>5.4012499999999998E-2</v>
      </c>
      <c r="F1684" s="349">
        <v>5.2312499999999998E-2</v>
      </c>
    </row>
    <row r="1685" spans="1:6" ht="12" thickBot="1">
      <c r="A1685" s="347">
        <v>39303</v>
      </c>
      <c r="B1685" s="348">
        <v>5.5412500000000003E-2</v>
      </c>
      <c r="C1685" s="348">
        <v>5.5112500000000002E-2</v>
      </c>
      <c r="D1685" s="348">
        <v>5.5E-2</v>
      </c>
      <c r="E1685" s="348">
        <v>5.3887499999999998E-2</v>
      </c>
      <c r="F1685" s="349">
        <v>5.2587500000000002E-2</v>
      </c>
    </row>
    <row r="1686" spans="1:6" ht="12" thickBot="1">
      <c r="A1686" s="347">
        <v>39302</v>
      </c>
      <c r="B1686" s="348">
        <v>5.3499999999999999E-2</v>
      </c>
      <c r="C1686" s="348">
        <v>5.3637499999999998E-2</v>
      </c>
      <c r="D1686" s="348">
        <v>5.3800000000000001E-2</v>
      </c>
      <c r="E1686" s="348">
        <v>5.3387499999999997E-2</v>
      </c>
      <c r="F1686" s="349">
        <v>5.2374999999999998E-2</v>
      </c>
    </row>
    <row r="1687" spans="1:6" ht="12" thickBot="1">
      <c r="A1687" s="347">
        <v>39301</v>
      </c>
      <c r="B1687" s="348">
        <v>5.33E-2</v>
      </c>
      <c r="C1687" s="348">
        <v>5.3462500000000003E-2</v>
      </c>
      <c r="D1687" s="348">
        <v>5.3600000000000002E-2</v>
      </c>
      <c r="E1687" s="348">
        <v>5.28E-2</v>
      </c>
      <c r="F1687" s="349">
        <v>5.1575000000000003E-2</v>
      </c>
    </row>
    <row r="1688" spans="1:6" ht="12" thickBot="1">
      <c r="A1688" s="347">
        <v>39300</v>
      </c>
      <c r="B1688" s="348">
        <v>5.33E-2</v>
      </c>
      <c r="C1688" s="348">
        <v>5.3431300000000001E-2</v>
      </c>
      <c r="D1688" s="348">
        <v>5.3562499999999999E-2</v>
      </c>
      <c r="E1688" s="348">
        <v>5.2568799999999999E-2</v>
      </c>
      <c r="F1688" s="349">
        <v>5.11625E-2</v>
      </c>
    </row>
    <row r="1689" spans="1:6" ht="12" thickBot="1">
      <c r="A1689" s="347">
        <v>39297</v>
      </c>
      <c r="B1689" s="348">
        <v>5.33E-2</v>
      </c>
      <c r="C1689" s="348">
        <v>5.3464999999999999E-2</v>
      </c>
      <c r="D1689" s="348">
        <v>5.3600000000000002E-2</v>
      </c>
      <c r="E1689" s="348">
        <v>5.3143799999999998E-2</v>
      </c>
      <c r="F1689" s="349">
        <v>5.2168800000000001E-2</v>
      </c>
    </row>
    <row r="1690" spans="1:6" ht="12" thickBot="1">
      <c r="A1690" s="347">
        <v>39296</v>
      </c>
      <c r="B1690" s="348">
        <v>5.33E-2</v>
      </c>
      <c r="C1690" s="348">
        <v>5.3462500000000003E-2</v>
      </c>
      <c r="D1690" s="348">
        <v>5.3600000000000002E-2</v>
      </c>
      <c r="E1690" s="348">
        <v>5.3181300000000001E-2</v>
      </c>
      <c r="F1690" s="349">
        <v>5.2299999999999999E-2</v>
      </c>
    </row>
    <row r="1691" spans="1:6" ht="12" thickBot="1">
      <c r="A1691" s="347">
        <v>39295</v>
      </c>
      <c r="B1691" s="348">
        <v>5.3275000000000003E-2</v>
      </c>
      <c r="C1691" s="348">
        <v>5.34438E-2</v>
      </c>
      <c r="D1691" s="348">
        <v>5.3595299999999998E-2</v>
      </c>
      <c r="E1691" s="348">
        <v>5.3006299999999999E-2</v>
      </c>
      <c r="F1691" s="349">
        <v>5.18688E-2</v>
      </c>
    </row>
    <row r="1692" spans="1:6" ht="12" thickBot="1">
      <c r="A1692" s="347">
        <v>39294</v>
      </c>
      <c r="B1692" s="348">
        <v>5.3199999999999997E-2</v>
      </c>
      <c r="C1692" s="348">
        <v>5.3400000000000003E-2</v>
      </c>
      <c r="D1692" s="348">
        <v>5.3586599999999998E-2</v>
      </c>
      <c r="E1692" s="348">
        <v>5.3268799999999998E-2</v>
      </c>
      <c r="F1692" s="349">
        <v>5.2449999999999997E-2</v>
      </c>
    </row>
    <row r="1693" spans="1:6" ht="12" thickBot="1">
      <c r="A1693" s="347">
        <v>39293</v>
      </c>
      <c r="B1693" s="348">
        <v>5.3199999999999997E-2</v>
      </c>
      <c r="C1693" s="348">
        <v>5.3400000000000003E-2</v>
      </c>
      <c r="D1693" s="348">
        <v>5.3562499999999999E-2</v>
      </c>
      <c r="E1693" s="348">
        <v>5.3124999999999999E-2</v>
      </c>
      <c r="F1693" s="349">
        <v>5.2231300000000001E-2</v>
      </c>
    </row>
    <row r="1694" spans="1:6" ht="12" thickBot="1">
      <c r="A1694" s="347">
        <v>39290</v>
      </c>
      <c r="B1694" s="348">
        <v>5.3199999999999997E-2</v>
      </c>
      <c r="C1694" s="348">
        <v>5.3400000000000003E-2</v>
      </c>
      <c r="D1694" s="348">
        <v>5.3574999999999998E-2</v>
      </c>
      <c r="E1694" s="348">
        <v>5.3268799999999998E-2</v>
      </c>
      <c r="F1694" s="349">
        <v>5.2568799999999999E-2</v>
      </c>
    </row>
    <row r="1695" spans="1:6" ht="12" thickBot="1">
      <c r="A1695" s="347">
        <v>39289</v>
      </c>
      <c r="B1695" s="348">
        <v>5.3199999999999997E-2</v>
      </c>
      <c r="C1695" s="348">
        <v>5.3400000000000003E-2</v>
      </c>
      <c r="D1695" s="348">
        <v>5.3600000000000002E-2</v>
      </c>
      <c r="E1695" s="348">
        <v>5.36938E-2</v>
      </c>
      <c r="F1695" s="349">
        <v>5.3531299999999997E-2</v>
      </c>
    </row>
    <row r="1696" spans="1:6" ht="12" thickBot="1">
      <c r="A1696" s="347">
        <v>39288</v>
      </c>
      <c r="B1696" s="348">
        <v>5.3199999999999997E-2</v>
      </c>
      <c r="C1696" s="348">
        <v>5.3400000000000003E-2</v>
      </c>
      <c r="D1696" s="348">
        <v>5.3600000000000002E-2</v>
      </c>
      <c r="E1696" s="348">
        <v>5.3703099999999997E-2</v>
      </c>
      <c r="F1696" s="349">
        <v>5.3600000000000002E-2</v>
      </c>
    </row>
    <row r="1697" spans="1:6" ht="12" thickBot="1">
      <c r="A1697" s="347">
        <v>39287</v>
      </c>
      <c r="B1697" s="348">
        <v>5.3199999999999997E-2</v>
      </c>
      <c r="C1697" s="348">
        <v>5.3400000000000003E-2</v>
      </c>
      <c r="D1697" s="348">
        <v>5.3600000000000002E-2</v>
      </c>
      <c r="E1697" s="348">
        <v>5.3740599999999999E-2</v>
      </c>
      <c r="F1697" s="349">
        <v>5.3787500000000002E-2</v>
      </c>
    </row>
    <row r="1698" spans="1:6" ht="12" thickBot="1">
      <c r="A1698" s="347">
        <v>39286</v>
      </c>
      <c r="B1698" s="348">
        <v>5.3199999999999997E-2</v>
      </c>
      <c r="C1698" s="348">
        <v>5.3400000000000003E-2</v>
      </c>
      <c r="D1698" s="348">
        <v>5.3600000000000002E-2</v>
      </c>
      <c r="E1698" s="348">
        <v>5.3699999999999998E-2</v>
      </c>
      <c r="F1698" s="349">
        <v>5.3650000000000003E-2</v>
      </c>
    </row>
    <row r="1699" spans="1:6" ht="12" thickBot="1">
      <c r="A1699" s="347">
        <v>39283</v>
      </c>
      <c r="B1699" s="348">
        <v>5.3199999999999997E-2</v>
      </c>
      <c r="C1699" s="348">
        <v>5.3400000000000003E-2</v>
      </c>
      <c r="D1699" s="348">
        <v>5.3600000000000002E-2</v>
      </c>
      <c r="E1699" s="348">
        <v>5.3811299999999999E-2</v>
      </c>
      <c r="F1699" s="349">
        <v>5.3999999999999999E-2</v>
      </c>
    </row>
    <row r="1700" spans="1:6" ht="12" thickBot="1">
      <c r="A1700" s="347">
        <v>39282</v>
      </c>
      <c r="B1700" s="348">
        <v>5.3199999999999997E-2</v>
      </c>
      <c r="C1700" s="348">
        <v>5.3400000000000003E-2</v>
      </c>
      <c r="D1700" s="348">
        <v>5.3600000000000002E-2</v>
      </c>
      <c r="E1700" s="348">
        <v>5.3843799999999997E-2</v>
      </c>
      <c r="F1700" s="349">
        <v>5.40531E-2</v>
      </c>
    </row>
    <row r="1701" spans="1:6" ht="12" thickBot="1">
      <c r="A1701" s="347">
        <v>39281</v>
      </c>
      <c r="B1701" s="348">
        <v>5.3199999999999997E-2</v>
      </c>
      <c r="C1701" s="348">
        <v>5.3400000000000003E-2</v>
      </c>
      <c r="D1701" s="348">
        <v>5.3600000000000002E-2</v>
      </c>
      <c r="E1701" s="348">
        <v>5.3824999999999998E-2</v>
      </c>
      <c r="F1701" s="349">
        <v>5.4112500000000001E-2</v>
      </c>
    </row>
    <row r="1702" spans="1:6" ht="12" thickBot="1">
      <c r="A1702" s="347">
        <v>39280</v>
      </c>
      <c r="B1702" s="348">
        <v>5.3199999999999997E-2</v>
      </c>
      <c r="C1702" s="348">
        <v>5.3400000000000003E-2</v>
      </c>
      <c r="D1702" s="348">
        <v>5.3600000000000002E-2</v>
      </c>
      <c r="E1702" s="348">
        <v>5.3868800000000001E-2</v>
      </c>
      <c r="F1702" s="349">
        <v>5.4118800000000002E-2</v>
      </c>
    </row>
    <row r="1703" spans="1:6" ht="12" thickBot="1">
      <c r="A1703" s="347">
        <v>39279</v>
      </c>
      <c r="B1703" s="348">
        <v>5.3199999999999997E-2</v>
      </c>
      <c r="C1703" s="348">
        <v>5.3400000000000003E-2</v>
      </c>
      <c r="D1703" s="348">
        <v>5.3600000000000002E-2</v>
      </c>
      <c r="E1703" s="348">
        <v>5.38656E-2</v>
      </c>
      <c r="F1703" s="349">
        <v>5.4203099999999997E-2</v>
      </c>
    </row>
    <row r="1704" spans="1:6" ht="12" thickBot="1">
      <c r="A1704" s="347">
        <v>39276</v>
      </c>
      <c r="B1704" s="348">
        <v>5.3199999999999997E-2</v>
      </c>
      <c r="C1704" s="348">
        <v>5.3400000000000003E-2</v>
      </c>
      <c r="D1704" s="348">
        <v>5.3600000000000002E-2</v>
      </c>
      <c r="E1704" s="348">
        <v>5.3874999999999999E-2</v>
      </c>
      <c r="F1704" s="349">
        <v>5.43125E-2</v>
      </c>
    </row>
    <row r="1705" spans="1:6" ht="12" thickBot="1">
      <c r="A1705" s="347">
        <v>39275</v>
      </c>
      <c r="B1705" s="348">
        <v>5.3199999999999997E-2</v>
      </c>
      <c r="C1705" s="348">
        <v>5.3400000000000003E-2</v>
      </c>
      <c r="D1705" s="348">
        <v>5.3600000000000002E-2</v>
      </c>
      <c r="E1705" s="348">
        <v>5.3859999999999998E-2</v>
      </c>
      <c r="F1705" s="349">
        <v>5.4162500000000002E-2</v>
      </c>
    </row>
    <row r="1706" spans="1:6" ht="12" thickBot="1">
      <c r="A1706" s="347">
        <v>39274</v>
      </c>
      <c r="B1706" s="348">
        <v>5.3199999999999997E-2</v>
      </c>
      <c r="C1706" s="348">
        <v>5.3400000000000003E-2</v>
      </c>
      <c r="D1706" s="348">
        <v>5.3600000000000002E-2</v>
      </c>
      <c r="E1706" s="348">
        <v>5.3800000000000001E-2</v>
      </c>
      <c r="F1706" s="349">
        <v>5.3956299999999999E-2</v>
      </c>
    </row>
    <row r="1707" spans="1:6" ht="12" thickBot="1">
      <c r="A1707" s="347">
        <v>39273</v>
      </c>
      <c r="B1707" s="348">
        <v>5.3199999999999997E-2</v>
      </c>
      <c r="C1707" s="348">
        <v>5.3400000000000003E-2</v>
      </c>
      <c r="D1707" s="348">
        <v>5.3600000000000002E-2</v>
      </c>
      <c r="E1707" s="348">
        <v>5.3946899999999999E-2</v>
      </c>
      <c r="F1707" s="349">
        <v>5.4449999999999998E-2</v>
      </c>
    </row>
    <row r="1708" spans="1:6" ht="12" thickBot="1">
      <c r="A1708" s="347">
        <v>39272</v>
      </c>
      <c r="B1708" s="348">
        <v>5.3199999999999997E-2</v>
      </c>
      <c r="C1708" s="348">
        <v>5.3400000000000003E-2</v>
      </c>
      <c r="D1708" s="348">
        <v>5.3600000000000002E-2</v>
      </c>
      <c r="E1708" s="348">
        <v>5.3962499999999997E-2</v>
      </c>
      <c r="F1708" s="349">
        <v>5.4593799999999998E-2</v>
      </c>
    </row>
    <row r="1709" spans="1:6" ht="12" thickBot="1">
      <c r="A1709" s="347">
        <v>39269</v>
      </c>
      <c r="B1709" s="348">
        <v>5.3199999999999997E-2</v>
      </c>
      <c r="C1709" s="348">
        <v>5.3400000000000003E-2</v>
      </c>
      <c r="D1709" s="348">
        <v>5.3600000000000002E-2</v>
      </c>
      <c r="E1709" s="348">
        <v>5.3906299999999997E-2</v>
      </c>
      <c r="F1709" s="349">
        <v>5.4481300000000003E-2</v>
      </c>
    </row>
    <row r="1710" spans="1:6" ht="12" thickBot="1">
      <c r="A1710" s="347">
        <v>39268</v>
      </c>
      <c r="B1710" s="348">
        <v>5.3199999999999997E-2</v>
      </c>
      <c r="C1710" s="348">
        <v>5.3400000000000003E-2</v>
      </c>
      <c r="D1710" s="348">
        <v>5.3600000000000002E-2</v>
      </c>
      <c r="E1710" s="348">
        <v>5.3862500000000001E-2</v>
      </c>
      <c r="F1710" s="349">
        <v>5.4175000000000001E-2</v>
      </c>
    </row>
    <row r="1711" spans="1:6" ht="12" thickBot="1">
      <c r="A1711" s="347">
        <v>39267</v>
      </c>
      <c r="B1711" s="348">
        <v>5.3199999999999997E-2</v>
      </c>
      <c r="C1711" s="348">
        <v>5.3400000000000003E-2</v>
      </c>
      <c r="D1711" s="348">
        <v>5.3600000000000002E-2</v>
      </c>
      <c r="E1711" s="348">
        <v>5.3806300000000001E-2</v>
      </c>
      <c r="F1711" s="349">
        <v>5.4050000000000001E-2</v>
      </c>
    </row>
    <row r="1712" spans="1:6" ht="12" thickBot="1">
      <c r="A1712" s="347">
        <v>39266</v>
      </c>
      <c r="B1712" s="348">
        <v>5.3199999999999997E-2</v>
      </c>
      <c r="C1712" s="348">
        <v>5.3400000000000003E-2</v>
      </c>
      <c r="D1712" s="348">
        <v>5.3600000000000002E-2</v>
      </c>
      <c r="E1712" s="348">
        <v>5.3800000000000001E-2</v>
      </c>
      <c r="F1712" s="349">
        <v>5.3925000000000001E-2</v>
      </c>
    </row>
    <row r="1713" spans="1:6" ht="12" thickBot="1">
      <c r="A1713" s="347">
        <v>39265</v>
      </c>
      <c r="B1713" s="348">
        <v>5.3199999999999997E-2</v>
      </c>
      <c r="C1713" s="348">
        <v>5.3400000000000003E-2</v>
      </c>
      <c r="D1713" s="348">
        <v>5.3600000000000002E-2</v>
      </c>
      <c r="E1713" s="348">
        <v>5.3800000000000001E-2</v>
      </c>
      <c r="F1713" s="349">
        <v>5.3893799999999999E-2</v>
      </c>
    </row>
    <row r="1714" spans="1:6" ht="12" thickBot="1">
      <c r="A1714" s="347">
        <v>39262</v>
      </c>
      <c r="B1714" s="348">
        <v>5.3199999999999997E-2</v>
      </c>
      <c r="C1714" s="348">
        <v>5.3400000000000003E-2</v>
      </c>
      <c r="D1714" s="348">
        <v>5.3600000000000002E-2</v>
      </c>
      <c r="E1714" s="348">
        <v>5.3862500000000001E-2</v>
      </c>
      <c r="F1714" s="349">
        <v>5.42563E-2</v>
      </c>
    </row>
    <row r="1715" spans="1:6" ht="12" thickBot="1">
      <c r="A1715" s="347">
        <v>39261</v>
      </c>
      <c r="B1715" s="348">
        <v>5.3199999999999997E-2</v>
      </c>
      <c r="C1715" s="348">
        <v>5.3400000000000003E-2</v>
      </c>
      <c r="D1715" s="348">
        <v>5.3600000000000002E-2</v>
      </c>
      <c r="E1715" s="348">
        <v>5.3800000000000001E-2</v>
      </c>
      <c r="F1715" s="349">
        <v>5.4037500000000002E-2</v>
      </c>
    </row>
    <row r="1716" spans="1:6" ht="12" thickBot="1">
      <c r="A1716" s="347">
        <v>39260</v>
      </c>
      <c r="B1716" s="348">
        <v>5.3199999999999997E-2</v>
      </c>
      <c r="C1716" s="348">
        <v>5.3400000000000003E-2</v>
      </c>
      <c r="D1716" s="348">
        <v>5.3600000000000002E-2</v>
      </c>
      <c r="E1716" s="348">
        <v>5.3749999999999999E-2</v>
      </c>
      <c r="F1716" s="349">
        <v>5.3800000000000001E-2</v>
      </c>
    </row>
    <row r="1717" spans="1:6" ht="12" thickBot="1">
      <c r="A1717" s="347">
        <v>39259</v>
      </c>
      <c r="B1717" s="348">
        <v>5.3199999999999997E-2</v>
      </c>
      <c r="C1717" s="348">
        <v>5.3400000000000003E-2</v>
      </c>
      <c r="D1717" s="348">
        <v>5.3600000000000002E-2</v>
      </c>
      <c r="E1717" s="348">
        <v>5.3749999999999999E-2</v>
      </c>
      <c r="F1717" s="349">
        <v>5.3874999999999999E-2</v>
      </c>
    </row>
    <row r="1718" spans="1:6" ht="12" thickBot="1">
      <c r="A1718" s="347">
        <v>39258</v>
      </c>
      <c r="B1718" s="348">
        <v>5.3199999999999997E-2</v>
      </c>
      <c r="C1718" s="348">
        <v>5.3400000000000003E-2</v>
      </c>
      <c r="D1718" s="348">
        <v>5.3600000000000002E-2</v>
      </c>
      <c r="E1718" s="348">
        <v>5.3762499999999998E-2</v>
      </c>
      <c r="F1718" s="349">
        <v>5.3999999999999999E-2</v>
      </c>
    </row>
    <row r="1719" spans="1:6" ht="12" thickBot="1">
      <c r="A1719" s="347">
        <v>39255</v>
      </c>
      <c r="B1719" s="348">
        <v>5.3199999999999997E-2</v>
      </c>
      <c r="C1719" s="348">
        <v>5.3400000000000003E-2</v>
      </c>
      <c r="D1719" s="348">
        <v>5.3600000000000002E-2</v>
      </c>
      <c r="E1719" s="348">
        <v>5.3900000000000003E-2</v>
      </c>
      <c r="F1719" s="349">
        <v>5.4493800000000002E-2</v>
      </c>
    </row>
    <row r="1720" spans="1:6" ht="12" thickBot="1">
      <c r="A1720" s="347">
        <v>39254</v>
      </c>
      <c r="B1720" s="348">
        <v>5.3199999999999997E-2</v>
      </c>
      <c r="C1720" s="348">
        <v>5.3400000000000003E-2</v>
      </c>
      <c r="D1720" s="348">
        <v>5.3600000000000002E-2</v>
      </c>
      <c r="E1720" s="348">
        <v>5.39344E-2</v>
      </c>
      <c r="F1720" s="349">
        <v>5.4531299999999998E-2</v>
      </c>
    </row>
    <row r="1721" spans="1:6" ht="12" thickBot="1">
      <c r="A1721" s="347">
        <v>39253</v>
      </c>
      <c r="B1721" s="348">
        <v>5.3199999999999997E-2</v>
      </c>
      <c r="C1721" s="348">
        <v>5.3400000000000003E-2</v>
      </c>
      <c r="D1721" s="348">
        <v>5.3600000000000002E-2</v>
      </c>
      <c r="E1721" s="348">
        <v>5.3931300000000001E-2</v>
      </c>
      <c r="F1721" s="349">
        <v>5.4387499999999998E-2</v>
      </c>
    </row>
    <row r="1722" spans="1:6" ht="12" thickBot="1">
      <c r="A1722" s="347">
        <v>39252</v>
      </c>
      <c r="B1722" s="348">
        <v>5.3199999999999997E-2</v>
      </c>
      <c r="C1722" s="348">
        <v>5.3400000000000003E-2</v>
      </c>
      <c r="D1722" s="348">
        <v>5.3600000000000002E-2</v>
      </c>
      <c r="E1722" s="348">
        <v>5.3981300000000003E-2</v>
      </c>
      <c r="F1722" s="349">
        <v>5.4649999999999997E-2</v>
      </c>
    </row>
    <row r="1723" spans="1:6" ht="12" thickBot="1">
      <c r="A1723" s="347">
        <v>39251</v>
      </c>
      <c r="B1723" s="348">
        <v>5.3199999999999997E-2</v>
      </c>
      <c r="C1723" s="348">
        <v>5.3400000000000003E-2</v>
      </c>
      <c r="D1723" s="348">
        <v>5.3600000000000002E-2</v>
      </c>
      <c r="E1723" s="348">
        <v>5.3999999999999999E-2</v>
      </c>
      <c r="F1723" s="349">
        <v>5.47413E-2</v>
      </c>
    </row>
    <row r="1724" spans="1:6" ht="12" thickBot="1">
      <c r="A1724" s="347">
        <v>39248</v>
      </c>
      <c r="B1724" s="348">
        <v>5.3199999999999997E-2</v>
      </c>
      <c r="C1724" s="348">
        <v>5.3400000000000003E-2</v>
      </c>
      <c r="D1724" s="348">
        <v>5.3600000000000002E-2</v>
      </c>
      <c r="E1724" s="348">
        <v>5.4081299999999999E-2</v>
      </c>
      <c r="F1724" s="349">
        <v>5.5065599999999999E-2</v>
      </c>
    </row>
    <row r="1725" spans="1:6" ht="12" thickBot="1">
      <c r="A1725" s="347">
        <v>39247</v>
      </c>
      <c r="B1725" s="348">
        <v>5.3199999999999997E-2</v>
      </c>
      <c r="C1725" s="348">
        <v>5.3400000000000003E-2</v>
      </c>
      <c r="D1725" s="348">
        <v>5.3600000000000002E-2</v>
      </c>
      <c r="E1725" s="348">
        <v>5.4050000000000001E-2</v>
      </c>
      <c r="F1725" s="349">
        <v>5.4899999999999997E-2</v>
      </c>
    </row>
    <row r="1726" spans="1:6" ht="12" thickBot="1">
      <c r="A1726" s="347">
        <v>39246</v>
      </c>
      <c r="B1726" s="348">
        <v>5.3199999999999997E-2</v>
      </c>
      <c r="C1726" s="348">
        <v>5.3400000000000003E-2</v>
      </c>
      <c r="D1726" s="348">
        <v>5.3600000000000002E-2</v>
      </c>
      <c r="E1726" s="348">
        <v>5.4090600000000003E-2</v>
      </c>
      <c r="F1726" s="349">
        <v>5.5059400000000001E-2</v>
      </c>
    </row>
    <row r="1727" spans="1:6" ht="12" thickBot="1">
      <c r="A1727" s="347">
        <v>39245</v>
      </c>
      <c r="B1727" s="348">
        <v>5.3199999999999997E-2</v>
      </c>
      <c r="C1727" s="348">
        <v>5.3400000000000003E-2</v>
      </c>
      <c r="D1727" s="348">
        <v>5.3600000000000002E-2</v>
      </c>
      <c r="E1727" s="348">
        <v>5.3999999999999999E-2</v>
      </c>
      <c r="F1727" s="349">
        <v>5.4681899999999999E-2</v>
      </c>
    </row>
    <row r="1728" spans="1:6" ht="12" thickBot="1">
      <c r="A1728" s="347">
        <v>39244</v>
      </c>
      <c r="B1728" s="348">
        <v>5.3199999999999997E-2</v>
      </c>
      <c r="C1728" s="348">
        <v>5.3400000000000003E-2</v>
      </c>
      <c r="D1728" s="348">
        <v>5.3600000000000002E-2</v>
      </c>
      <c r="E1728" s="348">
        <v>5.3978100000000001E-2</v>
      </c>
      <c r="F1728" s="349">
        <v>5.466E-2</v>
      </c>
    </row>
    <row r="1729" spans="1:6" ht="12" thickBot="1">
      <c r="A1729" s="347">
        <v>39241</v>
      </c>
      <c r="B1729" s="348">
        <v>5.3199999999999997E-2</v>
      </c>
      <c r="C1729" s="348">
        <v>5.3400000000000003E-2</v>
      </c>
      <c r="D1729" s="348">
        <v>5.3600000000000002E-2</v>
      </c>
      <c r="E1729" s="348">
        <v>5.4018799999999999E-2</v>
      </c>
      <c r="F1729" s="349">
        <v>5.4800000000000001E-2</v>
      </c>
    </row>
    <row r="1730" spans="1:6" ht="12" thickBot="1">
      <c r="A1730" s="347">
        <v>39240</v>
      </c>
      <c r="B1730" s="348">
        <v>5.3199999999999997E-2</v>
      </c>
      <c r="C1730" s="348">
        <v>5.3400000000000003E-2</v>
      </c>
      <c r="D1730" s="348">
        <v>5.3600000000000002E-2</v>
      </c>
      <c r="E1730" s="348">
        <v>5.3925000000000001E-2</v>
      </c>
      <c r="F1730" s="349">
        <v>5.4481300000000003E-2</v>
      </c>
    </row>
    <row r="1731" spans="1:6" ht="12" thickBot="1">
      <c r="A1731" s="347">
        <v>39239</v>
      </c>
      <c r="B1731" s="348">
        <v>5.3199999999999997E-2</v>
      </c>
      <c r="C1731" s="348">
        <v>5.3400000000000003E-2</v>
      </c>
      <c r="D1731" s="348">
        <v>5.3600000000000002E-2</v>
      </c>
      <c r="E1731" s="348">
        <v>5.3959399999999998E-2</v>
      </c>
      <c r="F1731" s="349">
        <v>5.45625E-2</v>
      </c>
    </row>
    <row r="1732" spans="1:6" ht="12" thickBot="1">
      <c r="A1732" s="347">
        <v>39238</v>
      </c>
      <c r="B1732" s="348">
        <v>5.3199999999999997E-2</v>
      </c>
      <c r="C1732" s="348">
        <v>5.3400000000000003E-2</v>
      </c>
      <c r="D1732" s="348">
        <v>5.3600000000000002E-2</v>
      </c>
      <c r="E1732" s="348">
        <v>5.3918800000000003E-2</v>
      </c>
      <c r="F1732" s="349">
        <v>5.4450600000000002E-2</v>
      </c>
    </row>
    <row r="1733" spans="1:6" ht="12" thickBot="1">
      <c r="A1733" s="347">
        <v>39237</v>
      </c>
      <c r="B1733" s="348">
        <v>5.3199999999999997E-2</v>
      </c>
      <c r="C1733" s="348">
        <v>5.3400000000000003E-2</v>
      </c>
      <c r="D1733" s="348">
        <v>5.3600000000000002E-2</v>
      </c>
      <c r="E1733" s="348">
        <v>5.39344E-2</v>
      </c>
      <c r="F1733" s="349">
        <v>5.4399999999999997E-2</v>
      </c>
    </row>
    <row r="1734" spans="1:6" ht="12" thickBot="1">
      <c r="A1734" s="347">
        <v>39234</v>
      </c>
      <c r="B1734" s="348">
        <v>5.3199999999999997E-2</v>
      </c>
      <c r="C1734" s="348">
        <v>5.3400000000000003E-2</v>
      </c>
      <c r="D1734" s="348">
        <v>5.3600000000000002E-2</v>
      </c>
      <c r="E1734" s="348">
        <v>5.3900000000000003E-2</v>
      </c>
      <c r="F1734" s="349">
        <v>5.4206299999999999E-2</v>
      </c>
    </row>
    <row r="1735" spans="1:6" ht="12" thickBot="1">
      <c r="A1735" s="347">
        <v>39233</v>
      </c>
      <c r="B1735" s="348">
        <v>5.3199999999999997E-2</v>
      </c>
      <c r="C1735" s="348">
        <v>5.3400000000000003E-2</v>
      </c>
      <c r="D1735" s="348">
        <v>5.3600000000000002E-2</v>
      </c>
      <c r="E1735" s="348">
        <v>5.38475E-2</v>
      </c>
      <c r="F1735" s="349">
        <v>5.3900000000000003E-2</v>
      </c>
    </row>
    <row r="1736" spans="1:6" ht="12" thickBot="1">
      <c r="A1736" s="347">
        <v>39232</v>
      </c>
      <c r="B1736" s="348">
        <v>5.3199999999999997E-2</v>
      </c>
      <c r="C1736" s="348">
        <v>5.3400000000000003E-2</v>
      </c>
      <c r="D1736" s="348">
        <v>5.3600000000000002E-2</v>
      </c>
      <c r="E1736" s="348">
        <v>5.38475E-2</v>
      </c>
      <c r="F1736" s="349">
        <v>5.3900000000000003E-2</v>
      </c>
    </row>
    <row r="1737" spans="1:6" ht="12" thickBot="1">
      <c r="A1737" s="347">
        <v>39231</v>
      </c>
      <c r="B1737" s="348">
        <v>5.3199999999999997E-2</v>
      </c>
      <c r="C1737" s="348">
        <v>5.3400000000000003E-2</v>
      </c>
      <c r="D1737" s="348">
        <v>5.3600000000000002E-2</v>
      </c>
      <c r="E1737" s="348">
        <v>5.3843799999999997E-2</v>
      </c>
      <c r="F1737" s="349">
        <v>5.3900000000000003E-2</v>
      </c>
    </row>
    <row r="1738" spans="1:6" ht="12" thickBot="1">
      <c r="A1738" s="347">
        <v>39227</v>
      </c>
      <c r="B1738" s="348">
        <v>5.3199999999999997E-2</v>
      </c>
      <c r="C1738" s="348">
        <v>5.3400000000000003E-2</v>
      </c>
      <c r="D1738" s="348">
        <v>5.3600000000000002E-2</v>
      </c>
      <c r="E1738" s="348">
        <v>5.3800000000000001E-2</v>
      </c>
      <c r="F1738" s="349">
        <v>5.3710000000000001E-2</v>
      </c>
    </row>
    <row r="1739" spans="1:6" ht="12" thickBot="1">
      <c r="A1739" s="347">
        <v>39226</v>
      </c>
      <c r="B1739" s="348">
        <v>5.3199999999999997E-2</v>
      </c>
      <c r="C1739" s="348">
        <v>5.3400000000000003E-2</v>
      </c>
      <c r="D1739" s="348">
        <v>5.3600000000000002E-2</v>
      </c>
      <c r="E1739" s="348">
        <v>5.3800000000000001E-2</v>
      </c>
      <c r="F1739" s="349">
        <v>5.3699999999999998E-2</v>
      </c>
    </row>
    <row r="1740" spans="1:6" ht="12" thickBot="1">
      <c r="A1740" s="347">
        <v>39225</v>
      </c>
      <c r="B1740" s="348">
        <v>5.3199999999999997E-2</v>
      </c>
      <c r="C1740" s="348">
        <v>5.3400000000000003E-2</v>
      </c>
      <c r="D1740" s="348">
        <v>5.3600000000000002E-2</v>
      </c>
      <c r="E1740" s="348">
        <v>5.3800000000000001E-2</v>
      </c>
      <c r="F1740" s="349">
        <v>5.3787500000000002E-2</v>
      </c>
    </row>
    <row r="1741" spans="1:6" ht="12" thickBot="1">
      <c r="A1741" s="347">
        <v>39224</v>
      </c>
      <c r="B1741" s="348">
        <v>5.3199999999999997E-2</v>
      </c>
      <c r="C1741" s="348">
        <v>5.3400000000000003E-2</v>
      </c>
      <c r="D1741" s="348">
        <v>5.3600000000000002E-2</v>
      </c>
      <c r="E1741" s="348">
        <v>5.37469E-2</v>
      </c>
      <c r="F1741" s="349">
        <v>5.35688E-2</v>
      </c>
    </row>
    <row r="1742" spans="1:6" ht="12" thickBot="1">
      <c r="A1742" s="347">
        <v>39223</v>
      </c>
      <c r="B1742" s="348">
        <v>5.3199999999999997E-2</v>
      </c>
      <c r="C1742" s="348">
        <v>5.3400000000000003E-2</v>
      </c>
      <c r="D1742" s="348">
        <v>5.3600000000000002E-2</v>
      </c>
      <c r="E1742" s="348">
        <v>5.37563E-2</v>
      </c>
      <c r="F1742" s="349">
        <v>5.3668800000000003E-2</v>
      </c>
    </row>
    <row r="1743" spans="1:6" ht="12" thickBot="1">
      <c r="A1743" s="347">
        <v>39220</v>
      </c>
      <c r="B1743" s="348">
        <v>5.3199999999999997E-2</v>
      </c>
      <c r="C1743" s="348">
        <v>5.3400000000000003E-2</v>
      </c>
      <c r="D1743" s="348">
        <v>5.3600000000000002E-2</v>
      </c>
      <c r="E1743" s="348">
        <v>5.3699999999999998E-2</v>
      </c>
      <c r="F1743" s="349">
        <v>5.3403100000000002E-2</v>
      </c>
    </row>
    <row r="1744" spans="1:6" ht="12" thickBot="1">
      <c r="A1744" s="347">
        <v>39219</v>
      </c>
      <c r="B1744" s="348">
        <v>5.3199999999999997E-2</v>
      </c>
      <c r="C1744" s="348">
        <v>5.3400000000000003E-2</v>
      </c>
      <c r="D1744" s="348">
        <v>5.3600000000000002E-2</v>
      </c>
      <c r="E1744" s="348">
        <v>5.3609400000000001E-2</v>
      </c>
      <c r="F1744" s="349">
        <v>5.3172499999999998E-2</v>
      </c>
    </row>
    <row r="1745" spans="1:6" ht="12" thickBot="1">
      <c r="A1745" s="347">
        <v>39218</v>
      </c>
      <c r="B1745" s="348">
        <v>5.3199999999999997E-2</v>
      </c>
      <c r="C1745" s="348">
        <v>5.3400000000000003E-2</v>
      </c>
      <c r="D1745" s="348">
        <v>5.3600000000000002E-2</v>
      </c>
      <c r="E1745" s="348">
        <v>5.3600000000000002E-2</v>
      </c>
      <c r="F1745" s="349">
        <v>5.3100000000000001E-2</v>
      </c>
    </row>
    <row r="1746" spans="1:6" ht="12" thickBot="1">
      <c r="A1746" s="347">
        <v>39217</v>
      </c>
      <c r="B1746" s="348">
        <v>5.3199999999999997E-2</v>
      </c>
      <c r="C1746" s="348">
        <v>5.3400000000000003E-2</v>
      </c>
      <c r="D1746" s="348">
        <v>5.3600000000000002E-2</v>
      </c>
      <c r="E1746" s="348">
        <v>5.3668800000000003E-2</v>
      </c>
      <c r="F1746" s="349">
        <v>5.32375E-2</v>
      </c>
    </row>
    <row r="1747" spans="1:6" ht="12" thickBot="1">
      <c r="A1747" s="347">
        <v>39216</v>
      </c>
      <c r="B1747" s="348">
        <v>5.3199999999999997E-2</v>
      </c>
      <c r="C1747" s="348">
        <v>5.3400000000000003E-2</v>
      </c>
      <c r="D1747" s="348">
        <v>5.3600000000000002E-2</v>
      </c>
      <c r="E1747" s="348">
        <v>5.3650000000000003E-2</v>
      </c>
      <c r="F1747" s="349">
        <v>5.3199999999999997E-2</v>
      </c>
    </row>
    <row r="1748" spans="1:6" ht="12" thickBot="1">
      <c r="A1748" s="347">
        <v>39213</v>
      </c>
      <c r="B1748" s="348">
        <v>5.3199999999999997E-2</v>
      </c>
      <c r="C1748" s="348">
        <v>5.3400000000000003E-2</v>
      </c>
      <c r="D1748" s="348">
        <v>5.3600000000000002E-2</v>
      </c>
      <c r="E1748" s="348">
        <v>5.3587500000000003E-2</v>
      </c>
      <c r="F1748" s="349">
        <v>5.2918800000000002E-2</v>
      </c>
    </row>
    <row r="1749" spans="1:6" ht="12" thickBot="1">
      <c r="A1749" s="347">
        <v>39212</v>
      </c>
      <c r="B1749" s="348">
        <v>5.3199999999999997E-2</v>
      </c>
      <c r="C1749" s="348">
        <v>5.3400000000000003E-2</v>
      </c>
      <c r="D1749" s="348">
        <v>5.3600000000000002E-2</v>
      </c>
      <c r="E1749" s="348">
        <v>5.3699999999999998E-2</v>
      </c>
      <c r="F1749" s="349">
        <v>5.33E-2</v>
      </c>
    </row>
    <row r="1750" spans="1:6" ht="12" thickBot="1">
      <c r="A1750" s="347">
        <v>39211</v>
      </c>
      <c r="B1750" s="348">
        <v>5.3199999999999997E-2</v>
      </c>
      <c r="C1750" s="348">
        <v>5.3400000000000003E-2</v>
      </c>
      <c r="D1750" s="348">
        <v>5.3581299999999998E-2</v>
      </c>
      <c r="E1750" s="348">
        <v>5.3600000000000002E-2</v>
      </c>
      <c r="F1750" s="349">
        <v>5.2999999999999999E-2</v>
      </c>
    </row>
    <row r="1751" spans="1:6" ht="12" thickBot="1">
      <c r="A1751" s="347">
        <v>39210</v>
      </c>
      <c r="B1751" s="348">
        <v>5.3199999999999997E-2</v>
      </c>
      <c r="C1751" s="348">
        <v>5.3400000000000003E-2</v>
      </c>
      <c r="D1751" s="348">
        <v>5.35688E-2</v>
      </c>
      <c r="E1751" s="348">
        <v>5.3600000000000002E-2</v>
      </c>
      <c r="F1751" s="349">
        <v>5.2999999999999999E-2</v>
      </c>
    </row>
    <row r="1752" spans="1:6" ht="12" thickBot="1">
      <c r="A1752" s="347">
        <v>39206</v>
      </c>
      <c r="B1752" s="348">
        <v>5.3199999999999997E-2</v>
      </c>
      <c r="C1752" s="348">
        <v>5.3400000000000003E-2</v>
      </c>
      <c r="D1752" s="348">
        <v>5.3565599999999998E-2</v>
      </c>
      <c r="E1752" s="348">
        <v>5.3681300000000001E-2</v>
      </c>
      <c r="F1752" s="349">
        <v>5.3199999999999997E-2</v>
      </c>
    </row>
    <row r="1753" spans="1:6" ht="12" thickBot="1">
      <c r="A1753" s="347">
        <v>39205</v>
      </c>
      <c r="B1753" s="348">
        <v>5.3199999999999997E-2</v>
      </c>
      <c r="C1753" s="348">
        <v>5.3400000000000003E-2</v>
      </c>
      <c r="D1753" s="348">
        <v>5.3556300000000001E-2</v>
      </c>
      <c r="E1753" s="348">
        <v>5.3581299999999998E-2</v>
      </c>
      <c r="F1753" s="349">
        <v>5.2887499999999997E-2</v>
      </c>
    </row>
    <row r="1754" spans="1:6" ht="12" thickBot="1">
      <c r="A1754" s="347">
        <v>39204</v>
      </c>
      <c r="B1754" s="348">
        <v>5.3199999999999997E-2</v>
      </c>
      <c r="C1754" s="348">
        <v>5.3400000000000003E-2</v>
      </c>
      <c r="D1754" s="348">
        <v>5.355E-2</v>
      </c>
      <c r="E1754" s="348">
        <v>5.3600000000000002E-2</v>
      </c>
      <c r="F1754" s="349">
        <v>5.2943799999999999E-2</v>
      </c>
    </row>
    <row r="1755" spans="1:6" ht="12" thickBot="1">
      <c r="A1755" s="347">
        <v>39203</v>
      </c>
      <c r="B1755" s="348">
        <v>5.3199999999999997E-2</v>
      </c>
      <c r="C1755" s="348">
        <v>5.3400000000000003E-2</v>
      </c>
      <c r="D1755" s="348">
        <v>5.355E-2</v>
      </c>
      <c r="E1755" s="348">
        <v>5.3499999999999999E-2</v>
      </c>
      <c r="F1755" s="349">
        <v>5.2600000000000001E-2</v>
      </c>
    </row>
    <row r="1756" spans="1:6" ht="12" thickBot="1">
      <c r="A1756" s="347">
        <v>39202</v>
      </c>
      <c r="B1756" s="348">
        <v>5.3199999999999997E-2</v>
      </c>
      <c r="C1756" s="348">
        <v>5.3400000000000003E-2</v>
      </c>
      <c r="D1756" s="348">
        <v>5.355E-2</v>
      </c>
      <c r="E1756" s="348">
        <v>5.3600000000000002E-2</v>
      </c>
      <c r="F1756" s="349">
        <v>5.2949999999999997E-2</v>
      </c>
    </row>
    <row r="1757" spans="1:6" ht="12" thickBot="1">
      <c r="A1757" s="347">
        <v>39199</v>
      </c>
      <c r="B1757" s="348">
        <v>5.3199999999999997E-2</v>
      </c>
      <c r="C1757" s="348">
        <v>5.3400000000000003E-2</v>
      </c>
      <c r="D1757" s="348">
        <v>5.3562499999999999E-2</v>
      </c>
      <c r="E1757" s="348">
        <v>5.3600000000000002E-2</v>
      </c>
      <c r="F1757" s="349">
        <v>5.2956299999999998E-2</v>
      </c>
    </row>
    <row r="1758" spans="1:6" ht="12" thickBot="1">
      <c r="A1758" s="347">
        <v>39198</v>
      </c>
      <c r="B1758" s="348">
        <v>5.3199999999999997E-2</v>
      </c>
      <c r="C1758" s="348">
        <v>5.3400000000000003E-2</v>
      </c>
      <c r="D1758" s="348">
        <v>5.355E-2</v>
      </c>
      <c r="E1758" s="348">
        <v>5.355E-2</v>
      </c>
      <c r="F1758" s="349">
        <v>5.2699999999999997E-2</v>
      </c>
    </row>
    <row r="1759" spans="1:6" ht="12" thickBot="1">
      <c r="A1759" s="347">
        <v>39197</v>
      </c>
      <c r="B1759" s="348">
        <v>5.3199999999999997E-2</v>
      </c>
      <c r="C1759" s="348">
        <v>5.3400000000000003E-2</v>
      </c>
      <c r="D1759" s="348">
        <v>5.355E-2</v>
      </c>
      <c r="E1759" s="348">
        <v>5.3468799999999997E-2</v>
      </c>
      <c r="F1759" s="349">
        <v>5.2418800000000002E-2</v>
      </c>
    </row>
    <row r="1760" spans="1:6" ht="12" thickBot="1">
      <c r="A1760" s="347">
        <v>39196</v>
      </c>
      <c r="B1760" s="348">
        <v>5.3199999999999997E-2</v>
      </c>
      <c r="C1760" s="348">
        <v>5.3400000000000003E-2</v>
      </c>
      <c r="D1760" s="348">
        <v>5.355E-2</v>
      </c>
      <c r="E1760" s="348">
        <v>5.3531299999999997E-2</v>
      </c>
      <c r="F1760" s="349">
        <v>5.2600000000000001E-2</v>
      </c>
    </row>
    <row r="1761" spans="1:6" ht="12" thickBot="1">
      <c r="A1761" s="347">
        <v>39195</v>
      </c>
      <c r="B1761" s="348">
        <v>5.3199999999999997E-2</v>
      </c>
      <c r="C1761" s="348">
        <v>5.3400000000000003E-2</v>
      </c>
      <c r="D1761" s="348">
        <v>5.355E-2</v>
      </c>
      <c r="E1761" s="348">
        <v>5.3593799999999997E-2</v>
      </c>
      <c r="F1761" s="349">
        <v>5.28E-2</v>
      </c>
    </row>
    <row r="1762" spans="1:6" ht="12" thickBot="1">
      <c r="A1762" s="347">
        <v>39192</v>
      </c>
      <c r="B1762" s="348">
        <v>5.3199999999999997E-2</v>
      </c>
      <c r="C1762" s="348">
        <v>5.3400000000000003E-2</v>
      </c>
      <c r="D1762" s="348">
        <v>5.355E-2</v>
      </c>
      <c r="E1762" s="348">
        <v>5.3543800000000003E-2</v>
      </c>
      <c r="F1762" s="349">
        <v>5.27438E-2</v>
      </c>
    </row>
    <row r="1763" spans="1:6" ht="12" thickBot="1">
      <c r="A1763" s="347">
        <v>39191</v>
      </c>
      <c r="B1763" s="348">
        <v>5.3199999999999997E-2</v>
      </c>
      <c r="C1763" s="348">
        <v>5.3400000000000003E-2</v>
      </c>
      <c r="D1763" s="348">
        <v>5.355E-2</v>
      </c>
      <c r="E1763" s="348">
        <v>5.3493800000000001E-2</v>
      </c>
      <c r="F1763" s="349">
        <v>5.2506299999999999E-2</v>
      </c>
    </row>
    <row r="1764" spans="1:6" ht="12" thickBot="1">
      <c r="A1764" s="347">
        <v>39190</v>
      </c>
      <c r="B1764" s="348">
        <v>5.3199999999999997E-2</v>
      </c>
      <c r="C1764" s="348">
        <v>5.3400000000000003E-2</v>
      </c>
      <c r="D1764" s="348">
        <v>5.3581299999999998E-2</v>
      </c>
      <c r="E1764" s="348">
        <v>5.3606300000000003E-2</v>
      </c>
      <c r="F1764" s="349">
        <v>5.2887499999999997E-2</v>
      </c>
    </row>
    <row r="1765" spans="1:6" ht="12" thickBot="1">
      <c r="A1765" s="347">
        <v>39189</v>
      </c>
      <c r="B1765" s="348">
        <v>5.3199999999999997E-2</v>
      </c>
      <c r="C1765" s="348">
        <v>5.3400000000000003E-2</v>
      </c>
      <c r="D1765" s="348">
        <v>5.3598800000000002E-2</v>
      </c>
      <c r="E1765" s="348">
        <v>5.3715600000000002E-2</v>
      </c>
      <c r="F1765" s="349">
        <v>5.3368800000000001E-2</v>
      </c>
    </row>
    <row r="1766" spans="1:6" ht="12" thickBot="1">
      <c r="A1766" s="347">
        <v>39188</v>
      </c>
      <c r="B1766" s="348">
        <v>5.3199999999999997E-2</v>
      </c>
      <c r="C1766" s="348">
        <v>5.3400000000000003E-2</v>
      </c>
      <c r="D1766" s="348">
        <v>5.3587500000000003E-2</v>
      </c>
      <c r="E1766" s="348">
        <v>5.3740599999999999E-2</v>
      </c>
      <c r="F1766" s="349">
        <v>5.3525000000000003E-2</v>
      </c>
    </row>
    <row r="1767" spans="1:6" ht="12" thickBot="1">
      <c r="A1767" s="347">
        <v>39185</v>
      </c>
      <c r="B1767" s="348">
        <v>5.3199999999999997E-2</v>
      </c>
      <c r="C1767" s="348">
        <v>5.3400000000000003E-2</v>
      </c>
      <c r="D1767" s="348">
        <v>5.35688E-2</v>
      </c>
      <c r="E1767" s="348">
        <v>5.3699999999999998E-2</v>
      </c>
      <c r="F1767" s="349">
        <v>5.3287500000000002E-2</v>
      </c>
    </row>
    <row r="1768" spans="1:6" ht="12" thickBot="1">
      <c r="A1768" s="347">
        <v>39184</v>
      </c>
      <c r="B1768" s="348">
        <v>5.3199999999999997E-2</v>
      </c>
      <c r="C1768" s="348">
        <v>5.3400000000000003E-2</v>
      </c>
      <c r="D1768" s="348">
        <v>5.3556300000000001E-2</v>
      </c>
      <c r="E1768" s="348">
        <v>5.3699999999999998E-2</v>
      </c>
      <c r="F1768" s="349">
        <v>5.3181300000000001E-2</v>
      </c>
    </row>
    <row r="1769" spans="1:6" ht="12" thickBot="1">
      <c r="A1769" s="347">
        <v>39183</v>
      </c>
      <c r="B1769" s="348">
        <v>5.3199999999999997E-2</v>
      </c>
      <c r="C1769" s="348">
        <v>5.3400000000000003E-2</v>
      </c>
      <c r="D1769" s="348">
        <v>5.355E-2</v>
      </c>
      <c r="E1769" s="348">
        <v>5.3624999999999999E-2</v>
      </c>
      <c r="F1769" s="349">
        <v>5.3062499999999999E-2</v>
      </c>
    </row>
    <row r="1770" spans="1:6" ht="12" thickBot="1">
      <c r="A1770" s="347">
        <v>39182</v>
      </c>
      <c r="B1770" s="348">
        <v>5.3199999999999997E-2</v>
      </c>
      <c r="C1770" s="348">
        <v>5.3400000000000003E-2</v>
      </c>
      <c r="D1770" s="348">
        <v>5.355E-2</v>
      </c>
      <c r="E1770" s="348">
        <v>5.3643799999999998E-2</v>
      </c>
      <c r="F1770" s="349">
        <v>5.3181300000000001E-2</v>
      </c>
    </row>
    <row r="1771" spans="1:6" ht="12" thickBot="1">
      <c r="A1771" s="347">
        <v>39177</v>
      </c>
      <c r="B1771" s="348">
        <v>5.3199999999999997E-2</v>
      </c>
      <c r="C1771" s="348">
        <v>5.3400000000000003E-2</v>
      </c>
      <c r="D1771" s="348">
        <v>5.3499999999999999E-2</v>
      </c>
      <c r="E1771" s="348">
        <v>5.3321899999999998E-2</v>
      </c>
      <c r="F1771" s="349">
        <v>5.2287500000000001E-2</v>
      </c>
    </row>
    <row r="1772" spans="1:6" ht="12" thickBot="1">
      <c r="A1772" s="347">
        <v>39176</v>
      </c>
      <c r="B1772" s="348">
        <v>5.3199999999999997E-2</v>
      </c>
      <c r="C1772" s="348">
        <v>5.3400000000000003E-2</v>
      </c>
      <c r="D1772" s="348">
        <v>5.3499999999999999E-2</v>
      </c>
      <c r="E1772" s="348">
        <v>5.3356300000000002E-2</v>
      </c>
      <c r="F1772" s="349">
        <v>5.2365599999999998E-2</v>
      </c>
    </row>
    <row r="1773" spans="1:6" ht="12" thickBot="1">
      <c r="A1773" s="347">
        <v>39175</v>
      </c>
      <c r="B1773" s="348">
        <v>5.3199999999999997E-2</v>
      </c>
      <c r="C1773" s="348">
        <v>5.3400000000000003E-2</v>
      </c>
      <c r="D1773" s="348">
        <v>5.3499999999999999E-2</v>
      </c>
      <c r="E1773" s="348">
        <v>5.33E-2</v>
      </c>
      <c r="F1773" s="349">
        <v>5.2287500000000001E-2</v>
      </c>
    </row>
    <row r="1774" spans="1:6" ht="12" thickBot="1">
      <c r="A1774" s="347">
        <v>39174</v>
      </c>
      <c r="B1774" s="348">
        <v>5.3199999999999997E-2</v>
      </c>
      <c r="C1774" s="348">
        <v>5.3400000000000003E-2</v>
      </c>
      <c r="D1774" s="348">
        <v>5.3499999999999999E-2</v>
      </c>
      <c r="E1774" s="348">
        <v>5.32906E-2</v>
      </c>
      <c r="F1774" s="349">
        <v>5.2193799999999999E-2</v>
      </c>
    </row>
    <row r="1775" spans="1:6" ht="12" thickBot="1">
      <c r="A1775" s="347">
        <v>39171</v>
      </c>
      <c r="B1775" s="348">
        <v>5.3199999999999997E-2</v>
      </c>
      <c r="C1775" s="348">
        <v>5.3400000000000003E-2</v>
      </c>
      <c r="D1775" s="348">
        <v>5.3499999999999999E-2</v>
      </c>
      <c r="E1775" s="348">
        <v>5.3296900000000001E-2</v>
      </c>
      <c r="F1775" s="349">
        <v>5.2200000000000003E-2</v>
      </c>
    </row>
    <row r="1776" spans="1:6" ht="12" thickBot="1">
      <c r="A1776" s="347">
        <v>39170</v>
      </c>
      <c r="B1776" s="348">
        <v>5.3199999999999997E-2</v>
      </c>
      <c r="C1776" s="348">
        <v>5.3400000000000003E-2</v>
      </c>
      <c r="D1776" s="348">
        <v>5.3493800000000001E-2</v>
      </c>
      <c r="E1776" s="348">
        <v>5.3199999999999997E-2</v>
      </c>
      <c r="F1776" s="349">
        <v>5.1999999999999998E-2</v>
      </c>
    </row>
    <row r="1777" spans="1:6" ht="12" thickBot="1">
      <c r="A1777" s="347">
        <v>39169</v>
      </c>
      <c r="B1777" s="348">
        <v>5.3199999999999997E-2</v>
      </c>
      <c r="C1777" s="348">
        <v>5.3400000000000003E-2</v>
      </c>
      <c r="D1777" s="348">
        <v>5.3499999999999999E-2</v>
      </c>
      <c r="E1777" s="348">
        <v>5.32375E-2</v>
      </c>
      <c r="F1777" s="349">
        <v>5.20563E-2</v>
      </c>
    </row>
    <row r="1778" spans="1:6" ht="12" thickBot="1">
      <c r="A1778" s="347">
        <v>39168</v>
      </c>
      <c r="B1778" s="348">
        <v>5.3199999999999997E-2</v>
      </c>
      <c r="C1778" s="348">
        <v>5.3400000000000003E-2</v>
      </c>
      <c r="D1778" s="348">
        <v>5.3499999999999999E-2</v>
      </c>
      <c r="E1778" s="348">
        <v>5.3296900000000001E-2</v>
      </c>
      <c r="F1778" s="349">
        <v>5.21188E-2</v>
      </c>
    </row>
    <row r="1779" spans="1:6" ht="12" thickBot="1">
      <c r="A1779" s="347">
        <v>39167</v>
      </c>
      <c r="B1779" s="348">
        <v>5.3199999999999997E-2</v>
      </c>
      <c r="C1779" s="348">
        <v>5.3400000000000003E-2</v>
      </c>
      <c r="D1779" s="348">
        <v>5.3499999999999999E-2</v>
      </c>
      <c r="E1779" s="348">
        <v>5.3287500000000002E-2</v>
      </c>
      <c r="F1779" s="349">
        <v>5.2293800000000001E-2</v>
      </c>
    </row>
    <row r="1780" spans="1:6" ht="12" thickBot="1">
      <c r="A1780" s="347">
        <v>39164</v>
      </c>
      <c r="B1780" s="348">
        <v>5.3199999999999997E-2</v>
      </c>
      <c r="C1780" s="348">
        <v>5.3386299999999998E-2</v>
      </c>
      <c r="D1780" s="348">
        <v>5.34788E-2</v>
      </c>
      <c r="E1780" s="348">
        <v>5.3199999999999997E-2</v>
      </c>
      <c r="F1780" s="349">
        <v>5.2052899999999999E-2</v>
      </c>
    </row>
    <row r="1781" spans="1:6" ht="12" thickBot="1">
      <c r="A1781" s="347">
        <v>39163</v>
      </c>
      <c r="B1781" s="348">
        <v>5.3199999999999997E-2</v>
      </c>
      <c r="C1781" s="348">
        <v>5.3373799999999999E-2</v>
      </c>
      <c r="D1781" s="348">
        <v>5.34631E-2</v>
      </c>
      <c r="E1781" s="348">
        <v>5.3137499999999997E-2</v>
      </c>
      <c r="F1781" s="349">
        <v>5.1831299999999997E-2</v>
      </c>
    </row>
    <row r="1782" spans="1:6" ht="12" thickBot="1">
      <c r="A1782" s="347">
        <v>39162</v>
      </c>
      <c r="B1782" s="348">
        <v>5.3199999999999997E-2</v>
      </c>
      <c r="C1782" s="348">
        <v>5.3400000000000003E-2</v>
      </c>
      <c r="D1782" s="348">
        <v>5.3499999999999999E-2</v>
      </c>
      <c r="E1782" s="348">
        <v>5.3400000000000003E-2</v>
      </c>
      <c r="F1782" s="349">
        <v>5.2350000000000001E-2</v>
      </c>
    </row>
    <row r="1783" spans="1:6" ht="12" thickBot="1">
      <c r="A1783" s="347">
        <v>39161</v>
      </c>
      <c r="B1783" s="348">
        <v>5.3199999999999997E-2</v>
      </c>
      <c r="C1783" s="348">
        <v>5.3400000000000003E-2</v>
      </c>
      <c r="D1783" s="348">
        <v>5.3499999999999999E-2</v>
      </c>
      <c r="E1783" s="348">
        <v>5.3400000000000003E-2</v>
      </c>
      <c r="F1783" s="349">
        <v>5.2443799999999999E-2</v>
      </c>
    </row>
    <row r="1784" spans="1:6" ht="12" thickBot="1">
      <c r="A1784" s="347">
        <v>39160</v>
      </c>
      <c r="B1784" s="348">
        <v>5.3199999999999997E-2</v>
      </c>
      <c r="C1784" s="348">
        <v>5.3400000000000003E-2</v>
      </c>
      <c r="D1784" s="348">
        <v>5.3499999999999999E-2</v>
      </c>
      <c r="E1784" s="348">
        <v>5.3350000000000002E-2</v>
      </c>
      <c r="F1784" s="349">
        <v>5.2331299999999997E-2</v>
      </c>
    </row>
    <row r="1785" spans="1:6" ht="12" thickBot="1">
      <c r="A1785" s="347">
        <v>39157</v>
      </c>
      <c r="B1785" s="348">
        <v>5.3199999999999997E-2</v>
      </c>
      <c r="C1785" s="348">
        <v>5.3400000000000003E-2</v>
      </c>
      <c r="D1785" s="348">
        <v>5.3499999999999999E-2</v>
      </c>
      <c r="E1785" s="348">
        <v>5.3206299999999998E-2</v>
      </c>
      <c r="F1785" s="349">
        <v>5.2031300000000003E-2</v>
      </c>
    </row>
    <row r="1786" spans="1:6" ht="12" thickBot="1">
      <c r="A1786" s="347">
        <v>39156</v>
      </c>
      <c r="B1786" s="348">
        <v>5.3199999999999997E-2</v>
      </c>
      <c r="C1786" s="348">
        <v>5.3400000000000003E-2</v>
      </c>
      <c r="D1786" s="348">
        <v>5.3499999999999999E-2</v>
      </c>
      <c r="E1786" s="348">
        <v>5.3143799999999998E-2</v>
      </c>
      <c r="F1786" s="349">
        <v>5.1900000000000002E-2</v>
      </c>
    </row>
    <row r="1787" spans="1:6" ht="12" thickBot="1">
      <c r="A1787" s="347">
        <v>39155</v>
      </c>
      <c r="B1787" s="348">
        <v>5.3199999999999997E-2</v>
      </c>
      <c r="C1787" s="348">
        <v>5.3387499999999997E-2</v>
      </c>
      <c r="D1787" s="348">
        <v>5.3499999999999999E-2</v>
      </c>
      <c r="E1787" s="348">
        <v>5.2962500000000003E-2</v>
      </c>
      <c r="F1787" s="349">
        <v>5.1418800000000001E-2</v>
      </c>
    </row>
    <row r="1788" spans="1:6" ht="12" thickBot="1">
      <c r="A1788" s="347">
        <v>39154</v>
      </c>
      <c r="B1788" s="348">
        <v>5.3199999999999997E-2</v>
      </c>
      <c r="C1788" s="348">
        <v>5.3400000000000003E-2</v>
      </c>
      <c r="D1788" s="348">
        <v>5.3548800000000001E-2</v>
      </c>
      <c r="E1788" s="348">
        <v>5.33E-2</v>
      </c>
      <c r="F1788" s="349">
        <v>5.2200000000000003E-2</v>
      </c>
    </row>
    <row r="1789" spans="1:6" ht="12" thickBot="1">
      <c r="A1789" s="347">
        <v>39153</v>
      </c>
      <c r="B1789" s="348">
        <v>5.3199999999999997E-2</v>
      </c>
      <c r="C1789" s="348">
        <v>5.3400000000000003E-2</v>
      </c>
      <c r="D1789" s="348">
        <v>5.355E-2</v>
      </c>
      <c r="E1789" s="348">
        <v>5.3425E-2</v>
      </c>
      <c r="F1789" s="349">
        <v>5.2672499999999997E-2</v>
      </c>
    </row>
    <row r="1790" spans="1:6" ht="12" thickBot="1">
      <c r="A1790" s="347">
        <v>39150</v>
      </c>
      <c r="B1790" s="348">
        <v>5.3199999999999997E-2</v>
      </c>
      <c r="C1790" s="348">
        <v>5.33E-2</v>
      </c>
      <c r="D1790" s="348">
        <v>5.3400000000000003E-2</v>
      </c>
      <c r="E1790" s="348">
        <v>5.2968800000000003E-2</v>
      </c>
      <c r="F1790" s="349">
        <v>5.1674999999999999E-2</v>
      </c>
    </row>
    <row r="1791" spans="1:6" ht="12" thickBot="1">
      <c r="A1791" s="347">
        <v>39149</v>
      </c>
      <c r="B1791" s="348">
        <v>5.3199999999999997E-2</v>
      </c>
      <c r="C1791" s="348">
        <v>5.33E-2</v>
      </c>
      <c r="D1791" s="348">
        <v>5.3400000000000003E-2</v>
      </c>
      <c r="E1791" s="348">
        <v>5.2874999999999998E-2</v>
      </c>
      <c r="F1791" s="349">
        <v>5.1525000000000001E-2</v>
      </c>
    </row>
    <row r="1792" spans="1:6" ht="12" thickBot="1">
      <c r="A1792" s="347">
        <v>39148</v>
      </c>
      <c r="B1792" s="348">
        <v>5.3199999999999997E-2</v>
      </c>
      <c r="C1792" s="348">
        <v>5.33E-2</v>
      </c>
      <c r="D1792" s="348">
        <v>5.3400000000000003E-2</v>
      </c>
      <c r="E1792" s="348">
        <v>5.2900000000000003E-2</v>
      </c>
      <c r="F1792" s="349">
        <v>5.16625E-2</v>
      </c>
    </row>
    <row r="1793" spans="1:6" ht="12" thickBot="1">
      <c r="A1793" s="347">
        <v>39147</v>
      </c>
      <c r="B1793" s="348">
        <v>5.3199999999999997E-2</v>
      </c>
      <c r="C1793" s="348">
        <v>5.33E-2</v>
      </c>
      <c r="D1793" s="348">
        <v>5.3400000000000003E-2</v>
      </c>
      <c r="E1793" s="348">
        <v>5.2975000000000001E-2</v>
      </c>
      <c r="F1793" s="349">
        <v>5.1812499999999997E-2</v>
      </c>
    </row>
    <row r="1794" spans="1:6" ht="12" thickBot="1">
      <c r="A1794" s="347">
        <v>39146</v>
      </c>
      <c r="B1794" s="348">
        <v>5.3191299999999997E-2</v>
      </c>
      <c r="C1794" s="348">
        <v>5.3256299999999999E-2</v>
      </c>
      <c r="D1794" s="348">
        <v>5.33E-2</v>
      </c>
      <c r="E1794" s="348">
        <v>5.2591300000000001E-2</v>
      </c>
      <c r="F1794" s="349">
        <v>5.1200000000000002E-2</v>
      </c>
    </row>
    <row r="1795" spans="1:6" ht="12" thickBot="1">
      <c r="A1795" s="347">
        <v>39143</v>
      </c>
      <c r="B1795" s="348">
        <v>5.3199999999999997E-2</v>
      </c>
      <c r="C1795" s="348">
        <v>5.3374999999999999E-2</v>
      </c>
      <c r="D1795" s="348">
        <v>5.3462500000000003E-2</v>
      </c>
      <c r="E1795" s="348">
        <v>5.3193799999999999E-2</v>
      </c>
      <c r="F1795" s="349">
        <v>5.2124999999999998E-2</v>
      </c>
    </row>
    <row r="1796" spans="1:6" ht="12" thickBot="1">
      <c r="A1796" s="347">
        <v>39142</v>
      </c>
      <c r="B1796" s="348">
        <v>5.3199999999999997E-2</v>
      </c>
      <c r="C1796" s="348">
        <v>5.3374999999999999E-2</v>
      </c>
      <c r="D1796" s="348">
        <v>5.3475000000000002E-2</v>
      </c>
      <c r="E1796" s="348">
        <v>5.3281299999999997E-2</v>
      </c>
      <c r="F1796" s="349">
        <v>5.2325000000000003E-2</v>
      </c>
    </row>
    <row r="1797" spans="1:6" ht="12" thickBot="1">
      <c r="A1797" s="347">
        <v>39141</v>
      </c>
      <c r="B1797" s="348">
        <v>5.3199999999999997E-2</v>
      </c>
      <c r="C1797" s="348">
        <v>5.33813E-2</v>
      </c>
      <c r="D1797" s="348">
        <v>5.3481300000000002E-2</v>
      </c>
      <c r="E1797" s="348">
        <v>5.33E-2</v>
      </c>
      <c r="F1797" s="349">
        <v>5.2381299999999999E-2</v>
      </c>
    </row>
    <row r="1798" spans="1:6" ht="12" thickBot="1">
      <c r="A1798" s="347">
        <v>39140</v>
      </c>
      <c r="B1798" s="348">
        <v>5.3199999999999997E-2</v>
      </c>
      <c r="C1798" s="348">
        <v>5.3449999999999998E-2</v>
      </c>
      <c r="D1798" s="348">
        <v>5.3600000000000002E-2</v>
      </c>
      <c r="E1798" s="348">
        <v>5.3718799999999997E-2</v>
      </c>
      <c r="F1798" s="349">
        <v>5.3306300000000001E-2</v>
      </c>
    </row>
    <row r="1799" spans="1:6" ht="12" thickBot="1">
      <c r="A1799" s="347">
        <v>39139</v>
      </c>
      <c r="B1799" s="348">
        <v>5.3199999999999997E-2</v>
      </c>
      <c r="C1799" s="348">
        <v>5.3449999999999998E-2</v>
      </c>
      <c r="D1799" s="348">
        <v>5.3600000000000002E-2</v>
      </c>
      <c r="E1799" s="348">
        <v>5.3787500000000002E-2</v>
      </c>
      <c r="F1799" s="349">
        <v>5.3481300000000002E-2</v>
      </c>
    </row>
    <row r="1800" spans="1:6" ht="12" thickBot="1">
      <c r="A1800" s="347">
        <v>39136</v>
      </c>
      <c r="B1800" s="348">
        <v>5.3199999999999997E-2</v>
      </c>
      <c r="C1800" s="348">
        <v>5.3449999999999998E-2</v>
      </c>
      <c r="D1800" s="348">
        <v>5.3600000000000002E-2</v>
      </c>
      <c r="E1800" s="348">
        <v>5.3900000000000003E-2</v>
      </c>
      <c r="F1800" s="349">
        <v>5.3887499999999998E-2</v>
      </c>
    </row>
    <row r="1801" spans="1:6" ht="12" thickBot="1">
      <c r="A1801" s="347">
        <v>39135</v>
      </c>
      <c r="B1801" s="348">
        <v>5.3199999999999997E-2</v>
      </c>
      <c r="C1801" s="348">
        <v>5.3449999999999998E-2</v>
      </c>
      <c r="D1801" s="348">
        <v>5.3600000000000002E-2</v>
      </c>
      <c r="E1801" s="348">
        <v>5.38813E-2</v>
      </c>
      <c r="F1801" s="349">
        <v>5.3715600000000002E-2</v>
      </c>
    </row>
    <row r="1802" spans="1:6" ht="12" thickBot="1">
      <c r="A1802" s="347">
        <v>39134</v>
      </c>
      <c r="B1802" s="348">
        <v>5.3199999999999997E-2</v>
      </c>
      <c r="C1802" s="348">
        <v>5.3449999999999998E-2</v>
      </c>
      <c r="D1802" s="348">
        <v>5.3600000000000002E-2</v>
      </c>
      <c r="E1802" s="348">
        <v>5.3800000000000001E-2</v>
      </c>
      <c r="F1802" s="349">
        <v>5.3543800000000003E-2</v>
      </c>
    </row>
    <row r="1803" spans="1:6" ht="12" thickBot="1">
      <c r="A1803" s="347">
        <v>39133</v>
      </c>
      <c r="B1803" s="348">
        <v>5.3199999999999997E-2</v>
      </c>
      <c r="C1803" s="348">
        <v>5.3449999999999998E-2</v>
      </c>
      <c r="D1803" s="348">
        <v>5.3600000000000002E-2</v>
      </c>
      <c r="E1803" s="348">
        <v>5.3874999999999999E-2</v>
      </c>
      <c r="F1803" s="349">
        <v>5.3668800000000003E-2</v>
      </c>
    </row>
    <row r="1804" spans="1:6" ht="12" thickBot="1">
      <c r="A1804" s="347">
        <v>39132</v>
      </c>
      <c r="B1804" s="348">
        <v>5.3199999999999997E-2</v>
      </c>
      <c r="C1804" s="348">
        <v>5.3449999999999998E-2</v>
      </c>
      <c r="D1804" s="348">
        <v>5.3600000000000002E-2</v>
      </c>
      <c r="E1804" s="348">
        <v>5.38813E-2</v>
      </c>
      <c r="F1804" s="349">
        <v>5.3675E-2</v>
      </c>
    </row>
    <row r="1805" spans="1:6" ht="12" thickBot="1">
      <c r="A1805" s="347">
        <v>39129</v>
      </c>
      <c r="B1805" s="348">
        <v>5.3199999999999997E-2</v>
      </c>
      <c r="C1805" s="348">
        <v>5.3449999999999998E-2</v>
      </c>
      <c r="D1805" s="348">
        <v>5.3600000000000002E-2</v>
      </c>
      <c r="E1805" s="348">
        <v>5.3850000000000002E-2</v>
      </c>
      <c r="F1805" s="349">
        <v>5.3618800000000001E-2</v>
      </c>
    </row>
    <row r="1806" spans="1:6" ht="12" thickBot="1">
      <c r="A1806" s="347">
        <v>39128</v>
      </c>
      <c r="B1806" s="348">
        <v>5.3199999999999997E-2</v>
      </c>
      <c r="C1806" s="348">
        <v>5.3449999999999998E-2</v>
      </c>
      <c r="D1806" s="348">
        <v>5.3600000000000002E-2</v>
      </c>
      <c r="E1806" s="348">
        <v>5.3900000000000003E-2</v>
      </c>
      <c r="F1806" s="349">
        <v>5.38813E-2</v>
      </c>
    </row>
    <row r="1807" spans="1:6" ht="12" thickBot="1">
      <c r="A1807" s="347">
        <v>39127</v>
      </c>
      <c r="B1807" s="348">
        <v>5.3199999999999997E-2</v>
      </c>
      <c r="C1807" s="348">
        <v>5.3449999999999998E-2</v>
      </c>
      <c r="D1807" s="348">
        <v>5.3600000000000002E-2</v>
      </c>
      <c r="E1807" s="348">
        <v>5.3999999999999999E-2</v>
      </c>
      <c r="F1807" s="349">
        <v>5.4243800000000002E-2</v>
      </c>
    </row>
    <row r="1808" spans="1:6" ht="12" thickBot="1">
      <c r="A1808" s="347">
        <v>39126</v>
      </c>
      <c r="B1808" s="348">
        <v>5.3199999999999997E-2</v>
      </c>
      <c r="C1808" s="348">
        <v>5.3449999999999998E-2</v>
      </c>
      <c r="D1808" s="348">
        <v>5.3600000000000002E-2</v>
      </c>
      <c r="E1808" s="348">
        <v>5.3999999999999999E-2</v>
      </c>
      <c r="F1808" s="349">
        <v>5.4237500000000001E-2</v>
      </c>
    </row>
    <row r="1809" spans="1:6" ht="12" thickBot="1">
      <c r="A1809" s="347">
        <v>39125</v>
      </c>
      <c r="B1809" s="348">
        <v>5.3199999999999997E-2</v>
      </c>
      <c r="C1809" s="348">
        <v>5.3449999999999998E-2</v>
      </c>
      <c r="D1809" s="348">
        <v>5.3600000000000002E-2</v>
      </c>
      <c r="E1809" s="348">
        <v>5.3999999999999999E-2</v>
      </c>
      <c r="F1809" s="349">
        <v>5.4175000000000001E-2</v>
      </c>
    </row>
    <row r="1810" spans="1:6" ht="12" thickBot="1">
      <c r="A1810" s="347">
        <v>39122</v>
      </c>
      <c r="B1810" s="348">
        <v>5.3199999999999997E-2</v>
      </c>
      <c r="C1810" s="348">
        <v>5.3449999999999998E-2</v>
      </c>
      <c r="D1810" s="348">
        <v>5.3600000000000002E-2</v>
      </c>
      <c r="E1810" s="348">
        <v>5.3975000000000002E-2</v>
      </c>
      <c r="F1810" s="349">
        <v>5.3962499999999997E-2</v>
      </c>
    </row>
    <row r="1811" spans="1:6" ht="12" thickBot="1">
      <c r="A1811" s="347">
        <v>39121</v>
      </c>
      <c r="B1811" s="348">
        <v>5.3199999999999997E-2</v>
      </c>
      <c r="C1811" s="348">
        <v>5.3449999999999998E-2</v>
      </c>
      <c r="D1811" s="348">
        <v>5.3600000000000002E-2</v>
      </c>
      <c r="E1811" s="348">
        <v>5.3981300000000003E-2</v>
      </c>
      <c r="F1811" s="349">
        <v>5.3981300000000003E-2</v>
      </c>
    </row>
    <row r="1812" spans="1:6" ht="12" thickBot="1">
      <c r="A1812" s="347">
        <v>39120</v>
      </c>
      <c r="B1812" s="348">
        <v>5.3199999999999997E-2</v>
      </c>
      <c r="C1812" s="348">
        <v>5.3449999999999998E-2</v>
      </c>
      <c r="D1812" s="348">
        <v>5.3600000000000002E-2</v>
      </c>
      <c r="E1812" s="348">
        <v>5.3999999999999999E-2</v>
      </c>
      <c r="F1812" s="349">
        <v>5.4018799999999999E-2</v>
      </c>
    </row>
    <row r="1813" spans="1:6" ht="12" thickBot="1">
      <c r="A1813" s="347">
        <v>39119</v>
      </c>
      <c r="B1813" s="348">
        <v>5.3199999999999997E-2</v>
      </c>
      <c r="C1813" s="348">
        <v>5.3449999999999998E-2</v>
      </c>
      <c r="D1813" s="348">
        <v>5.3600000000000002E-2</v>
      </c>
      <c r="E1813" s="348">
        <v>5.3999999999999999E-2</v>
      </c>
      <c r="F1813" s="349">
        <v>5.40688E-2</v>
      </c>
    </row>
    <row r="1814" spans="1:6" ht="12" thickBot="1">
      <c r="A1814" s="347">
        <v>39118</v>
      </c>
      <c r="B1814" s="348">
        <v>5.3199999999999997E-2</v>
      </c>
      <c r="C1814" s="348">
        <v>5.3449999999999998E-2</v>
      </c>
      <c r="D1814" s="348">
        <v>5.3600000000000002E-2</v>
      </c>
      <c r="E1814" s="348">
        <v>5.3999999999999999E-2</v>
      </c>
      <c r="F1814" s="349">
        <v>5.4087499999999997E-2</v>
      </c>
    </row>
    <row r="1815" spans="1:6" ht="12" thickBot="1">
      <c r="A1815" s="347">
        <v>39115</v>
      </c>
      <c r="B1815" s="348">
        <v>5.3199999999999997E-2</v>
      </c>
      <c r="C1815" s="348">
        <v>5.3449999999999998E-2</v>
      </c>
      <c r="D1815" s="348">
        <v>5.3600000000000002E-2</v>
      </c>
      <c r="E1815" s="348">
        <v>5.4012499999999998E-2</v>
      </c>
      <c r="F1815" s="349">
        <v>5.43125E-2</v>
      </c>
    </row>
    <row r="1816" spans="1:6" ht="12" thickBot="1">
      <c r="A1816" s="347">
        <v>39114</v>
      </c>
      <c r="B1816" s="348">
        <v>5.3199999999999997E-2</v>
      </c>
      <c r="C1816" s="348">
        <v>5.3449999999999998E-2</v>
      </c>
      <c r="D1816" s="348">
        <v>5.3600000000000002E-2</v>
      </c>
      <c r="E1816" s="348">
        <v>5.3999999999999999E-2</v>
      </c>
      <c r="F1816" s="349">
        <v>5.4100000000000002E-2</v>
      </c>
    </row>
    <row r="1817" spans="1:6" ht="12" thickBot="1">
      <c r="A1817" s="347">
        <v>39113</v>
      </c>
      <c r="B1817" s="348">
        <v>5.3199999999999997E-2</v>
      </c>
      <c r="C1817" s="348">
        <v>5.3449999999999998E-2</v>
      </c>
      <c r="D1817" s="348">
        <v>5.3600000000000002E-2</v>
      </c>
      <c r="E1817" s="348">
        <v>5.3999999999999999E-2</v>
      </c>
      <c r="F1817" s="349">
        <v>5.4300000000000001E-2</v>
      </c>
    </row>
    <row r="1818" spans="1:6" ht="12" thickBot="1">
      <c r="A1818" s="347">
        <v>39112</v>
      </c>
      <c r="B1818" s="348">
        <v>5.3199999999999997E-2</v>
      </c>
      <c r="C1818" s="348">
        <v>5.3449999999999998E-2</v>
      </c>
      <c r="D1818" s="348">
        <v>5.3600000000000002E-2</v>
      </c>
      <c r="E1818" s="348">
        <v>5.40063E-2</v>
      </c>
      <c r="F1818" s="349">
        <v>5.4399999999999997E-2</v>
      </c>
    </row>
    <row r="1819" spans="1:6" ht="12" thickBot="1">
      <c r="A1819" s="347">
        <v>39111</v>
      </c>
      <c r="B1819" s="348">
        <v>5.3199999999999997E-2</v>
      </c>
      <c r="C1819" s="348">
        <v>5.3449999999999998E-2</v>
      </c>
      <c r="D1819" s="348">
        <v>5.3600000000000002E-2</v>
      </c>
      <c r="E1819" s="348">
        <v>5.3999999999999999E-2</v>
      </c>
      <c r="F1819" s="349">
        <v>5.4300000000000001E-2</v>
      </c>
    </row>
    <row r="1820" spans="1:6" ht="12" thickBot="1">
      <c r="A1820" s="347">
        <v>39108</v>
      </c>
      <c r="B1820" s="348">
        <v>5.3199999999999997E-2</v>
      </c>
      <c r="C1820" s="348">
        <v>5.3456299999999998E-2</v>
      </c>
      <c r="D1820" s="348">
        <v>5.3600000000000002E-2</v>
      </c>
      <c r="E1820" s="348">
        <v>5.3999999999999999E-2</v>
      </c>
      <c r="F1820" s="349">
        <v>5.4393799999999999E-2</v>
      </c>
    </row>
    <row r="1821" spans="1:6" ht="12" thickBot="1">
      <c r="A1821" s="347">
        <v>39107</v>
      </c>
      <c r="B1821" s="348">
        <v>5.3199999999999997E-2</v>
      </c>
      <c r="C1821" s="348">
        <v>5.34438E-2</v>
      </c>
      <c r="D1821" s="348">
        <v>5.3600000000000002E-2</v>
      </c>
      <c r="E1821" s="348">
        <v>5.3987500000000001E-2</v>
      </c>
      <c r="F1821" s="349">
        <v>5.4168800000000003E-2</v>
      </c>
    </row>
    <row r="1822" spans="1:6" ht="12" thickBot="1">
      <c r="A1822" s="347">
        <v>39106</v>
      </c>
      <c r="B1822" s="348">
        <v>5.3199999999999997E-2</v>
      </c>
      <c r="C1822" s="348">
        <v>5.3449999999999998E-2</v>
      </c>
      <c r="D1822" s="348">
        <v>5.3600000000000002E-2</v>
      </c>
      <c r="E1822" s="348">
        <v>5.3987500000000001E-2</v>
      </c>
      <c r="F1822" s="349">
        <v>5.4199999999999998E-2</v>
      </c>
    </row>
    <row r="1823" spans="1:6" ht="12" thickBot="1">
      <c r="A1823" s="347">
        <v>39105</v>
      </c>
      <c r="B1823" s="348">
        <v>5.3199999999999997E-2</v>
      </c>
      <c r="C1823" s="348">
        <v>5.3437499999999999E-2</v>
      </c>
      <c r="D1823" s="348">
        <v>5.3600000000000002E-2</v>
      </c>
      <c r="E1823" s="348">
        <v>5.3906299999999997E-2</v>
      </c>
      <c r="F1823" s="349">
        <v>5.4024999999999997E-2</v>
      </c>
    </row>
    <row r="1824" spans="1:6" ht="12" thickBot="1">
      <c r="A1824" s="347">
        <v>39104</v>
      </c>
      <c r="B1824" s="348">
        <v>5.3199999999999997E-2</v>
      </c>
      <c r="C1824" s="348">
        <v>5.3437499999999999E-2</v>
      </c>
      <c r="D1824" s="348">
        <v>5.3600000000000002E-2</v>
      </c>
      <c r="E1824" s="348">
        <v>5.39438E-2</v>
      </c>
      <c r="F1824" s="349">
        <v>5.40688E-2</v>
      </c>
    </row>
    <row r="1825" spans="1:6" ht="12" thickBot="1">
      <c r="A1825" s="347">
        <v>39101</v>
      </c>
      <c r="B1825" s="348">
        <v>5.3199999999999997E-2</v>
      </c>
      <c r="C1825" s="348">
        <v>5.34438E-2</v>
      </c>
      <c r="D1825" s="348">
        <v>5.3600000000000002E-2</v>
      </c>
      <c r="E1825" s="348">
        <v>5.3900000000000003E-2</v>
      </c>
      <c r="F1825" s="349">
        <v>5.3868800000000001E-2</v>
      </c>
    </row>
    <row r="1826" spans="1:6" ht="12" thickBot="1">
      <c r="A1826" s="347">
        <v>39100</v>
      </c>
      <c r="B1826" s="348">
        <v>5.3199999999999997E-2</v>
      </c>
      <c r="C1826" s="348">
        <v>5.3449999999999998E-2</v>
      </c>
      <c r="D1826" s="348">
        <v>5.3600000000000002E-2</v>
      </c>
      <c r="E1826" s="348">
        <v>5.3906299999999997E-2</v>
      </c>
      <c r="F1826" s="349">
        <v>5.4043800000000003E-2</v>
      </c>
    </row>
    <row r="1827" spans="1:6" ht="12" thickBot="1">
      <c r="A1827" s="347">
        <v>39099</v>
      </c>
      <c r="B1827" s="348">
        <v>5.3199999999999997E-2</v>
      </c>
      <c r="C1827" s="348">
        <v>5.34438E-2</v>
      </c>
      <c r="D1827" s="348">
        <v>5.3600000000000002E-2</v>
      </c>
      <c r="E1827" s="348">
        <v>5.3868800000000001E-2</v>
      </c>
      <c r="F1827" s="349">
        <v>5.3706299999999998E-2</v>
      </c>
    </row>
    <row r="1828" spans="1:6" ht="12" thickBot="1">
      <c r="A1828" s="347">
        <v>39098</v>
      </c>
      <c r="B1828" s="348">
        <v>5.3199999999999997E-2</v>
      </c>
      <c r="C1828" s="348">
        <v>5.34438E-2</v>
      </c>
      <c r="D1828" s="348">
        <v>5.3600000000000002E-2</v>
      </c>
      <c r="E1828" s="348">
        <v>5.3868800000000001E-2</v>
      </c>
      <c r="F1828" s="349">
        <v>5.3793800000000003E-2</v>
      </c>
    </row>
    <row r="1829" spans="1:6" ht="12" thickBot="1">
      <c r="A1829" s="347">
        <v>39097</v>
      </c>
      <c r="B1829" s="348">
        <v>5.3199999999999997E-2</v>
      </c>
      <c r="C1829" s="348">
        <v>5.3449999999999998E-2</v>
      </c>
      <c r="D1829" s="348">
        <v>5.3602499999999997E-2</v>
      </c>
      <c r="E1829" s="348">
        <v>5.3850000000000002E-2</v>
      </c>
      <c r="F1829" s="349">
        <v>5.3824999999999998E-2</v>
      </c>
    </row>
    <row r="1830" spans="1:6" ht="12" thickBot="1">
      <c r="A1830" s="347">
        <v>39094</v>
      </c>
      <c r="B1830" s="348">
        <v>5.3199999999999997E-2</v>
      </c>
      <c r="C1830" s="348">
        <v>5.3449999999999998E-2</v>
      </c>
      <c r="D1830" s="348">
        <v>5.3600000000000002E-2</v>
      </c>
      <c r="E1830" s="348">
        <v>5.3831299999999999E-2</v>
      </c>
      <c r="F1830" s="349">
        <v>5.3675E-2</v>
      </c>
    </row>
    <row r="1831" spans="1:6" ht="12" thickBot="1">
      <c r="A1831" s="347">
        <v>39093</v>
      </c>
      <c r="B1831" s="348">
        <v>5.3199999999999997E-2</v>
      </c>
      <c r="C1831" s="348">
        <v>5.3449999999999998E-2</v>
      </c>
      <c r="D1831" s="348">
        <v>5.3600000000000002E-2</v>
      </c>
      <c r="E1831" s="348">
        <v>5.3768799999999999E-2</v>
      </c>
      <c r="F1831" s="349">
        <v>5.3400000000000003E-2</v>
      </c>
    </row>
    <row r="1832" spans="1:6" ht="12" thickBot="1">
      <c r="A1832" s="347">
        <v>39092</v>
      </c>
      <c r="B1832" s="348">
        <v>5.3199999999999997E-2</v>
      </c>
      <c r="C1832" s="348">
        <v>5.3449999999999998E-2</v>
      </c>
      <c r="D1832" s="348">
        <v>5.3600000000000002E-2</v>
      </c>
      <c r="E1832" s="348">
        <v>5.3718799999999997E-2</v>
      </c>
      <c r="F1832" s="349">
        <v>5.32375E-2</v>
      </c>
    </row>
    <row r="1833" spans="1:6" ht="12" thickBot="1">
      <c r="A1833" s="347">
        <v>39091</v>
      </c>
      <c r="B1833" s="348">
        <v>5.3199999999999997E-2</v>
      </c>
      <c r="C1833" s="348">
        <v>5.3456299999999998E-2</v>
      </c>
      <c r="D1833" s="348">
        <v>5.3600000000000002E-2</v>
      </c>
      <c r="E1833" s="348">
        <v>5.37563E-2</v>
      </c>
      <c r="F1833" s="349">
        <v>5.33E-2</v>
      </c>
    </row>
    <row r="1834" spans="1:6" ht="12" thickBot="1">
      <c r="A1834" s="347">
        <v>39090</v>
      </c>
      <c r="B1834" s="348">
        <v>5.3199999999999997E-2</v>
      </c>
      <c r="C1834" s="348">
        <v>5.3456299999999998E-2</v>
      </c>
      <c r="D1834" s="348">
        <v>5.3600000000000002E-2</v>
      </c>
      <c r="E1834" s="348">
        <v>5.3699999999999998E-2</v>
      </c>
      <c r="F1834" s="349">
        <v>5.305E-2</v>
      </c>
    </row>
    <row r="1835" spans="1:6" ht="12" thickBot="1">
      <c r="A1835" s="347">
        <v>39087</v>
      </c>
      <c r="B1835" s="348">
        <v>5.3199999999999997E-2</v>
      </c>
      <c r="C1835" s="348">
        <v>5.3449999999999998E-2</v>
      </c>
      <c r="D1835" s="348">
        <v>5.3600000000000002E-2</v>
      </c>
      <c r="E1835" s="348">
        <v>5.3493800000000001E-2</v>
      </c>
      <c r="F1835" s="349">
        <v>5.24938E-2</v>
      </c>
    </row>
    <row r="1836" spans="1:6" ht="12" thickBot="1">
      <c r="A1836" s="347">
        <v>39086</v>
      </c>
      <c r="B1836" s="348">
        <v>5.3199999999999997E-2</v>
      </c>
      <c r="C1836" s="348">
        <v>5.3449999999999998E-2</v>
      </c>
      <c r="D1836" s="348">
        <v>5.3600000000000002E-2</v>
      </c>
      <c r="E1836" s="348">
        <v>5.3600000000000002E-2</v>
      </c>
      <c r="F1836" s="349">
        <v>5.2893799999999998E-2</v>
      </c>
    </row>
    <row r="1837" spans="1:6" ht="12" thickBot="1">
      <c r="A1837" s="347">
        <v>39085</v>
      </c>
      <c r="B1837" s="348">
        <v>5.3199999999999997E-2</v>
      </c>
      <c r="C1837" s="348">
        <v>5.3449999999999998E-2</v>
      </c>
      <c r="D1837" s="348">
        <v>5.3600000000000002E-2</v>
      </c>
      <c r="E1837" s="348">
        <v>5.3668800000000003E-2</v>
      </c>
      <c r="F1837" s="349">
        <v>5.3131299999999999E-2</v>
      </c>
    </row>
    <row r="1838" spans="1:6">
      <c r="A1838" s="350">
        <v>39084</v>
      </c>
      <c r="B1838" s="351">
        <v>5.3206299999999998E-2</v>
      </c>
      <c r="C1838" s="351">
        <v>5.3449999999999998E-2</v>
      </c>
      <c r="D1838" s="351">
        <v>5.3600000000000002E-2</v>
      </c>
      <c r="E1838" s="351">
        <v>5.3699999999999998E-2</v>
      </c>
      <c r="F1838" s="352">
        <v>5.3400000000000003E-2</v>
      </c>
    </row>
    <row r="1839" spans="1:6">
      <c r="A1839" s="686" t="s">
        <v>328</v>
      </c>
      <c r="B1839" s="686"/>
      <c r="C1839" s="686"/>
      <c r="D1839" s="686"/>
      <c r="E1839" s="686"/>
      <c r="F1839" s="686"/>
    </row>
    <row r="1840" spans="1:6">
      <c r="A1840" s="687"/>
      <c r="B1840" s="687"/>
      <c r="C1840" s="687"/>
      <c r="D1840" s="687"/>
      <c r="E1840" s="687"/>
      <c r="F1840" s="687"/>
    </row>
  </sheetData>
  <mergeCells count="13">
    <mergeCell ref="B107:F107"/>
    <mergeCell ref="A1:F1"/>
    <mergeCell ref="A2:F2"/>
    <mergeCell ref="A3:F3"/>
    <mergeCell ref="A4:F4"/>
    <mergeCell ref="B6:F6"/>
    <mergeCell ref="A1839:F1840"/>
    <mergeCell ref="B356:F356"/>
    <mergeCell ref="B604:F604"/>
    <mergeCell ref="B854:F854"/>
    <mergeCell ref="B1102:F1102"/>
    <mergeCell ref="B1343:F1343"/>
    <mergeCell ref="B1587:F1587"/>
  </mergeCells>
  <phoneticPr fontId="67" type="noConversion"/>
  <pageMargins left="0.75" right="0.75" top="1" bottom="1" header="0.5" footer="0.5"/>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32"/>
  <sheetViews>
    <sheetView showGridLines="0" zoomScale="75" zoomScaleNormal="75" zoomScalePageLayoutView="75" workbookViewId="0">
      <selection activeCell="P15" sqref="P15"/>
    </sheetView>
  </sheetViews>
  <sheetFormatPr baseColWidth="10" defaultRowHeight="15"/>
  <cols>
    <col min="1" max="1" width="26.6640625" style="84" customWidth="1"/>
    <col min="2" max="2" width="8.33203125" style="84" bestFit="1" customWidth="1"/>
    <col min="3" max="3" width="8.88671875" style="84" bestFit="1" customWidth="1"/>
    <col min="4" max="4" width="8.33203125" style="84" bestFit="1" customWidth="1"/>
    <col min="5" max="5" width="11.44140625" style="84" customWidth="1"/>
    <col min="6" max="7" width="10.33203125" style="84" customWidth="1"/>
    <col min="8" max="12" width="9.33203125" style="84" customWidth="1"/>
    <col min="13" max="13" width="2.6640625" style="84" customWidth="1"/>
    <col min="14" max="14" width="10.33203125" style="84" customWidth="1"/>
    <col min="15" max="15" width="10.44140625" style="84" customWidth="1"/>
    <col min="16" max="16" width="10.33203125" style="84" customWidth="1"/>
    <col min="17" max="16384" width="11.5546875" style="84"/>
  </cols>
  <sheetData>
    <row r="1" spans="1:16" ht="15.75">
      <c r="A1" s="283" t="str">
        <f>+Balance!A1</f>
        <v>Compañía Modelo - EVA</v>
      </c>
      <c r="B1" s="382"/>
      <c r="C1" s="382"/>
      <c r="D1" s="382"/>
      <c r="E1" s="382"/>
      <c r="F1" s="382"/>
      <c r="G1" s="382"/>
      <c r="H1" s="382"/>
      <c r="I1" s="382"/>
      <c r="J1" s="382"/>
      <c r="K1" s="382"/>
      <c r="L1" s="382"/>
      <c r="M1" s="382"/>
    </row>
    <row r="2" spans="1:16" ht="15.75">
      <c r="A2" s="383" t="s">
        <v>179</v>
      </c>
      <c r="B2" s="382"/>
      <c r="C2" s="382"/>
      <c r="D2" s="382"/>
      <c r="E2" s="382"/>
      <c r="F2" s="382"/>
      <c r="G2" s="382"/>
      <c r="H2" s="382"/>
      <c r="I2" s="382"/>
      <c r="J2" s="382"/>
      <c r="K2" s="382"/>
      <c r="L2" s="382"/>
      <c r="M2" s="382"/>
    </row>
    <row r="4" spans="1:16" ht="16.5" thickBot="1">
      <c r="A4" s="382"/>
      <c r="B4" s="384">
        <f>'KWOp.%'!$C$4</f>
        <v>2009</v>
      </c>
      <c r="C4" s="384">
        <f>B4+1</f>
        <v>2010</v>
      </c>
      <c r="D4" s="384">
        <f>C4+1</f>
        <v>2011</v>
      </c>
      <c r="E4" s="384">
        <f>D4+1</f>
        <v>2012</v>
      </c>
      <c r="F4" s="384">
        <f>E4+1</f>
        <v>2013</v>
      </c>
      <c r="G4" s="384" t="s">
        <v>342</v>
      </c>
      <c r="H4" s="384" t="s">
        <v>343</v>
      </c>
      <c r="I4" s="384" t="s">
        <v>344</v>
      </c>
      <c r="J4" s="384" t="s">
        <v>345</v>
      </c>
      <c r="K4" s="384" t="s">
        <v>346</v>
      </c>
      <c r="L4" s="384" t="s">
        <v>347</v>
      </c>
      <c r="M4" s="384"/>
      <c r="N4" s="384" t="s">
        <v>180</v>
      </c>
      <c r="O4" s="384" t="s">
        <v>181</v>
      </c>
      <c r="P4" s="384" t="s">
        <v>182</v>
      </c>
    </row>
    <row r="6" spans="1:16">
      <c r="A6" s="382" t="s">
        <v>183</v>
      </c>
      <c r="B6" s="385">
        <f>+C6</f>
        <v>3.1699999999999999E-2</v>
      </c>
      <c r="C6" s="385">
        <v>3.1699999999999999E-2</v>
      </c>
      <c r="D6" s="385">
        <v>3.73E-2</v>
      </c>
      <c r="E6" s="385">
        <v>3.3599999999999998E-2</v>
      </c>
      <c r="F6" s="385">
        <v>3.2399999999999998E-2</v>
      </c>
      <c r="G6" s="385">
        <f>+Supuestos!F30</f>
        <v>3.56E-2</v>
      </c>
      <c r="H6" s="385">
        <f>+Supuestos!G30</f>
        <v>3.0600000000000002E-2</v>
      </c>
      <c r="I6" s="385">
        <f>+Supuestos!H30</f>
        <v>3.1400000000000004E-2</v>
      </c>
      <c r="J6" s="385">
        <f>+Supuestos!I30</f>
        <v>3.1E-2</v>
      </c>
      <c r="K6" s="385">
        <f>+Supuestos!J30</f>
        <v>3.1E-2</v>
      </c>
      <c r="L6" s="385">
        <f>+Supuestos!K30</f>
        <v>3.1E-2</v>
      </c>
      <c r="M6" s="385"/>
      <c r="N6" s="386"/>
    </row>
    <row r="7" spans="1:16">
      <c r="A7" s="382" t="s">
        <v>184</v>
      </c>
      <c r="B7" s="385">
        <v>0.18333333299999999</v>
      </c>
      <c r="C7" s="385">
        <f>(Resultados!D7-Resultados!C7)/Resultados!C7</f>
        <v>0.12406678052537549</v>
      </c>
      <c r="D7" s="385">
        <f>(Resultados!E7-Resultados!D7)/Resultados!D7</f>
        <v>0.18098463963145026</v>
      </c>
      <c r="E7" s="385">
        <f>(Resultados!F7-Resultados!E7)/Resultados!E7</f>
        <v>0.22088985436923822</v>
      </c>
      <c r="F7" s="385">
        <f>(Resultados!G7-Resultados!F7)/Resultados!F7</f>
        <v>0.41897626429496593</v>
      </c>
      <c r="G7" s="385">
        <f>(Resultados!H7-Resultados!G7)/Resultados!G7</f>
        <v>0.17858914824456962</v>
      </c>
      <c r="H7" s="385">
        <f>(Resultados!I7-Resultados!H7)/Resultados!H7</f>
        <v>0.104721753299527</v>
      </c>
      <c r="I7" s="385">
        <f>(Resultados!J7-Resultados!I7)/Resultados!I7</f>
        <v>9.4575757235263361E-2</v>
      </c>
      <c r="J7" s="385">
        <f>(Resultados!K7-Resultados!J7)/Resultados!J7</f>
        <v>9.2882252562997772E-2</v>
      </c>
      <c r="K7" s="385">
        <f>(Resultados!L7-Resultados!K7)/Resultados!K7</f>
        <v>0</v>
      </c>
      <c r="L7" s="385">
        <f>(Resultados!M7-Resultados!L7)/Resultados!L7</f>
        <v>0</v>
      </c>
      <c r="M7" s="385"/>
      <c r="N7" s="386"/>
      <c r="O7" s="386"/>
      <c r="P7" s="386"/>
    </row>
    <row r="8" spans="1:16">
      <c r="A8" s="382" t="s">
        <v>185</v>
      </c>
      <c r="B8" s="385">
        <f t="shared" ref="B8:L8" si="0">(B7-B6)/(1+B6)</f>
        <v>0.14697424929727632</v>
      </c>
      <c r="C8" s="385">
        <f t="shared" si="0"/>
        <v>8.9528720098260642E-2</v>
      </c>
      <c r="D8" s="385">
        <f>(D7-D6)/(1+D6)</f>
        <v>0.13851792117174419</v>
      </c>
      <c r="E8" s="385">
        <f t="shared" si="0"/>
        <v>0.18120148449036205</v>
      </c>
      <c r="F8" s="385">
        <f t="shared" si="0"/>
        <v>0.37444426994863034</v>
      </c>
      <c r="G8" s="385">
        <f t="shared" si="0"/>
        <v>0.13807372368150794</v>
      </c>
      <c r="H8" s="385">
        <f t="shared" si="0"/>
        <v>7.1920971569500294E-2</v>
      </c>
      <c r="I8" s="385">
        <f t="shared" si="0"/>
        <v>6.1252430904851038E-2</v>
      </c>
      <c r="J8" s="385">
        <f t="shared" si="0"/>
        <v>6.0021583475264574E-2</v>
      </c>
      <c r="K8" s="385">
        <f t="shared" si="0"/>
        <v>-3.006789524733269E-2</v>
      </c>
      <c r="L8" s="385">
        <f t="shared" si="0"/>
        <v>-3.006789524733269E-2</v>
      </c>
      <c r="M8" s="385"/>
      <c r="N8" s="386">
        <f t="shared" ref="N8:N15" si="1">AVERAGE(B8:M8)</f>
        <v>0.10925450583115745</v>
      </c>
      <c r="O8" s="386">
        <f t="shared" ref="O8:O15" si="2">STDEV(B8:L8)</f>
        <v>0.11133018220664621</v>
      </c>
      <c r="P8" s="386">
        <f t="shared" ref="P8:P19" si="3">+O8/N8</f>
        <v>1.0189985425287313</v>
      </c>
    </row>
    <row r="9" spans="1:16">
      <c r="A9" s="382" t="s">
        <v>186</v>
      </c>
      <c r="B9" s="385">
        <f>+Imptos.!C10/Resultados!C7</f>
        <v>0.10299483843603047</v>
      </c>
      <c r="C9" s="385">
        <f>+Imptos.!D10/Resultados!D7</f>
        <v>0.10973875134783573</v>
      </c>
      <c r="D9" s="385">
        <f>+Imptos.!E10/Resultados!E7</f>
        <v>9.9596117138864446E-2</v>
      </c>
      <c r="E9" s="385">
        <f>+Imptos.!F10/Resultados!F7</f>
        <v>6.1742073111621269E-2</v>
      </c>
      <c r="F9" s="385">
        <f>+Imptos.!G10/Resultados!G7</f>
        <v>9.8554354225761073E-2</v>
      </c>
      <c r="G9" s="385">
        <f>+Imptos.!H10/Resultados!H7</f>
        <v>0.16530357149836367</v>
      </c>
      <c r="H9" s="385">
        <f>+Imptos.!I10/Resultados!I7</f>
        <v>0.19623520405335834</v>
      </c>
      <c r="I9" s="385">
        <f>+Imptos.!J10/Resultados!J7</f>
        <v>0.22344106221615753</v>
      </c>
      <c r="J9" s="385">
        <f>+Imptos.!K10/Resultados!K7</f>
        <v>0.23048403796952602</v>
      </c>
      <c r="K9" s="385">
        <f>+Imptos.!L10/Resultados!L7</f>
        <v>0.23048403796952602</v>
      </c>
      <c r="L9" s="385">
        <f>+Imptos.!M10/Resultados!M7</f>
        <v>0.23048403796952602</v>
      </c>
      <c r="M9" s="385"/>
      <c r="N9" s="386">
        <f t="shared" si="1"/>
        <v>0.15900528053968827</v>
      </c>
      <c r="O9" s="386">
        <f t="shared" si="2"/>
        <v>6.5660946654677324E-2</v>
      </c>
      <c r="P9" s="386">
        <f t="shared" si="3"/>
        <v>0.41294821424681005</v>
      </c>
    </row>
    <row r="10" spans="1:16">
      <c r="A10" s="382" t="s">
        <v>171</v>
      </c>
      <c r="B10" s="385">
        <f>+Imptos.!C32</f>
        <v>-8.3395102078197475E-2</v>
      </c>
      <c r="C10" s="385">
        <f>+Imptos.!D32</f>
        <v>-0.2286597858088894</v>
      </c>
      <c r="D10" s="385">
        <f>+Imptos.!E32</f>
        <v>0.40593546765969601</v>
      </c>
      <c r="E10" s="385">
        <f>+Imptos.!F32</f>
        <v>-23.281020089017201</v>
      </c>
      <c r="F10" s="385">
        <f>+Imptos.!G32</f>
        <v>-0.42307915359198878</v>
      </c>
      <c r="G10" s="385">
        <f>+Imptos.!H32</f>
        <v>-0.46490374998908446</v>
      </c>
      <c r="H10" s="385">
        <f>+Imptos.!I32</f>
        <v>-0.31361205924360175</v>
      </c>
      <c r="I10" s="385">
        <f>+Imptos.!J32</f>
        <v>-0.31896267401322459</v>
      </c>
      <c r="J10" s="385">
        <f>+Imptos.!K32</f>
        <v>-0.32849857815140865</v>
      </c>
      <c r="K10" s="385">
        <f>+Imptos.!L32</f>
        <v>-0.34296929586937952</v>
      </c>
      <c r="L10" s="385">
        <f>+Imptos.!M32</f>
        <v>-0.34385869604146402</v>
      </c>
      <c r="M10" s="385"/>
      <c r="N10" s="386">
        <f t="shared" si="1"/>
        <v>-2.3384567014677042</v>
      </c>
      <c r="O10" s="386">
        <f t="shared" si="2"/>
        <v>6.9499405902026723</v>
      </c>
      <c r="P10" s="386">
        <f t="shared" si="3"/>
        <v>-2.972020215657885</v>
      </c>
    </row>
    <row r="11" spans="1:16">
      <c r="A11" s="382" t="s">
        <v>187</v>
      </c>
      <c r="B11" s="385">
        <f>+KWOp.!C25</f>
        <v>0.43888187525278843</v>
      </c>
      <c r="C11" s="385">
        <f>+KWOp.!D25</f>
        <v>0.41854966683155254</v>
      </c>
      <c r="D11" s="385">
        <f>+KWOp.!E25</f>
        <v>0.25537898387768909</v>
      </c>
      <c r="E11" s="385">
        <f>+KWOp.!F25</f>
        <v>0.47088633087496373</v>
      </c>
      <c r="F11" s="385">
        <f>+KWOp.!G25</f>
        <v>0.28253522697915046</v>
      </c>
      <c r="G11" s="385">
        <f>+KWOp.!H25</f>
        <v>0.28285004422042342</v>
      </c>
      <c r="H11" s="385">
        <f>+KWOp.!I25</f>
        <v>0.24661882936149659</v>
      </c>
      <c r="I11" s="385">
        <f>+KWOp.!J25</f>
        <v>0.2463334196918692</v>
      </c>
      <c r="J11" s="385">
        <f>+KWOp.!K25</f>
        <v>0.204303982243904</v>
      </c>
      <c r="K11" s="385">
        <f>+KWOp.!L25</f>
        <v>0.1944066927217919</v>
      </c>
      <c r="L11" s="385">
        <f>+KWOp.!M25</f>
        <v>0.18096869805804949</v>
      </c>
      <c r="M11" s="385"/>
      <c r="N11" s="386">
        <f t="shared" si="1"/>
        <v>0.29288306819215265</v>
      </c>
      <c r="O11" s="386">
        <f t="shared" si="2"/>
        <v>0.10236363110807634</v>
      </c>
      <c r="P11" s="386">
        <f t="shared" si="3"/>
        <v>0.34950341014905761</v>
      </c>
    </row>
    <row r="12" spans="1:16">
      <c r="A12" s="382" t="s">
        <v>188</v>
      </c>
      <c r="B12" s="385">
        <f>+KWOp.!C30</f>
        <v>0.42429500908778844</v>
      </c>
      <c r="C12" s="385">
        <f>+KWOp.!D30</f>
        <v>0.40365979028286775</v>
      </c>
      <c r="D12" s="385">
        <f>+KWOp.!E30</f>
        <v>0.19129232871190638</v>
      </c>
      <c r="E12" s="385">
        <f>+KWOp.!F30</f>
        <v>0.42969655479091468</v>
      </c>
      <c r="F12" s="385">
        <f>+KWOp.!G30</f>
        <v>0.2428511698827466</v>
      </c>
      <c r="G12" s="385">
        <f>+KWOp.!H30</f>
        <v>0.26705592113301602</v>
      </c>
      <c r="H12" s="385">
        <f>+KWOp.!I30</f>
        <v>0.22588082528692294</v>
      </c>
      <c r="I12" s="385">
        <f>+KWOp.!J30</f>
        <v>0.22166749983258108</v>
      </c>
      <c r="J12" s="385">
        <f>+KWOp.!K30</f>
        <v>0.1780888920406257</v>
      </c>
      <c r="K12" s="385">
        <f>+KWOp.!L30</f>
        <v>0.16790224880195825</v>
      </c>
      <c r="L12" s="385">
        <f>+KWOp.!M30</f>
        <v>0.1543887096255446</v>
      </c>
      <c r="M12" s="385"/>
      <c r="N12" s="386">
        <f t="shared" si="1"/>
        <v>0.26425263177062475</v>
      </c>
      <c r="O12" s="386">
        <f t="shared" si="2"/>
        <v>0.10501059641641386</v>
      </c>
      <c r="P12" s="386">
        <f t="shared" si="3"/>
        <v>0.39738713560879363</v>
      </c>
    </row>
    <row r="13" spans="1:16">
      <c r="A13" s="382" t="s">
        <v>75</v>
      </c>
      <c r="B13" s="385">
        <f>+CapitalFijo!B17</f>
        <v>0</v>
      </c>
      <c r="C13" s="385">
        <f>+CapitalFijo!C17</f>
        <v>8.5610878689717881E-2</v>
      </c>
      <c r="D13" s="385">
        <f>+CapitalFijo!D17</f>
        <v>6.7442759364319219E-2</v>
      </c>
      <c r="E13" s="385">
        <f>+CapitalFijo!E17</f>
        <v>1.0792070772569615</v>
      </c>
      <c r="F13" s="385">
        <f>+CapitalFijo!F17</f>
        <v>8.933093796472269E-2</v>
      </c>
      <c r="G13" s="385">
        <f>+CapitalFijo!G17</f>
        <v>1.9621725770665954E-2</v>
      </c>
      <c r="H13" s="385">
        <f>+CapitalFijo!H17</f>
        <v>1.7943205298522936E-2</v>
      </c>
      <c r="I13" s="385">
        <f>+CapitalFijo!I17</f>
        <v>7.3265983383483349E-2</v>
      </c>
      <c r="J13" s="385">
        <f>+CapitalFijo!J17</f>
        <v>1.7659377888346948E-2</v>
      </c>
      <c r="K13" s="385">
        <f>+CapitalFijo!K17</f>
        <v>2.6299603170087598E-2</v>
      </c>
      <c r="L13" s="385">
        <f>+CapitalFijo!L17</f>
        <v>4.3024703832596649E-2</v>
      </c>
      <c r="M13" s="385"/>
      <c r="N13" s="386">
        <f t="shared" si="1"/>
        <v>0.1381278411472204</v>
      </c>
      <c r="O13" s="386">
        <f t="shared" si="2"/>
        <v>0.31362444067290152</v>
      </c>
      <c r="P13" s="386">
        <f t="shared" si="3"/>
        <v>2.2705374822924518</v>
      </c>
    </row>
    <row r="14" spans="1:16">
      <c r="A14" s="382" t="s">
        <v>189</v>
      </c>
      <c r="B14" s="385">
        <f>+CapitalFijo!B6/Resultados!C7</f>
        <v>2.3880322224673285</v>
      </c>
      <c r="C14" s="385">
        <f>+CapitalFijo!C6/Resultados!D7</f>
        <v>2.208467961720729</v>
      </c>
      <c r="D14" s="385">
        <f>+CapitalFijo!D6/Resultados!E7</f>
        <v>1.9206013354412583</v>
      </c>
      <c r="E14" s="385">
        <f>+CapitalFijo!E6/Resultados!F7</f>
        <v>2.6201260489783151</v>
      </c>
      <c r="F14" s="385">
        <f>+CapitalFijo!F6/Resultados!G7</f>
        <v>1.9089981267947933</v>
      </c>
      <c r="G14" s="385">
        <f>+CapitalFijo!G6/Resultados!H7</f>
        <v>1.6328833929899493</v>
      </c>
      <c r="H14" s="385">
        <f>+CapitalFijo!H6/Resultados!I7</f>
        <v>1.4883752418653553</v>
      </c>
      <c r="I14" s="385">
        <f>+CapitalFijo!I6/Resultados!J7</f>
        <v>1.4233692095910788</v>
      </c>
      <c r="J14" s="385">
        <f>+CapitalFijo!J6/Resultados!K7</f>
        <v>1.3082297312143882</v>
      </c>
      <c r="K14" s="385">
        <f>+CapitalFijo!K6/Resultados!L7</f>
        <v>1.3149609859922298</v>
      </c>
      <c r="L14" s="385">
        <f>+CapitalFijo!L6/Resultados!M7</f>
        <v>1.3253772752997575</v>
      </c>
      <c r="M14" s="385"/>
      <c r="N14" s="386">
        <f t="shared" si="1"/>
        <v>1.7763110483959259</v>
      </c>
      <c r="O14" s="386">
        <f t="shared" si="2"/>
        <v>0.46634144415319545</v>
      </c>
      <c r="P14" s="386">
        <f t="shared" si="3"/>
        <v>0.26253366186869065</v>
      </c>
    </row>
    <row r="15" spans="1:16">
      <c r="A15" s="382" t="s">
        <v>190</v>
      </c>
      <c r="B15" s="385">
        <f>+CapitalFijo!B18</f>
        <v>0</v>
      </c>
      <c r="C15" s="385">
        <f>+CapitalFijo!C18</f>
        <v>5.4579065872278884E-2</v>
      </c>
      <c r="D15" s="385">
        <f>+CapitalFijo!D18</f>
        <v>5.7651930226492135E-2</v>
      </c>
      <c r="E15" s="385">
        <f>+CapitalFijo!E18</f>
        <v>4.3159982682799955E-2</v>
      </c>
      <c r="F15" s="385">
        <f>+CapitalFijo!F18</f>
        <v>4.334948839979496E-2</v>
      </c>
      <c r="G15" s="385">
        <f>+CapitalFijo!G18</f>
        <v>8.5958448720807962E-2</v>
      </c>
      <c r="H15" s="385">
        <f>+CapitalFijo!H18</f>
        <v>8.5524676840180863E-2</v>
      </c>
      <c r="I15" s="385">
        <f>+CapitalFijo!I18</f>
        <v>8.3112817177351195E-2</v>
      </c>
      <c r="J15" s="385">
        <f>+CapitalFijo!J18</f>
        <v>8.0901893288932103E-2</v>
      </c>
      <c r="K15" s="385">
        <f>+CapitalFijo!K18</f>
        <v>5.9358176341962068E-2</v>
      </c>
      <c r="L15" s="385">
        <f>+CapitalFijo!L18</f>
        <v>9.6614328136997683E-3</v>
      </c>
      <c r="M15" s="385"/>
      <c r="N15" s="386">
        <f t="shared" si="1"/>
        <v>5.4841628396754528E-2</v>
      </c>
      <c r="O15" s="386">
        <f t="shared" si="2"/>
        <v>2.9553094317518413E-2</v>
      </c>
      <c r="P15" s="386">
        <f t="shared" si="3"/>
        <v>0.53888068573958203</v>
      </c>
    </row>
    <row r="17" spans="1:16">
      <c r="A17" s="84" t="s">
        <v>191</v>
      </c>
      <c r="B17" s="386">
        <f>+AnalVr.!D15</f>
        <v>1.0997281095170655E-3</v>
      </c>
      <c r="C17" s="386">
        <f>+AnalVr.!F15</f>
        <v>0.21589804305859039</v>
      </c>
      <c r="D17" s="386">
        <f>+AnalVr.!H15</f>
        <v>4.557738019681376E-2</v>
      </c>
      <c r="E17" s="386">
        <f>+AnalVr.!J15</f>
        <v>0.24857281983376733</v>
      </c>
      <c r="F17" s="386">
        <f>+AnalVr.!L15</f>
        <v>0.21377062870383481</v>
      </c>
      <c r="G17" s="386">
        <f>+AnalVr.!N15</f>
        <v>0.17440230723168212</v>
      </c>
      <c r="H17" s="386">
        <f>AnalVr.!P15</f>
        <v>0.13805397858408361</v>
      </c>
      <c r="I17" s="386">
        <f>AnalVr.!R15</f>
        <v>0.13432511158238905</v>
      </c>
      <c r="J17" s="386">
        <f>AnalVr.!T15</f>
        <v>5.0047129765525902E-2</v>
      </c>
      <c r="K17" s="386">
        <f>AnalVr.!V15</f>
        <v>2.9096045576520922E-2</v>
      </c>
      <c r="L17" s="386">
        <f>+AnalVr.!X15</f>
        <v>1.282462910335322E-17</v>
      </c>
      <c r="M17" s="386"/>
      <c r="N17" s="386">
        <f>AVERAGE(B17:M17)</f>
        <v>0.1137130156947932</v>
      </c>
      <c r="O17" s="386">
        <f>STDEV(B17:L17)</f>
        <v>9.2091936431130186E-2</v>
      </c>
      <c r="P17" s="386">
        <f t="shared" si="3"/>
        <v>0.80986275729689383</v>
      </c>
    </row>
    <row r="18" spans="1:16">
      <c r="A18" s="84" t="s">
        <v>192</v>
      </c>
      <c r="B18" s="386">
        <f>+AnalVr.!D16</f>
        <v>2.4722227892228518E-4</v>
      </c>
      <c r="C18" s="386">
        <f>+AnalVr.!F16</f>
        <v>3.2756401763809018E-4</v>
      </c>
      <c r="D18" s="386">
        <f>+AnalVr.!H16</f>
        <v>4.2434825136053672E-4</v>
      </c>
      <c r="E18" s="386">
        <f>+AnalVr.!J16</f>
        <v>2.1028724228616753E-4</v>
      </c>
      <c r="F18" s="386">
        <f>+AnalVr.!L16</f>
        <v>2.1287739397791902E-4</v>
      </c>
      <c r="G18" s="386">
        <f>+AnalVr.!N16</f>
        <v>0</v>
      </c>
      <c r="H18" s="386">
        <f>AnalVr.!P16</f>
        <v>0</v>
      </c>
      <c r="I18" s="386">
        <f>AnalVr.!R16</f>
        <v>0</v>
      </c>
      <c r="J18" s="386">
        <f>AnalVr.!T16</f>
        <v>0</v>
      </c>
      <c r="K18" s="386">
        <f>AnalVr.!V16</f>
        <v>0</v>
      </c>
      <c r="L18" s="386">
        <f>+AnalVr.!X16</f>
        <v>0</v>
      </c>
      <c r="M18" s="386"/>
      <c r="N18" s="386">
        <f>AVERAGE(B18:M18)</f>
        <v>1.2929992583499988E-4</v>
      </c>
      <c r="O18" s="386">
        <f>STDEV(B18:L18)</f>
        <v>1.5941229857960483E-4</v>
      </c>
      <c r="P18" s="386">
        <f t="shared" si="3"/>
        <v>1.2328877804851293</v>
      </c>
    </row>
    <row r="19" spans="1:16">
      <c r="A19" s="84" t="s">
        <v>193</v>
      </c>
      <c r="B19" s="386">
        <f>+AnalVr.!D23</f>
        <v>1.032313402396321</v>
      </c>
      <c r="C19" s="386">
        <f>+AnalVr.!F23</f>
        <v>0.87830032218621279</v>
      </c>
      <c r="D19" s="386">
        <f>+AnalVr.!H23</f>
        <v>1.6189749144815573</v>
      </c>
      <c r="E19" s="386">
        <f>+AnalVr.!J23</f>
        <v>0.8149718138440416</v>
      </c>
      <c r="F19" s="386">
        <f>+AnalVr.!L23</f>
        <v>0.84558022176886483</v>
      </c>
      <c r="G19" s="386">
        <f>+AnalVr.!N23</f>
        <v>0.90875828278684212</v>
      </c>
      <c r="H19" s="386">
        <f>AnalVr.!P23</f>
        <v>0.97372395863362571</v>
      </c>
      <c r="I19" s="386">
        <f>AnalVr.!R23</f>
        <v>0.99916486945384153</v>
      </c>
      <c r="J19" s="386">
        <f>AnalVr.!T23</f>
        <v>1.0737009572101051</v>
      </c>
      <c r="K19" s="386">
        <f>AnalVr.!V21</f>
        <v>1.115711844432389</v>
      </c>
      <c r="L19" s="386">
        <f>+AnalVr.!X23</f>
        <v>1.1479646275783746</v>
      </c>
      <c r="M19" s="386"/>
      <c r="N19" s="386">
        <f>AVERAGE(B19:M19)</f>
        <v>1.0371968377065615</v>
      </c>
      <c r="O19" s="386">
        <f>STDEV(B19:L19)</f>
        <v>0.221715342186074</v>
      </c>
      <c r="P19" s="386">
        <f t="shared" si="3"/>
        <v>0.21376399746486752</v>
      </c>
    </row>
    <row r="20" spans="1:16">
      <c r="B20" s="387"/>
      <c r="C20" s="387"/>
      <c r="D20" s="387"/>
      <c r="E20" s="387"/>
      <c r="F20" s="387"/>
      <c r="G20" s="387"/>
      <c r="H20" s="387"/>
      <c r="I20" s="387"/>
      <c r="J20" s="387"/>
      <c r="K20" s="387"/>
      <c r="L20" s="387"/>
      <c r="M20" s="387"/>
      <c r="N20" s="387"/>
      <c r="O20" s="386"/>
      <c r="P20" s="386"/>
    </row>
    <row r="21" spans="1:16">
      <c r="A21" s="84" t="s">
        <v>194</v>
      </c>
      <c r="B21" s="386">
        <v>0.19139999999999999</v>
      </c>
      <c r="C21" s="386">
        <v>0.1132</v>
      </c>
      <c r="D21" s="386">
        <v>0.1177</v>
      </c>
      <c r="E21" s="386">
        <v>8.9599999999999999E-2</v>
      </c>
      <c r="F21" s="386">
        <v>7.7899999999999997E-2</v>
      </c>
      <c r="G21" s="386">
        <v>7.8E-2</v>
      </c>
      <c r="H21" s="386">
        <v>7.1099999999999997E-2</v>
      </c>
      <c r="I21" s="386">
        <v>6.25E-2</v>
      </c>
      <c r="J21" s="386">
        <v>7.9399999999999998E-2</v>
      </c>
      <c r="K21" s="386">
        <v>9.69E-2</v>
      </c>
      <c r="L21" s="386">
        <v>6.2199999999999998E-2</v>
      </c>
      <c r="M21" s="386"/>
      <c r="N21" s="387"/>
      <c r="O21" s="386"/>
      <c r="P21" s="386"/>
    </row>
    <row r="22" spans="1:16">
      <c r="A22" s="84" t="s">
        <v>195</v>
      </c>
      <c r="B22" s="386">
        <v>0.12</v>
      </c>
      <c r="C22" s="386">
        <v>0.11</v>
      </c>
      <c r="D22" s="386">
        <v>0.11</v>
      </c>
      <c r="E22" s="386">
        <v>0.1</v>
      </c>
      <c r="F22" s="386">
        <v>0.08</v>
      </c>
      <c r="G22" s="386">
        <v>7.0000000000000007E-2</v>
      </c>
      <c r="H22" s="386">
        <v>0.06</v>
      </c>
      <c r="I22" s="386">
        <v>0.06</v>
      </c>
      <c r="J22" s="386">
        <v>7.4999999999999997E-2</v>
      </c>
      <c r="K22" s="386">
        <v>9.5000000000000001E-2</v>
      </c>
      <c r="L22" s="386">
        <v>9.5000000000000001E-2</v>
      </c>
      <c r="M22" s="386"/>
      <c r="N22" s="387"/>
      <c r="O22" s="386"/>
      <c r="P22" s="386"/>
    </row>
    <row r="23" spans="1:16">
      <c r="A23" s="84" t="s">
        <v>196</v>
      </c>
      <c r="B23" s="386">
        <f>(B21+B22)*(1+Imptos.!C28)</f>
        <v>0.20863799999999999</v>
      </c>
      <c r="C23" s="386">
        <f>(C21+C22)*(1+Imptos.!D28)</f>
        <v>0.14954399999999998</v>
      </c>
      <c r="D23" s="386">
        <f>(D21+D22)*(1+Imptos.!E28)</f>
        <v>0.152559</v>
      </c>
      <c r="E23" s="386">
        <f>(E21+E22)*(1+Imptos.!F28)</f>
        <v>0.12703199999999998</v>
      </c>
      <c r="F23" s="386">
        <f>(F21+F22)*(1+Imptos.!G28)</f>
        <v>0.10421399999999997</v>
      </c>
      <c r="G23" s="386">
        <f>(G21+G22)*(1+Imptos.!H28)</f>
        <v>9.7680000000000003E-2</v>
      </c>
      <c r="H23" s="386">
        <f>(H21+H22)*(1+Imptos.!I28)</f>
        <v>8.6525999999999992E-2</v>
      </c>
      <c r="I23" s="386">
        <f>(I21+I22)*(1+Imptos.!J28)</f>
        <v>8.2074999999999995E-2</v>
      </c>
      <c r="J23" s="386">
        <f>(J21+J22)*(1+Imptos.!K28)</f>
        <v>0.10344799999999997</v>
      </c>
      <c r="K23" s="386">
        <f>(K21+K22)*(1+Imptos.!L28)</f>
        <v>0.12857299999999999</v>
      </c>
      <c r="L23" s="386">
        <f>(L21+L22)*(1+Imptos.!M28)</f>
        <v>0.10532399999999999</v>
      </c>
      <c r="M23" s="386"/>
      <c r="N23" s="386"/>
      <c r="O23" s="386"/>
      <c r="P23" s="386"/>
    </row>
    <row r="24" spans="1:16">
      <c r="A24" s="84" t="s">
        <v>118</v>
      </c>
      <c r="B24" s="386">
        <v>0.21121061402883057</v>
      </c>
      <c r="C24" s="386">
        <v>0.18967642773659521</v>
      </c>
      <c r="D24" s="386">
        <v>2.7812917754510558E-2</v>
      </c>
      <c r="E24" s="386">
        <v>0.25035571190390993</v>
      </c>
      <c r="F24" s="386">
        <v>-3.022211052119006E-2</v>
      </c>
      <c r="G24" s="386">
        <v>-0.13982384340996545</v>
      </c>
      <c r="H24" s="386">
        <v>-4.4159430902814156E-2</v>
      </c>
      <c r="I24" s="386">
        <v>-1.9888627190025376E-2</v>
      </c>
      <c r="J24" s="386">
        <v>-0.10006744714778959</v>
      </c>
      <c r="K24" s="386">
        <v>0.11360000000000001</v>
      </c>
      <c r="L24" s="386">
        <v>-8.8857589844846929E-2</v>
      </c>
      <c r="M24" s="386"/>
      <c r="N24" s="386"/>
      <c r="O24" s="386"/>
      <c r="P24" s="386"/>
    </row>
    <row r="25" spans="1:16">
      <c r="A25" s="84" t="s">
        <v>197</v>
      </c>
      <c r="B25" s="386">
        <v>0.08</v>
      </c>
      <c r="C25" s="386">
        <v>0.08</v>
      </c>
      <c r="D25" s="386">
        <v>0.08</v>
      </c>
      <c r="E25" s="386">
        <v>7.0000000000000007E-2</v>
      </c>
      <c r="F25" s="386">
        <v>7.0000000000000007E-2</v>
      </c>
      <c r="G25" s="386">
        <v>0.06</v>
      </c>
      <c r="H25" s="386">
        <v>0.06</v>
      </c>
      <c r="I25" s="386">
        <v>0.06</v>
      </c>
      <c r="J25" s="386">
        <v>0.06</v>
      </c>
      <c r="K25" s="386">
        <v>0.06</v>
      </c>
      <c r="L25" s="386">
        <v>5.5E-2</v>
      </c>
      <c r="M25" s="386"/>
      <c r="N25" s="386"/>
      <c r="O25" s="386"/>
      <c r="P25" s="386"/>
    </row>
    <row r="26" spans="1:16">
      <c r="A26" s="84" t="s">
        <v>198</v>
      </c>
      <c r="B26" s="386">
        <f>(B25+B24+(B25*B24))*(1+Imptos.!C28)</f>
        <v>0.20643200031126177</v>
      </c>
      <c r="C26" s="386">
        <f>(C25+C24+(C25*C24))*(1+Imptos.!D28)</f>
        <v>0.19084986311020027</v>
      </c>
      <c r="D26" s="386">
        <f>(D25+D24+(D25*D24))*(1+Imptos.!E28)</f>
        <v>7.3725427287163831E-2</v>
      </c>
      <c r="E26" s="386">
        <f>(E25+E24+(E25*E24))*(1+Imptos.!F28)</f>
        <v>0.22638000986391302</v>
      </c>
      <c r="F26" s="386">
        <f>(F25+F24+(F25*F24))*(1+Imptos.!G28)</f>
        <v>2.485714554993558E-2</v>
      </c>
      <c r="G26" s="386">
        <f>(G25+G24+(G25*G24))*(1+Imptos.!H28)</f>
        <v>-5.8220760849611829E-2</v>
      </c>
      <c r="H26" s="386">
        <f>(H25+H24+(H25*H24))*(1+Imptos.!I28)</f>
        <v>8.7060621403912131E-3</v>
      </c>
      <c r="I26" s="386">
        <f>(I25+I24+(I25*I24))*(1+Imptos.!J28)</f>
        <v>2.6075096969643975E-2</v>
      </c>
      <c r="J26" s="386">
        <f>(J25+J24+(J25*J24))*(1+Imptos.!K28)</f>
        <v>-3.0867900964360165E-2</v>
      </c>
      <c r="K26" s="386">
        <f>(K25+K24+(K25*K24))*(1+Imptos.!L28)</f>
        <v>0.12087871999999998</v>
      </c>
      <c r="L26" s="386">
        <f>(L25+L24+(L25*L24))*(1+Imptos.!M28)</f>
        <v>-2.595898738183005E-2</v>
      </c>
      <c r="M26" s="386"/>
      <c r="N26" s="386"/>
      <c r="O26" s="386"/>
      <c r="P26" s="386"/>
    </row>
    <row r="27" spans="1:16">
      <c r="A27" s="84" t="s">
        <v>199</v>
      </c>
      <c r="B27" s="386">
        <v>0.1</v>
      </c>
      <c r="C27" s="386">
        <v>0.1</v>
      </c>
      <c r="D27" s="386">
        <v>0.1</v>
      </c>
      <c r="E27" s="386">
        <v>0.1</v>
      </c>
      <c r="F27" s="386">
        <v>0.1</v>
      </c>
      <c r="G27" s="386">
        <v>0.1</v>
      </c>
      <c r="H27" s="386">
        <v>0.1</v>
      </c>
      <c r="I27" s="386">
        <v>0.1</v>
      </c>
      <c r="J27" s="386">
        <v>0.1</v>
      </c>
      <c r="K27" s="386">
        <v>0.1</v>
      </c>
      <c r="L27" s="386">
        <v>0.1</v>
      </c>
      <c r="M27" s="386"/>
      <c r="N27" s="386"/>
      <c r="O27" s="386"/>
      <c r="P27" s="386"/>
    </row>
    <row r="28" spans="1:16">
      <c r="A28" s="84" t="s">
        <v>200</v>
      </c>
      <c r="B28" s="386">
        <f t="shared" ref="B28:L28" si="4">B6+B27+(B6*B27)</f>
        <v>0.13487000000000002</v>
      </c>
      <c r="C28" s="386">
        <f t="shared" si="4"/>
        <v>0.13487000000000002</v>
      </c>
      <c r="D28" s="386">
        <f t="shared" si="4"/>
        <v>0.14103000000000002</v>
      </c>
      <c r="E28" s="386">
        <f t="shared" si="4"/>
        <v>0.13696</v>
      </c>
      <c r="F28" s="386">
        <f t="shared" si="4"/>
        <v>0.13564000000000001</v>
      </c>
      <c r="G28" s="386">
        <f t="shared" si="4"/>
        <v>0.13916000000000001</v>
      </c>
      <c r="H28" s="386">
        <f t="shared" si="4"/>
        <v>0.13366</v>
      </c>
      <c r="I28" s="386">
        <f t="shared" si="4"/>
        <v>0.13454000000000002</v>
      </c>
      <c r="J28" s="386">
        <f t="shared" si="4"/>
        <v>0.1341</v>
      </c>
      <c r="K28" s="386">
        <f t="shared" si="4"/>
        <v>0.1341</v>
      </c>
      <c r="L28" s="386">
        <f t="shared" si="4"/>
        <v>0.1341</v>
      </c>
      <c r="M28" s="386"/>
      <c r="N28" s="386"/>
      <c r="O28" s="386"/>
      <c r="P28" s="386"/>
    </row>
    <row r="29" spans="1:16">
      <c r="A29" s="84" t="s">
        <v>168</v>
      </c>
      <c r="B29" s="386">
        <f t="shared" ref="B29:L29" si="5">(B17*B23)+(B18*B26)+(B19*B28)</f>
        <v>0.1395085882440647</v>
      </c>
      <c r="C29" s="386">
        <f t="shared" si="5"/>
        <v>0.15080513695233444</v>
      </c>
      <c r="D29" s="386">
        <f t="shared" si="5"/>
        <v>0.2353085569909299</v>
      </c>
      <c r="E29" s="386">
        <f t="shared" si="5"/>
        <v>0.14324284690118605</v>
      </c>
      <c r="F29" s="386">
        <f t="shared" si="5"/>
        <v>0.13697768510483666</v>
      </c>
      <c r="G29" s="386">
        <f t="shared" si="5"/>
        <v>0.14349842000300767</v>
      </c>
      <c r="H29" s="386">
        <f t="shared" si="5"/>
        <v>0.14209320286193683</v>
      </c>
      <c r="I29" s="386">
        <f t="shared" si="5"/>
        <v>0.14545237506944445</v>
      </c>
      <c r="J29" s="386">
        <f t="shared" si="5"/>
        <v>0.14916057384185921</v>
      </c>
      <c r="K29" s="386">
        <f t="shared" si="5"/>
        <v>0.15335792420629341</v>
      </c>
      <c r="L29" s="386">
        <f t="shared" si="5"/>
        <v>0.15394205655826002</v>
      </c>
      <c r="M29" s="386"/>
      <c r="N29" s="386"/>
      <c r="O29" s="386"/>
      <c r="P29" s="386"/>
    </row>
    <row r="30" spans="1:16">
      <c r="N30" s="386"/>
    </row>
    <row r="31" spans="1:16">
      <c r="A31" s="84" t="s">
        <v>201</v>
      </c>
      <c r="C31" s="386">
        <f>(Resultados!D28/Resultados!C28)-1</f>
        <v>0.16865089143092193</v>
      </c>
      <c r="D31" s="386">
        <f>(Resultados!E28/Resultados!D28)-1</f>
        <v>-0.28723376591065086</v>
      </c>
      <c r="E31" s="386">
        <f>(Resultados!F28/Resultados!E28)-1</f>
        <v>-1.6163640946069495</v>
      </c>
      <c r="F31" s="386">
        <f>(Resultados!G28/Resultados!F28)-1</f>
        <v>-2.3545857893977367</v>
      </c>
      <c r="G31" s="386">
        <f>(Resultados!H28/Resultados!G28)-1</f>
        <v>4.3592474895252442</v>
      </c>
      <c r="H31" s="386">
        <f>(Resultados!I28/Resultados!H28)-1</f>
        <v>0.35678932084836013</v>
      </c>
      <c r="I31" s="386">
        <f>(Resultados!J28/Resultados!I28)-1</f>
        <v>0.25613973579607818</v>
      </c>
      <c r="J31" s="386">
        <f>(Resultados!K28/Resultados!J28)-1</f>
        <v>0.14832145394562279</v>
      </c>
      <c r="K31" s="386">
        <f>(Resultados!L28/Resultados!K28)-1</f>
        <v>9.0174424038333978E-3</v>
      </c>
      <c r="L31" s="386">
        <f>(Resultados!M28/Resultados!L28)-1</f>
        <v>2.333235428918945E-3</v>
      </c>
      <c r="M31" s="386"/>
    </row>
    <row r="32" spans="1:16">
      <c r="A32" s="84" t="s">
        <v>202</v>
      </c>
      <c r="C32" s="386" t="e">
        <f>(FCL!D45/FCL!C45)-1</f>
        <v>#DIV/0!</v>
      </c>
      <c r="D32" s="386">
        <f>(FCL!E45/FCL!D45)-1</f>
        <v>-1</v>
      </c>
      <c r="E32" s="386" t="e">
        <f>(FCL!F45/FCL!E45)-1</f>
        <v>#DIV/0!</v>
      </c>
      <c r="F32" s="386" t="e">
        <f>(FCL!G45/FCL!F45)-1</f>
        <v>#DIV/0!</v>
      </c>
      <c r="G32" s="386">
        <f>(FCL!H45/FCL!G45)-1</f>
        <v>2.8902222181042609</v>
      </c>
      <c r="H32" s="386">
        <f>(FCL!I45/FCL!H45)-1</f>
        <v>1.35819768750097</v>
      </c>
      <c r="I32" s="386">
        <f>(FCL!J45/FCL!I45)-1</f>
        <v>-9.2002586660625107E-2</v>
      </c>
      <c r="J32" s="386">
        <f>(FCL!K45/FCL!J45)-1</f>
        <v>0.58209536095521508</v>
      </c>
      <c r="K32" s="386">
        <f>(FCL!L45/FCL!K45)-1</f>
        <v>-0.11109400478762699</v>
      </c>
      <c r="L32" s="386">
        <f>(FCL!M45/FCL!L45)-1</f>
        <v>-0.40600447209201251</v>
      </c>
      <c r="M32" s="386"/>
    </row>
  </sheetData>
  <phoneticPr fontId="0" type="noConversion"/>
  <printOptions horizontalCentered="1" verticalCentered="1"/>
  <pageMargins left="0.78740157480314965" right="0.78740157480314965" top="0.98425196850393704" bottom="0.98425196850393704" header="0.51181102362204722" footer="0.51181102362204722"/>
  <pageSetup scale="79" firstPageNumber="14" orientation="landscape" blackAndWhite="1" horizontalDpi="300" verticalDpi="300"/>
  <headerFooter alignWithMargins="0">
    <oddHeader>&amp;A</oddHeader>
    <oddFooter>&amp;CCia.Modelo -  EVA&amp;RPágina &amp;P</oddFooter>
  </headerFooter>
  <legacy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3"/>
  <sheetViews>
    <sheetView showGridLines="0" workbookViewId="0">
      <selection sqref="A1:F1"/>
    </sheetView>
  </sheetViews>
  <sheetFormatPr baseColWidth="10" defaultColWidth="10.6640625" defaultRowHeight="11.25"/>
  <cols>
    <col min="1" max="1" width="35.5546875" style="211" customWidth="1"/>
    <col min="2" max="2" width="35.109375" style="211" customWidth="1"/>
    <col min="3" max="3" width="17.33203125" style="211" customWidth="1"/>
    <col min="4" max="5" width="20.109375" style="211" customWidth="1"/>
    <col min="6" max="6" width="17.33203125" style="211" customWidth="1"/>
    <col min="7" max="7" width="25.44140625" style="211" customWidth="1"/>
    <col min="8" max="16384" width="10.6640625" style="211"/>
  </cols>
  <sheetData>
    <row r="1" spans="1:7" ht="12.75" customHeight="1">
      <c r="A1" s="704" t="s">
        <v>329</v>
      </c>
      <c r="B1" s="704"/>
      <c r="C1" s="704"/>
      <c r="D1" s="704"/>
      <c r="E1" s="704"/>
      <c r="F1" s="704"/>
      <c r="G1" s="705"/>
    </row>
    <row r="2" spans="1:7" ht="12.75">
      <c r="A2" s="704"/>
      <c r="B2" s="704"/>
      <c r="C2" s="704"/>
      <c r="D2" s="704"/>
      <c r="E2" s="704"/>
      <c r="F2" s="704"/>
      <c r="G2" s="705"/>
    </row>
    <row r="3" spans="1:7" ht="12.75" thickBot="1">
      <c r="A3" s="706" t="s">
        <v>330</v>
      </c>
      <c r="B3" s="706"/>
      <c r="C3" s="706"/>
      <c r="D3" s="706"/>
      <c r="E3" s="706"/>
      <c r="F3" s="706"/>
      <c r="G3" s="705"/>
    </row>
    <row r="4" spans="1:7" ht="12" thickTop="1">
      <c r="G4" s="705"/>
    </row>
    <row r="5" spans="1:7" ht="11.25" customHeight="1">
      <c r="A5" s="694" t="s">
        <v>331</v>
      </c>
      <c r="B5" s="694"/>
      <c r="C5" s="694"/>
      <c r="D5" s="694"/>
      <c r="E5" s="694"/>
      <c r="F5" s="694"/>
      <c r="G5" s="694"/>
    </row>
    <row r="6" spans="1:7" ht="12" thickBot="1">
      <c r="A6" s="699"/>
      <c r="B6" s="700"/>
      <c r="C6" s="701" t="s">
        <v>332</v>
      </c>
      <c r="D6" s="702"/>
      <c r="E6" s="702"/>
      <c r="F6" s="703"/>
    </row>
    <row r="7" spans="1:7" ht="12" thickBot="1">
      <c r="A7" s="212" t="s">
        <v>333</v>
      </c>
      <c r="B7" s="213" t="s">
        <v>334</v>
      </c>
      <c r="C7" s="214" t="s">
        <v>194</v>
      </c>
      <c r="D7" s="214" t="s">
        <v>335</v>
      </c>
      <c r="E7" s="214" t="s">
        <v>336</v>
      </c>
      <c r="F7" s="215" t="s">
        <v>337</v>
      </c>
    </row>
    <row r="8" spans="1:7" ht="12" thickBot="1">
      <c r="A8" s="216">
        <v>41771</v>
      </c>
      <c r="B8" s="217">
        <v>41777</v>
      </c>
      <c r="C8" s="218">
        <v>3.6900000000000002E-2</v>
      </c>
      <c r="D8" s="218">
        <v>4.1300000000000003E-2</v>
      </c>
      <c r="E8" s="218">
        <v>4.6899999999999997E-2</v>
      </c>
      <c r="F8" s="219">
        <v>3.04E-2</v>
      </c>
    </row>
    <row r="9" spans="1:7" ht="12" thickBot="1">
      <c r="A9" s="216">
        <v>41764</v>
      </c>
      <c r="B9" s="217">
        <v>41770</v>
      </c>
      <c r="C9" s="218">
        <v>3.8199999999999998E-2</v>
      </c>
      <c r="D9" s="218">
        <v>4.19E-2</v>
      </c>
      <c r="E9" s="218">
        <v>4.5199999999999997E-2</v>
      </c>
      <c r="F9" s="219">
        <v>3.04E-2</v>
      </c>
    </row>
    <row r="10" spans="1:7" ht="12" thickBot="1">
      <c r="A10" s="216">
        <v>41757</v>
      </c>
      <c r="B10" s="217">
        <v>41763</v>
      </c>
      <c r="C10" s="218">
        <v>3.78E-2</v>
      </c>
      <c r="D10" s="218">
        <v>4.19E-2</v>
      </c>
      <c r="E10" s="218">
        <v>4.41E-2</v>
      </c>
      <c r="F10" s="219">
        <v>3.04E-2</v>
      </c>
    </row>
    <row r="11" spans="1:7" ht="12" thickBot="1">
      <c r="A11" s="216">
        <v>41750</v>
      </c>
      <c r="B11" s="217">
        <v>41756</v>
      </c>
      <c r="C11" s="218">
        <v>3.78E-2</v>
      </c>
      <c r="D11" s="218">
        <v>4.1099999999999998E-2</v>
      </c>
      <c r="E11" s="218">
        <v>4.3900000000000002E-2</v>
      </c>
      <c r="F11" s="219">
        <v>3.04E-2</v>
      </c>
    </row>
    <row r="12" spans="1:7" ht="12" thickBot="1">
      <c r="A12" s="216">
        <v>41743</v>
      </c>
      <c r="B12" s="217">
        <v>41749</v>
      </c>
      <c r="C12" s="218">
        <v>3.8100000000000002E-2</v>
      </c>
      <c r="D12" s="218">
        <v>4.1599999999999998E-2</v>
      </c>
      <c r="E12" s="218">
        <v>4.6300000000000001E-2</v>
      </c>
      <c r="F12" s="219">
        <v>3.04E-2</v>
      </c>
    </row>
    <row r="13" spans="1:7" ht="12" thickBot="1">
      <c r="A13" s="216">
        <v>41736</v>
      </c>
      <c r="B13" s="217">
        <v>41742</v>
      </c>
      <c r="C13" s="218">
        <v>3.8600000000000002E-2</v>
      </c>
      <c r="D13" s="218">
        <v>4.2099999999999999E-2</v>
      </c>
      <c r="E13" s="218">
        <v>4.3700000000000003E-2</v>
      </c>
      <c r="F13" s="219">
        <v>3.04E-2</v>
      </c>
    </row>
    <row r="14" spans="1:7" ht="12" thickBot="1">
      <c r="A14" s="216">
        <v>41729</v>
      </c>
      <c r="B14" s="217">
        <v>41735</v>
      </c>
      <c r="C14" s="218">
        <v>3.8800000000000001E-2</v>
      </c>
      <c r="D14" s="218">
        <v>4.1799999999999997E-2</v>
      </c>
      <c r="E14" s="218">
        <v>4.6199999999999998E-2</v>
      </c>
      <c r="F14" s="219">
        <v>4.0099999999999997E-2</v>
      </c>
    </row>
    <row r="15" spans="1:7" ht="12" thickBot="1">
      <c r="A15" s="216">
        <v>41722</v>
      </c>
      <c r="B15" s="217">
        <v>41728</v>
      </c>
      <c r="C15" s="218">
        <v>3.85E-2</v>
      </c>
      <c r="D15" s="218">
        <v>4.2099999999999999E-2</v>
      </c>
      <c r="E15" s="218">
        <v>4.6699999999999998E-2</v>
      </c>
      <c r="F15" s="219">
        <v>4.0099999999999997E-2</v>
      </c>
    </row>
    <row r="16" spans="1:7" ht="12" thickBot="1">
      <c r="A16" s="216">
        <v>41715</v>
      </c>
      <c r="B16" s="217">
        <v>41721</v>
      </c>
      <c r="C16" s="218">
        <v>3.9100000000000003E-2</v>
      </c>
      <c r="D16" s="218">
        <v>4.2500000000000003E-2</v>
      </c>
      <c r="E16" s="218">
        <v>4.5199999999999997E-2</v>
      </c>
      <c r="F16" s="219">
        <v>4.1000000000000002E-2</v>
      </c>
    </row>
    <row r="17" spans="1:6" ht="12" thickBot="1">
      <c r="A17" s="216">
        <v>41708</v>
      </c>
      <c r="B17" s="217">
        <v>41714</v>
      </c>
      <c r="C17" s="218">
        <v>3.9699999999999999E-2</v>
      </c>
      <c r="D17" s="218">
        <v>4.3200000000000002E-2</v>
      </c>
      <c r="E17" s="218">
        <v>4.5999999999999999E-2</v>
      </c>
      <c r="F17" s="219">
        <v>4.0800000000000003E-2</v>
      </c>
    </row>
    <row r="18" spans="1:6" ht="12" thickBot="1">
      <c r="A18" s="216">
        <v>41701</v>
      </c>
      <c r="B18" s="217">
        <v>41707</v>
      </c>
      <c r="C18" s="218">
        <v>3.95E-2</v>
      </c>
      <c r="D18" s="218">
        <v>4.2999999999999997E-2</v>
      </c>
      <c r="E18" s="218">
        <v>4.5600000000000002E-2</v>
      </c>
      <c r="F18" s="219">
        <v>4.1399999999999999E-2</v>
      </c>
    </row>
    <row r="19" spans="1:6" ht="12" thickBot="1">
      <c r="A19" s="216">
        <v>41694</v>
      </c>
      <c r="B19" s="217">
        <v>41700</v>
      </c>
      <c r="C19" s="218">
        <v>3.9699999999999999E-2</v>
      </c>
      <c r="D19" s="218">
        <v>4.2599999999999999E-2</v>
      </c>
      <c r="E19" s="218">
        <v>4.5999999999999999E-2</v>
      </c>
      <c r="F19" s="219">
        <v>3.04E-2</v>
      </c>
    </row>
    <row r="20" spans="1:6" ht="12" thickBot="1">
      <c r="A20" s="216">
        <v>41687</v>
      </c>
      <c r="B20" s="217">
        <v>41693</v>
      </c>
      <c r="C20" s="218">
        <v>3.9600000000000003E-2</v>
      </c>
      <c r="D20" s="218">
        <v>4.3499999999999997E-2</v>
      </c>
      <c r="E20" s="218">
        <v>4.65E-2</v>
      </c>
      <c r="F20" s="219">
        <v>4.1500000000000002E-2</v>
      </c>
    </row>
    <row r="21" spans="1:6" ht="12" thickBot="1">
      <c r="A21" s="216">
        <v>41680</v>
      </c>
      <c r="B21" s="217">
        <v>41686</v>
      </c>
      <c r="C21" s="218">
        <v>3.9399999999999998E-2</v>
      </c>
      <c r="D21" s="218">
        <v>4.2900000000000001E-2</v>
      </c>
      <c r="E21" s="218">
        <v>4.7100000000000003E-2</v>
      </c>
      <c r="F21" s="219">
        <v>4.1500000000000002E-2</v>
      </c>
    </row>
    <row r="22" spans="1:6" ht="12" thickBot="1">
      <c r="A22" s="216">
        <v>41673</v>
      </c>
      <c r="B22" s="217">
        <v>41679</v>
      </c>
      <c r="C22" s="218">
        <v>4.0399999999999998E-2</v>
      </c>
      <c r="D22" s="218">
        <v>4.3400000000000001E-2</v>
      </c>
      <c r="E22" s="218">
        <v>4.6699999999999998E-2</v>
      </c>
      <c r="F22" s="219">
        <v>4.1500000000000002E-2</v>
      </c>
    </row>
    <row r="23" spans="1:6" ht="12" thickBot="1">
      <c r="A23" s="216">
        <v>41666</v>
      </c>
      <c r="B23" s="217">
        <v>41672</v>
      </c>
      <c r="C23" s="218">
        <v>4.0300000000000002E-2</v>
      </c>
      <c r="D23" s="218">
        <v>4.3200000000000002E-2</v>
      </c>
      <c r="E23" s="218">
        <v>4.6899999999999997E-2</v>
      </c>
      <c r="F23" s="219">
        <v>3.04E-2</v>
      </c>
    </row>
    <row r="24" spans="1:6" ht="12" thickBot="1">
      <c r="A24" s="216">
        <v>41659</v>
      </c>
      <c r="B24" s="217">
        <v>41665</v>
      </c>
      <c r="C24" s="218">
        <v>0.04</v>
      </c>
      <c r="D24" s="218">
        <v>4.3799999999999999E-2</v>
      </c>
      <c r="E24" s="218">
        <v>4.7399999999999998E-2</v>
      </c>
      <c r="F24" s="219">
        <v>4.0899999999999999E-2</v>
      </c>
    </row>
    <row r="25" spans="1:6" ht="12" thickBot="1">
      <c r="A25" s="216">
        <v>41652</v>
      </c>
      <c r="B25" s="217">
        <v>41658</v>
      </c>
      <c r="C25" s="218">
        <v>4.0599999999999997E-2</v>
      </c>
      <c r="D25" s="218">
        <v>4.3200000000000002E-2</v>
      </c>
      <c r="E25" s="218">
        <v>4.7699999999999999E-2</v>
      </c>
      <c r="F25" s="219">
        <v>4.1099999999999998E-2</v>
      </c>
    </row>
    <row r="26" spans="1:6" ht="12" thickBot="1">
      <c r="A26" s="216">
        <v>41645</v>
      </c>
      <c r="B26" s="217">
        <v>41651</v>
      </c>
      <c r="C26" s="218">
        <v>4.07E-2</v>
      </c>
      <c r="D26" s="218">
        <v>4.36E-2</v>
      </c>
      <c r="E26" s="218">
        <v>4.7300000000000002E-2</v>
      </c>
      <c r="F26" s="219">
        <v>3.04E-2</v>
      </c>
    </row>
    <row r="27" spans="1:6" ht="12" thickBot="1">
      <c r="A27" s="216">
        <v>41638</v>
      </c>
      <c r="B27" s="217">
        <v>41644</v>
      </c>
      <c r="C27" s="218">
        <v>4.07E-2</v>
      </c>
      <c r="D27" s="218">
        <v>4.3700000000000003E-2</v>
      </c>
      <c r="E27" s="218">
        <v>4.6800000000000001E-2</v>
      </c>
      <c r="F27" s="219">
        <v>3.04E-2</v>
      </c>
    </row>
    <row r="28" spans="1:6" ht="12" thickBot="1">
      <c r="A28" s="216">
        <v>41631</v>
      </c>
      <c r="B28" s="217">
        <v>41637</v>
      </c>
      <c r="C28" s="218">
        <v>4.0399999999999998E-2</v>
      </c>
      <c r="D28" s="218">
        <v>4.4499999999999998E-2</v>
      </c>
      <c r="E28" s="218">
        <v>4.9000000000000002E-2</v>
      </c>
      <c r="F28" s="219">
        <v>3.04E-2</v>
      </c>
    </row>
    <row r="29" spans="1:6" ht="12" thickBot="1">
      <c r="A29" s="216">
        <v>41624</v>
      </c>
      <c r="B29" s="217">
        <v>41630</v>
      </c>
      <c r="C29" s="218">
        <v>4.0599999999999997E-2</v>
      </c>
      <c r="D29" s="218">
        <v>4.4400000000000002E-2</v>
      </c>
      <c r="E29" s="218">
        <v>4.6899999999999997E-2</v>
      </c>
      <c r="F29" s="219">
        <v>4.3400000000000001E-2</v>
      </c>
    </row>
    <row r="30" spans="1:6" ht="12" thickBot="1">
      <c r="A30" s="216">
        <v>41617</v>
      </c>
      <c r="B30" s="217">
        <v>41623</v>
      </c>
      <c r="C30" s="218">
        <v>4.0399999999999998E-2</v>
      </c>
      <c r="D30" s="218">
        <v>4.41E-2</v>
      </c>
      <c r="E30" s="218">
        <v>4.8399999999999999E-2</v>
      </c>
      <c r="F30" s="219">
        <v>4.3900000000000002E-2</v>
      </c>
    </row>
    <row r="31" spans="1:6" ht="12" thickBot="1">
      <c r="A31" s="216">
        <v>41610</v>
      </c>
      <c r="B31" s="217">
        <v>41616</v>
      </c>
      <c r="C31" s="218">
        <v>4.0099999999999997E-2</v>
      </c>
      <c r="D31" s="218">
        <v>4.4699999999999997E-2</v>
      </c>
      <c r="E31" s="218">
        <v>5.11E-2</v>
      </c>
      <c r="F31" s="219">
        <v>4.36E-2</v>
      </c>
    </row>
    <row r="32" spans="1:6" ht="12" thickBot="1">
      <c r="A32" s="216">
        <v>41603</v>
      </c>
      <c r="B32" s="217">
        <v>41609</v>
      </c>
      <c r="C32" s="218">
        <v>4.0500000000000001E-2</v>
      </c>
      <c r="D32" s="218">
        <v>4.3799999999999999E-2</v>
      </c>
      <c r="E32" s="218">
        <v>4.7800000000000002E-2</v>
      </c>
      <c r="F32" s="219">
        <v>4.3099999999999999E-2</v>
      </c>
    </row>
    <row r="33" spans="1:6" ht="12" thickBot="1">
      <c r="A33" s="216">
        <v>41596</v>
      </c>
      <c r="B33" s="217">
        <v>41602</v>
      </c>
      <c r="C33" s="218">
        <v>4.0599999999999997E-2</v>
      </c>
      <c r="D33" s="218">
        <v>4.4400000000000002E-2</v>
      </c>
      <c r="E33" s="218">
        <v>5.1799999999999999E-2</v>
      </c>
      <c r="F33" s="219">
        <v>4.3400000000000001E-2</v>
      </c>
    </row>
    <row r="34" spans="1:6" ht="12" thickBot="1">
      <c r="A34" s="216">
        <v>41589</v>
      </c>
      <c r="B34" s="217">
        <v>41595</v>
      </c>
      <c r="C34" s="218">
        <v>3.9899999999999998E-2</v>
      </c>
      <c r="D34" s="218">
        <v>4.4600000000000001E-2</v>
      </c>
      <c r="E34" s="218">
        <v>4.7800000000000002E-2</v>
      </c>
      <c r="F34" s="219">
        <v>4.1500000000000002E-2</v>
      </c>
    </row>
    <row r="35" spans="1:6" ht="12" thickBot="1">
      <c r="A35" s="216">
        <v>41582</v>
      </c>
      <c r="B35" s="217">
        <v>41588</v>
      </c>
      <c r="C35" s="218">
        <v>4.0599999999999997E-2</v>
      </c>
      <c r="D35" s="218">
        <v>4.5100000000000001E-2</v>
      </c>
      <c r="E35" s="218">
        <v>4.8399999999999999E-2</v>
      </c>
      <c r="F35" s="219">
        <v>4.36E-2</v>
      </c>
    </row>
    <row r="36" spans="1:6" ht="12" thickBot="1">
      <c r="A36" s="216">
        <v>41575</v>
      </c>
      <c r="B36" s="217">
        <v>41581</v>
      </c>
      <c r="C36" s="218">
        <v>4.0599999999999997E-2</v>
      </c>
      <c r="D36" s="218">
        <v>4.4699999999999997E-2</v>
      </c>
      <c r="E36" s="218">
        <v>4.8899999999999999E-2</v>
      </c>
      <c r="F36" s="219">
        <v>3.04E-2</v>
      </c>
    </row>
    <row r="37" spans="1:6" ht="12" thickBot="1">
      <c r="A37" s="216">
        <v>41568</v>
      </c>
      <c r="B37" s="217">
        <v>41574</v>
      </c>
      <c r="C37" s="218">
        <v>3.9899999999999998E-2</v>
      </c>
      <c r="D37" s="218">
        <v>4.3499999999999997E-2</v>
      </c>
      <c r="E37" s="218">
        <v>4.7899999999999998E-2</v>
      </c>
      <c r="F37" s="219">
        <v>4.2599999999999999E-2</v>
      </c>
    </row>
    <row r="38" spans="1:6" ht="12" thickBot="1">
      <c r="A38" s="216">
        <v>41561</v>
      </c>
      <c r="B38" s="217">
        <v>41567</v>
      </c>
      <c r="C38" s="218">
        <v>3.9600000000000003E-2</v>
      </c>
      <c r="D38" s="218">
        <v>4.3900000000000002E-2</v>
      </c>
      <c r="E38" s="218">
        <v>4.7800000000000002E-2</v>
      </c>
      <c r="F38" s="219">
        <v>3.04E-2</v>
      </c>
    </row>
    <row r="39" spans="1:6" ht="12" thickBot="1">
      <c r="A39" s="216">
        <v>41554</v>
      </c>
      <c r="B39" s="217">
        <v>41560</v>
      </c>
      <c r="C39" s="218">
        <v>4.07E-2</v>
      </c>
      <c r="D39" s="218">
        <v>4.41E-2</v>
      </c>
      <c r="E39" s="218">
        <v>4.7899999999999998E-2</v>
      </c>
      <c r="F39" s="219">
        <v>3.04E-2</v>
      </c>
    </row>
    <row r="40" spans="1:6" ht="12" thickBot="1">
      <c r="A40" s="216">
        <v>41547</v>
      </c>
      <c r="B40" s="217">
        <v>41553</v>
      </c>
      <c r="C40" s="218">
        <v>4.0599999999999997E-2</v>
      </c>
      <c r="D40" s="218">
        <v>4.3499999999999997E-2</v>
      </c>
      <c r="E40" s="218">
        <v>4.8399999999999999E-2</v>
      </c>
      <c r="F40" s="219">
        <v>3.04E-2</v>
      </c>
    </row>
    <row r="41" spans="1:6" ht="12" thickBot="1">
      <c r="A41" s="216">
        <v>41540</v>
      </c>
      <c r="B41" s="217">
        <v>41546</v>
      </c>
      <c r="C41" s="218">
        <v>4.02E-2</v>
      </c>
      <c r="D41" s="218">
        <v>4.41E-2</v>
      </c>
      <c r="E41" s="218">
        <v>4.6699999999999998E-2</v>
      </c>
      <c r="F41" s="219">
        <v>4.19E-2</v>
      </c>
    </row>
    <row r="42" spans="1:6" ht="12" thickBot="1">
      <c r="A42" s="216">
        <v>41533</v>
      </c>
      <c r="B42" s="217">
        <v>41539</v>
      </c>
      <c r="C42" s="218">
        <v>4.0899999999999999E-2</v>
      </c>
      <c r="D42" s="218">
        <v>4.4200000000000003E-2</v>
      </c>
      <c r="E42" s="218">
        <v>4.8500000000000001E-2</v>
      </c>
      <c r="F42" s="219">
        <v>4.41E-2</v>
      </c>
    </row>
    <row r="43" spans="1:6" ht="12" thickBot="1">
      <c r="A43" s="216">
        <v>41526</v>
      </c>
      <c r="B43" s="217">
        <v>41532</v>
      </c>
      <c r="C43" s="218">
        <v>4.0899999999999999E-2</v>
      </c>
      <c r="D43" s="218">
        <v>4.3499999999999997E-2</v>
      </c>
      <c r="E43" s="218">
        <v>5.2400000000000002E-2</v>
      </c>
      <c r="F43" s="219">
        <v>4.3400000000000001E-2</v>
      </c>
    </row>
    <row r="44" spans="1:6" ht="12" thickBot="1">
      <c r="A44" s="216">
        <v>41519</v>
      </c>
      <c r="B44" s="217">
        <v>41525</v>
      </c>
      <c r="C44" s="218">
        <v>4.0899999999999999E-2</v>
      </c>
      <c r="D44" s="218">
        <v>4.3499999999999997E-2</v>
      </c>
      <c r="E44" s="218">
        <v>4.6399999999999997E-2</v>
      </c>
      <c r="F44" s="219">
        <v>4.4600000000000001E-2</v>
      </c>
    </row>
    <row r="45" spans="1:6" ht="12" thickBot="1">
      <c r="A45" s="216">
        <v>41512</v>
      </c>
      <c r="B45" s="217">
        <v>41518</v>
      </c>
      <c r="C45" s="218">
        <v>4.0399999999999998E-2</v>
      </c>
      <c r="D45" s="218">
        <v>4.3900000000000002E-2</v>
      </c>
      <c r="E45" s="218">
        <v>4.3799999999999999E-2</v>
      </c>
      <c r="F45" s="219">
        <v>4.2999999999999997E-2</v>
      </c>
    </row>
    <row r="46" spans="1:6" ht="12" thickBot="1">
      <c r="A46" s="216">
        <v>41505</v>
      </c>
      <c r="B46" s="217">
        <v>41511</v>
      </c>
      <c r="C46" s="218">
        <v>4.1099999999999998E-2</v>
      </c>
      <c r="D46" s="218">
        <v>4.2099999999999999E-2</v>
      </c>
      <c r="E46" s="218">
        <v>4.5199999999999997E-2</v>
      </c>
      <c r="F46" s="219">
        <v>4.36E-2</v>
      </c>
    </row>
    <row r="47" spans="1:6" ht="12" thickBot="1">
      <c r="A47" s="216">
        <v>41498</v>
      </c>
      <c r="B47" s="217">
        <v>41504</v>
      </c>
      <c r="C47" s="218">
        <v>4.02E-2</v>
      </c>
      <c r="D47" s="218">
        <v>4.2000000000000003E-2</v>
      </c>
      <c r="E47" s="218">
        <v>4.4699999999999997E-2</v>
      </c>
      <c r="F47" s="219">
        <v>3.04E-2</v>
      </c>
    </row>
    <row r="48" spans="1:6" ht="12" thickBot="1">
      <c r="A48" s="216">
        <v>41491</v>
      </c>
      <c r="B48" s="217">
        <v>41497</v>
      </c>
      <c r="C48" s="218">
        <v>0.04</v>
      </c>
      <c r="D48" s="218">
        <v>4.4299999999999999E-2</v>
      </c>
      <c r="E48" s="218">
        <v>4.4699999999999997E-2</v>
      </c>
      <c r="F48" s="219">
        <v>3.04E-2</v>
      </c>
    </row>
    <row r="49" spans="1:6" ht="12" thickBot="1">
      <c r="A49" s="216">
        <v>41484</v>
      </c>
      <c r="B49" s="217">
        <v>41490</v>
      </c>
      <c r="C49" s="218">
        <v>4.0599999999999997E-2</v>
      </c>
      <c r="D49" s="218">
        <v>4.2599999999999999E-2</v>
      </c>
      <c r="E49" s="218">
        <v>4.58E-2</v>
      </c>
      <c r="F49" s="219">
        <v>4.2500000000000003E-2</v>
      </c>
    </row>
    <row r="50" spans="1:6" ht="12" thickBot="1">
      <c r="A50" s="216">
        <v>41477</v>
      </c>
      <c r="B50" s="217">
        <v>41483</v>
      </c>
      <c r="C50" s="218">
        <v>3.95E-2</v>
      </c>
      <c r="D50" s="218">
        <v>4.3299999999999998E-2</v>
      </c>
      <c r="E50" s="218">
        <v>4.3200000000000002E-2</v>
      </c>
      <c r="F50" s="219">
        <v>3.04E-2</v>
      </c>
    </row>
    <row r="51" spans="1:6" ht="12" thickBot="1">
      <c r="A51" s="216">
        <v>41470</v>
      </c>
      <c r="B51" s="217">
        <v>41476</v>
      </c>
      <c r="C51" s="218">
        <v>3.9199999999999999E-2</v>
      </c>
      <c r="D51" s="218">
        <v>4.07E-2</v>
      </c>
      <c r="E51" s="218">
        <v>4.6800000000000001E-2</v>
      </c>
      <c r="F51" s="219">
        <v>3.5200000000000002E-2</v>
      </c>
    </row>
    <row r="52" spans="1:6" ht="12" thickBot="1">
      <c r="A52" s="216">
        <v>41463</v>
      </c>
      <c r="B52" s="217">
        <v>41469</v>
      </c>
      <c r="C52" s="218">
        <v>3.9800000000000002E-2</v>
      </c>
      <c r="D52" s="218">
        <v>4.1399999999999999E-2</v>
      </c>
      <c r="E52" s="218">
        <v>4.2999999999999997E-2</v>
      </c>
      <c r="F52" s="219">
        <v>3.5400000000000001E-2</v>
      </c>
    </row>
    <row r="53" spans="1:6" ht="12" thickBot="1">
      <c r="A53" s="216">
        <v>41456</v>
      </c>
      <c r="B53" s="217">
        <v>41462</v>
      </c>
      <c r="C53" s="218">
        <v>3.9100000000000003E-2</v>
      </c>
      <c r="D53" s="218">
        <v>4.1700000000000001E-2</v>
      </c>
      <c r="E53" s="218">
        <v>4.4400000000000002E-2</v>
      </c>
      <c r="F53" s="219">
        <v>4.0500000000000001E-2</v>
      </c>
    </row>
    <row r="54" spans="1:6" ht="12" thickBot="1">
      <c r="A54" s="216">
        <v>41449</v>
      </c>
      <c r="B54" s="217">
        <v>41455</v>
      </c>
      <c r="C54" s="218">
        <v>3.9899999999999998E-2</v>
      </c>
      <c r="D54" s="218">
        <v>4.2999999999999997E-2</v>
      </c>
      <c r="E54" s="218">
        <v>4.4299999999999999E-2</v>
      </c>
      <c r="F54" s="219">
        <v>3.5400000000000001E-2</v>
      </c>
    </row>
    <row r="55" spans="1:6" ht="12" thickBot="1">
      <c r="A55" s="216">
        <v>41442</v>
      </c>
      <c r="B55" s="217">
        <v>41448</v>
      </c>
      <c r="C55" s="218">
        <v>3.9100000000000003E-2</v>
      </c>
      <c r="D55" s="218">
        <v>4.3700000000000003E-2</v>
      </c>
      <c r="E55" s="218">
        <v>4.5100000000000001E-2</v>
      </c>
      <c r="F55" s="219">
        <v>3.5400000000000001E-2</v>
      </c>
    </row>
    <row r="56" spans="1:6" ht="12" thickBot="1">
      <c r="A56" s="216">
        <v>41435</v>
      </c>
      <c r="B56" s="217">
        <v>41441</v>
      </c>
      <c r="C56" s="218">
        <v>3.9399999999999998E-2</v>
      </c>
      <c r="D56" s="218">
        <v>4.2500000000000003E-2</v>
      </c>
      <c r="E56" s="218">
        <v>4.4299999999999999E-2</v>
      </c>
      <c r="F56" s="219">
        <v>3.5400000000000001E-2</v>
      </c>
    </row>
    <row r="57" spans="1:6" ht="12" thickBot="1">
      <c r="A57" s="216">
        <v>41428</v>
      </c>
      <c r="B57" s="217">
        <v>41434</v>
      </c>
      <c r="C57" s="218">
        <v>4.0099999999999997E-2</v>
      </c>
      <c r="D57" s="218">
        <v>4.2900000000000001E-2</v>
      </c>
      <c r="E57" s="218">
        <v>4.6399999999999997E-2</v>
      </c>
      <c r="F57" s="219">
        <v>3.5400000000000001E-2</v>
      </c>
    </row>
    <row r="58" spans="1:6" ht="12" thickBot="1">
      <c r="A58" s="216">
        <v>41421</v>
      </c>
      <c r="B58" s="217">
        <v>41427</v>
      </c>
      <c r="C58" s="218">
        <v>3.9600000000000003E-2</v>
      </c>
      <c r="D58" s="218">
        <v>4.24E-2</v>
      </c>
      <c r="E58" s="218">
        <v>4.4600000000000001E-2</v>
      </c>
      <c r="F58" s="220"/>
    </row>
    <row r="59" spans="1:6" ht="12" thickBot="1">
      <c r="A59" s="216">
        <v>41414</v>
      </c>
      <c r="B59" s="217">
        <v>41420</v>
      </c>
      <c r="C59" s="218">
        <v>3.9800000000000002E-2</v>
      </c>
      <c r="D59" s="218">
        <v>4.2299999999999997E-2</v>
      </c>
      <c r="E59" s="218">
        <v>4.3799999999999999E-2</v>
      </c>
      <c r="F59" s="219">
        <v>3.5400000000000001E-2</v>
      </c>
    </row>
    <row r="60" spans="1:6" ht="12" thickBot="1">
      <c r="A60" s="216">
        <v>41407</v>
      </c>
      <c r="B60" s="217">
        <v>41413</v>
      </c>
      <c r="C60" s="218">
        <v>3.9800000000000002E-2</v>
      </c>
      <c r="D60" s="218">
        <v>4.3299999999999998E-2</v>
      </c>
      <c r="E60" s="218">
        <v>4.4600000000000001E-2</v>
      </c>
      <c r="F60" s="219">
        <v>3.5400000000000001E-2</v>
      </c>
    </row>
    <row r="61" spans="1:6" ht="12" thickBot="1">
      <c r="A61" s="216">
        <v>41400</v>
      </c>
      <c r="B61" s="217">
        <v>41406</v>
      </c>
      <c r="C61" s="218">
        <v>4.07E-2</v>
      </c>
      <c r="D61" s="218">
        <v>4.3900000000000002E-2</v>
      </c>
      <c r="E61" s="218">
        <v>4.3999999999999997E-2</v>
      </c>
      <c r="F61" s="219">
        <v>3.5400000000000001E-2</v>
      </c>
    </row>
    <row r="62" spans="1:6" ht="12" thickBot="1">
      <c r="A62" s="216">
        <v>41393</v>
      </c>
      <c r="B62" s="217">
        <v>41399</v>
      </c>
      <c r="C62" s="218">
        <v>4.1099999999999998E-2</v>
      </c>
      <c r="D62" s="218">
        <v>4.3099999999999999E-2</v>
      </c>
      <c r="E62" s="218">
        <v>4.4699999999999997E-2</v>
      </c>
      <c r="F62" s="219">
        <v>4.24E-2</v>
      </c>
    </row>
    <row r="63" spans="1:6" ht="12" thickBot="1">
      <c r="A63" s="216">
        <v>41386</v>
      </c>
      <c r="B63" s="217">
        <v>41392</v>
      </c>
      <c r="C63" s="218">
        <v>4.1700000000000001E-2</v>
      </c>
      <c r="D63" s="218">
        <v>4.5400000000000003E-2</v>
      </c>
      <c r="E63" s="218">
        <v>4.7800000000000002E-2</v>
      </c>
      <c r="F63" s="219">
        <v>3.5400000000000001E-2</v>
      </c>
    </row>
    <row r="64" spans="1:6" ht="12" thickBot="1">
      <c r="A64" s="216">
        <v>41379</v>
      </c>
      <c r="B64" s="217">
        <v>41385</v>
      </c>
      <c r="C64" s="218">
        <v>4.2500000000000003E-2</v>
      </c>
      <c r="D64" s="218">
        <v>4.4499999999999998E-2</v>
      </c>
      <c r="E64" s="218">
        <v>4.48E-2</v>
      </c>
      <c r="F64" s="219">
        <v>3.5400000000000001E-2</v>
      </c>
    </row>
    <row r="65" spans="1:6" ht="12" thickBot="1">
      <c r="A65" s="216">
        <v>41372</v>
      </c>
      <c r="B65" s="217">
        <v>41378</v>
      </c>
      <c r="C65" s="218">
        <v>4.3900000000000002E-2</v>
      </c>
      <c r="D65" s="218">
        <v>4.65E-2</v>
      </c>
      <c r="E65" s="218">
        <v>4.6899999999999997E-2</v>
      </c>
      <c r="F65" s="219">
        <v>3.5400000000000001E-2</v>
      </c>
    </row>
    <row r="66" spans="1:6" ht="12" thickBot="1">
      <c r="A66" s="216">
        <v>41365</v>
      </c>
      <c r="B66" s="217">
        <v>41371</v>
      </c>
      <c r="C66" s="218">
        <v>4.4999999999999998E-2</v>
      </c>
      <c r="D66" s="218">
        <v>4.5600000000000002E-2</v>
      </c>
      <c r="E66" s="218">
        <v>4.7500000000000001E-2</v>
      </c>
      <c r="F66" s="219">
        <v>3.5400000000000001E-2</v>
      </c>
    </row>
    <row r="67" spans="1:6" ht="12" thickBot="1">
      <c r="A67" s="216">
        <v>41358</v>
      </c>
      <c r="B67" s="217">
        <v>41364</v>
      </c>
      <c r="C67" s="218">
        <v>4.5499999999999999E-2</v>
      </c>
      <c r="D67" s="218">
        <v>4.7399999999999998E-2</v>
      </c>
      <c r="E67" s="218">
        <v>4.9099999999999998E-2</v>
      </c>
      <c r="F67" s="219">
        <v>3.5400000000000001E-2</v>
      </c>
    </row>
    <row r="68" spans="1:6" ht="12" thickBot="1">
      <c r="A68" s="216">
        <v>41351</v>
      </c>
      <c r="B68" s="217">
        <v>41357</v>
      </c>
      <c r="C68" s="218">
        <v>4.5499999999999999E-2</v>
      </c>
      <c r="D68" s="218">
        <v>4.82E-2</v>
      </c>
      <c r="E68" s="218">
        <v>5.0299999999999997E-2</v>
      </c>
      <c r="F68" s="219">
        <v>3.5400000000000001E-2</v>
      </c>
    </row>
    <row r="69" spans="1:6" ht="12" thickBot="1">
      <c r="A69" s="216">
        <v>41344</v>
      </c>
      <c r="B69" s="217">
        <v>41350</v>
      </c>
      <c r="C69" s="218">
        <v>4.65E-2</v>
      </c>
      <c r="D69" s="218">
        <v>4.8599999999999997E-2</v>
      </c>
      <c r="E69" s="218">
        <v>5.0999999999999997E-2</v>
      </c>
      <c r="F69" s="219">
        <v>3.5400000000000001E-2</v>
      </c>
    </row>
    <row r="70" spans="1:6" ht="12" thickBot="1">
      <c r="A70" s="216">
        <v>41337</v>
      </c>
      <c r="B70" s="217">
        <v>41343</v>
      </c>
      <c r="C70" s="218">
        <v>4.7800000000000002E-2</v>
      </c>
      <c r="D70" s="218">
        <v>5.1200000000000002E-2</v>
      </c>
      <c r="E70" s="218">
        <v>5.1499999999999997E-2</v>
      </c>
      <c r="F70" s="219">
        <v>3.5400000000000001E-2</v>
      </c>
    </row>
    <row r="71" spans="1:6" ht="12" thickBot="1">
      <c r="A71" s="216">
        <v>41330</v>
      </c>
      <c r="B71" s="217">
        <v>41336</v>
      </c>
      <c r="C71" s="218">
        <v>4.8300000000000003E-2</v>
      </c>
      <c r="D71" s="218">
        <v>5.04E-2</v>
      </c>
      <c r="E71" s="218">
        <v>5.1200000000000002E-2</v>
      </c>
      <c r="F71" s="219">
        <v>3.5400000000000001E-2</v>
      </c>
    </row>
    <row r="72" spans="1:6" ht="12" thickBot="1">
      <c r="A72" s="216">
        <v>41323</v>
      </c>
      <c r="B72" s="217">
        <v>41329</v>
      </c>
      <c r="C72" s="218">
        <v>4.82E-2</v>
      </c>
      <c r="D72" s="218">
        <v>5.0799999999999998E-2</v>
      </c>
      <c r="E72" s="218">
        <v>5.2600000000000001E-2</v>
      </c>
      <c r="F72" s="219">
        <v>3.5400000000000001E-2</v>
      </c>
    </row>
    <row r="73" spans="1:6" ht="12" thickBot="1">
      <c r="A73" s="216">
        <v>41316</v>
      </c>
      <c r="B73" s="217">
        <v>41322</v>
      </c>
      <c r="C73" s="218">
        <v>4.8500000000000001E-2</v>
      </c>
      <c r="D73" s="218">
        <v>5.1700000000000003E-2</v>
      </c>
      <c r="E73" s="218">
        <v>5.3199999999999997E-2</v>
      </c>
      <c r="F73" s="219">
        <v>3.5400000000000001E-2</v>
      </c>
    </row>
    <row r="74" spans="1:6" ht="12" thickBot="1">
      <c r="A74" s="216">
        <v>41309</v>
      </c>
      <c r="B74" s="217">
        <v>41315</v>
      </c>
      <c r="C74" s="218">
        <v>4.9399999999999999E-2</v>
      </c>
      <c r="D74" s="218">
        <v>5.21E-2</v>
      </c>
      <c r="E74" s="218">
        <v>5.4600000000000003E-2</v>
      </c>
      <c r="F74" s="219">
        <v>3.5400000000000001E-2</v>
      </c>
    </row>
    <row r="75" spans="1:6" ht="12" thickBot="1">
      <c r="A75" s="216">
        <v>41302</v>
      </c>
      <c r="B75" s="217">
        <v>41308</v>
      </c>
      <c r="C75" s="218">
        <v>5.11E-2</v>
      </c>
      <c r="D75" s="218">
        <v>5.3199999999999997E-2</v>
      </c>
      <c r="E75" s="218">
        <v>5.5599999999999997E-2</v>
      </c>
      <c r="F75" s="219">
        <v>5.4300000000000001E-2</v>
      </c>
    </row>
    <row r="76" spans="1:6" ht="12" thickBot="1">
      <c r="A76" s="216">
        <v>41295</v>
      </c>
      <c r="B76" s="217">
        <v>41301</v>
      </c>
      <c r="C76" s="218">
        <v>5.0700000000000002E-2</v>
      </c>
      <c r="D76" s="218">
        <v>5.3800000000000001E-2</v>
      </c>
      <c r="E76" s="218">
        <v>5.5899999999999998E-2</v>
      </c>
      <c r="F76" s="219">
        <v>3.5400000000000001E-2</v>
      </c>
    </row>
    <row r="77" spans="1:6" ht="12" thickBot="1">
      <c r="A77" s="216">
        <v>41288</v>
      </c>
      <c r="B77" s="217">
        <v>41294</v>
      </c>
      <c r="C77" s="218">
        <v>5.2200000000000003E-2</v>
      </c>
      <c r="D77" s="218">
        <v>5.4699999999999999E-2</v>
      </c>
      <c r="E77" s="218">
        <v>5.6099999999999997E-2</v>
      </c>
      <c r="F77" s="219">
        <v>3.5400000000000001E-2</v>
      </c>
    </row>
    <row r="78" spans="1:6" ht="12" thickBot="1">
      <c r="A78" s="216">
        <v>41281</v>
      </c>
      <c r="B78" s="217">
        <v>41287</v>
      </c>
      <c r="C78" s="218">
        <v>5.21E-2</v>
      </c>
      <c r="D78" s="218">
        <v>5.6399999999999999E-2</v>
      </c>
      <c r="E78" s="218">
        <v>5.7700000000000001E-2</v>
      </c>
      <c r="F78" s="219">
        <v>3.5400000000000001E-2</v>
      </c>
    </row>
    <row r="79" spans="1:6" ht="12" thickBot="1">
      <c r="A79" s="216">
        <v>41274</v>
      </c>
      <c r="B79" s="217">
        <v>41280</v>
      </c>
      <c r="C79" s="218">
        <v>5.2699999999999997E-2</v>
      </c>
      <c r="D79" s="218">
        <v>5.67E-2</v>
      </c>
      <c r="E79" s="218">
        <v>5.9400000000000001E-2</v>
      </c>
      <c r="F79" s="219">
        <v>3.5400000000000001E-2</v>
      </c>
    </row>
    <row r="80" spans="1:6" ht="12" thickBot="1">
      <c r="A80" s="216">
        <v>41267</v>
      </c>
      <c r="B80" s="217">
        <v>41273</v>
      </c>
      <c r="C80" s="218">
        <v>5.2200000000000003E-2</v>
      </c>
      <c r="D80" s="218">
        <v>5.7000000000000002E-2</v>
      </c>
      <c r="E80" s="218">
        <v>5.9900000000000002E-2</v>
      </c>
      <c r="F80" s="219">
        <v>5.33E-2</v>
      </c>
    </row>
    <row r="81" spans="1:6" ht="12" thickBot="1">
      <c r="A81" s="216">
        <v>41260</v>
      </c>
      <c r="B81" s="217">
        <v>41266</v>
      </c>
      <c r="C81" s="218">
        <v>5.2600000000000001E-2</v>
      </c>
      <c r="D81" s="218">
        <v>5.6899999999999999E-2</v>
      </c>
      <c r="E81" s="218">
        <v>5.9799999999999999E-2</v>
      </c>
      <c r="F81" s="219">
        <v>3.5400000000000001E-2</v>
      </c>
    </row>
    <row r="82" spans="1:6" ht="12" thickBot="1">
      <c r="A82" s="216">
        <v>41253</v>
      </c>
      <c r="B82" s="217">
        <v>41259</v>
      </c>
      <c r="C82" s="218">
        <v>5.1499999999999997E-2</v>
      </c>
      <c r="D82" s="218">
        <v>5.7500000000000002E-2</v>
      </c>
      <c r="E82" s="218">
        <v>6.1699999999999998E-2</v>
      </c>
      <c r="F82" s="219">
        <v>3.5400000000000001E-2</v>
      </c>
    </row>
    <row r="83" spans="1:6" ht="12" thickBot="1">
      <c r="A83" s="216">
        <v>41246</v>
      </c>
      <c r="B83" s="217">
        <v>41252</v>
      </c>
      <c r="C83" s="218">
        <v>5.3400000000000003E-2</v>
      </c>
      <c r="D83" s="218">
        <v>5.7000000000000002E-2</v>
      </c>
      <c r="E83" s="218">
        <v>5.9200000000000003E-2</v>
      </c>
      <c r="F83" s="219">
        <v>3.5400000000000001E-2</v>
      </c>
    </row>
    <row r="84" spans="1:6" ht="12" thickBot="1">
      <c r="A84" s="216">
        <v>41239</v>
      </c>
      <c r="B84" s="217">
        <v>41245</v>
      </c>
      <c r="C84" s="218">
        <v>5.4199999999999998E-2</v>
      </c>
      <c r="D84" s="218">
        <v>5.6500000000000002E-2</v>
      </c>
      <c r="E84" s="218">
        <v>5.8700000000000002E-2</v>
      </c>
      <c r="F84" s="219">
        <v>0</v>
      </c>
    </row>
    <row r="85" spans="1:6" ht="12" thickBot="1">
      <c r="A85" s="216">
        <v>41232</v>
      </c>
      <c r="B85" s="217">
        <v>41238</v>
      </c>
      <c r="C85" s="218">
        <v>5.2600000000000001E-2</v>
      </c>
      <c r="D85" s="218">
        <v>5.7700000000000001E-2</v>
      </c>
      <c r="E85" s="218">
        <v>6.0199999999999997E-2</v>
      </c>
      <c r="F85" s="219">
        <v>3.5400000000000001E-2</v>
      </c>
    </row>
    <row r="86" spans="1:6" ht="12" thickBot="1">
      <c r="A86" s="216">
        <v>41225</v>
      </c>
      <c r="B86" s="217">
        <v>41231</v>
      </c>
      <c r="C86" s="218">
        <v>5.2299999999999999E-2</v>
      </c>
      <c r="D86" s="218">
        <v>5.7500000000000002E-2</v>
      </c>
      <c r="E86" s="218">
        <v>6.0100000000000001E-2</v>
      </c>
      <c r="F86" s="219">
        <v>3.5400000000000001E-2</v>
      </c>
    </row>
    <row r="87" spans="1:6" ht="12" thickBot="1">
      <c r="A87" s="216">
        <v>41218</v>
      </c>
      <c r="B87" s="217">
        <v>41224</v>
      </c>
      <c r="C87" s="218">
        <v>5.79E-2</v>
      </c>
      <c r="D87" s="218">
        <v>5.74E-2</v>
      </c>
      <c r="E87" s="218">
        <v>6.0900000000000003E-2</v>
      </c>
      <c r="F87" s="219">
        <v>3.5400000000000001E-2</v>
      </c>
    </row>
    <row r="88" spans="1:6" ht="12" thickBot="1">
      <c r="A88" s="216">
        <v>41211</v>
      </c>
      <c r="B88" s="217">
        <v>41217</v>
      </c>
      <c r="C88" s="218">
        <v>5.2900000000000003E-2</v>
      </c>
      <c r="D88" s="218">
        <v>5.91E-2</v>
      </c>
      <c r="E88" s="218">
        <v>6.13E-2</v>
      </c>
      <c r="F88" s="219">
        <v>5.7799999999999997E-2</v>
      </c>
    </row>
    <row r="89" spans="1:6" ht="12" thickBot="1">
      <c r="A89" s="216">
        <v>41204</v>
      </c>
      <c r="B89" s="217">
        <v>41210</v>
      </c>
      <c r="C89" s="218">
        <v>5.1900000000000002E-2</v>
      </c>
      <c r="D89" s="218">
        <v>5.8400000000000001E-2</v>
      </c>
      <c r="E89" s="218">
        <v>6.1499999999999999E-2</v>
      </c>
      <c r="F89" s="219">
        <v>3.5400000000000001E-2</v>
      </c>
    </row>
    <row r="90" spans="1:6" ht="12" thickBot="1">
      <c r="A90" s="216">
        <v>41197</v>
      </c>
      <c r="B90" s="217">
        <v>41203</v>
      </c>
      <c r="C90" s="218">
        <v>5.2299999999999999E-2</v>
      </c>
      <c r="D90" s="218">
        <v>5.8200000000000002E-2</v>
      </c>
      <c r="E90" s="218">
        <v>6.13E-2</v>
      </c>
      <c r="F90" s="219">
        <v>3.5400000000000001E-2</v>
      </c>
    </row>
    <row r="91" spans="1:6" ht="12" thickBot="1">
      <c r="A91" s="216">
        <v>41190</v>
      </c>
      <c r="B91" s="217">
        <v>41196</v>
      </c>
      <c r="C91" s="218">
        <v>5.3100000000000001E-2</v>
      </c>
      <c r="D91" s="218">
        <v>5.8099999999999999E-2</v>
      </c>
      <c r="E91" s="218">
        <v>6.1100000000000002E-2</v>
      </c>
      <c r="F91" s="219">
        <v>3.5400000000000001E-2</v>
      </c>
    </row>
    <row r="92" spans="1:6" ht="12" thickBot="1">
      <c r="A92" s="216">
        <v>41183</v>
      </c>
      <c r="B92" s="217">
        <v>41189</v>
      </c>
      <c r="C92" s="218">
        <v>5.2699999999999997E-2</v>
      </c>
      <c r="D92" s="218">
        <v>5.7299999999999997E-2</v>
      </c>
      <c r="E92" s="218">
        <v>6.1199999999999997E-2</v>
      </c>
      <c r="F92" s="219">
        <v>3.5400000000000001E-2</v>
      </c>
    </row>
    <row r="93" spans="1:6" ht="12" thickBot="1">
      <c r="A93" s="216">
        <v>41176</v>
      </c>
      <c r="B93" s="217">
        <v>41182</v>
      </c>
      <c r="C93" s="218">
        <v>5.1999999999999998E-2</v>
      </c>
      <c r="D93" s="218">
        <v>5.7799999999999997E-2</v>
      </c>
      <c r="E93" s="218">
        <v>6.13E-2</v>
      </c>
      <c r="F93" s="219">
        <v>3.5400000000000001E-2</v>
      </c>
    </row>
    <row r="94" spans="1:6" ht="12" thickBot="1">
      <c r="A94" s="216">
        <v>41169</v>
      </c>
      <c r="B94" s="217">
        <v>41175</v>
      </c>
      <c r="C94" s="218">
        <v>5.3699999999999998E-2</v>
      </c>
      <c r="D94" s="218">
        <v>5.8700000000000002E-2</v>
      </c>
      <c r="E94" s="218">
        <v>6.25E-2</v>
      </c>
      <c r="F94" s="219">
        <v>5.9400000000000001E-2</v>
      </c>
    </row>
    <row r="95" spans="1:6" ht="12" thickBot="1">
      <c r="A95" s="216">
        <v>41162</v>
      </c>
      <c r="B95" s="217">
        <v>41168</v>
      </c>
      <c r="C95" s="218">
        <v>5.3699999999999998E-2</v>
      </c>
      <c r="D95" s="218">
        <v>5.8599999999999999E-2</v>
      </c>
      <c r="E95" s="218">
        <v>6.3100000000000003E-2</v>
      </c>
      <c r="F95" s="219">
        <v>3.5400000000000001E-2</v>
      </c>
    </row>
    <row r="96" spans="1:6" ht="12" thickBot="1">
      <c r="A96" s="216">
        <v>41155</v>
      </c>
      <c r="B96" s="217">
        <v>41161</v>
      </c>
      <c r="C96" s="218">
        <v>5.3999999999999999E-2</v>
      </c>
      <c r="D96" s="218">
        <v>5.7799999999999997E-2</v>
      </c>
      <c r="E96" s="218">
        <v>6.2799999999999995E-2</v>
      </c>
      <c r="F96" s="219">
        <v>3.5400000000000001E-2</v>
      </c>
    </row>
    <row r="97" spans="1:6" ht="12" thickBot="1">
      <c r="A97" s="216">
        <v>41148</v>
      </c>
      <c r="B97" s="217">
        <v>41154</v>
      </c>
      <c r="C97" s="218">
        <v>5.4199999999999998E-2</v>
      </c>
      <c r="D97" s="218">
        <v>5.9499999999999997E-2</v>
      </c>
      <c r="E97" s="218">
        <v>6.3100000000000003E-2</v>
      </c>
      <c r="F97" s="220"/>
    </row>
    <row r="98" spans="1:6" ht="12" thickBot="1">
      <c r="A98" s="216">
        <v>41141</v>
      </c>
      <c r="B98" s="217">
        <v>41147</v>
      </c>
      <c r="C98" s="218">
        <v>5.3999999999999999E-2</v>
      </c>
      <c r="D98" s="218">
        <v>5.8900000000000001E-2</v>
      </c>
      <c r="E98" s="218">
        <v>6.3700000000000007E-2</v>
      </c>
      <c r="F98" s="219">
        <v>3.5400000000000001E-2</v>
      </c>
    </row>
    <row r="99" spans="1:6" ht="12" thickBot="1">
      <c r="A99" s="216">
        <v>41134</v>
      </c>
      <c r="B99" s="217">
        <v>41140</v>
      </c>
      <c r="C99" s="218">
        <v>5.4600000000000003E-2</v>
      </c>
      <c r="D99" s="218">
        <v>5.79E-2</v>
      </c>
      <c r="E99" s="218">
        <v>6.3799999999999996E-2</v>
      </c>
      <c r="F99" s="219">
        <v>6.08E-2</v>
      </c>
    </row>
    <row r="100" spans="1:6" ht="12" thickBot="1">
      <c r="A100" s="216">
        <v>41127</v>
      </c>
      <c r="B100" s="217">
        <v>41133</v>
      </c>
      <c r="C100" s="218">
        <v>5.3900000000000003E-2</v>
      </c>
      <c r="D100" s="218">
        <v>5.8000000000000003E-2</v>
      </c>
      <c r="E100" s="218">
        <v>6.3600000000000004E-2</v>
      </c>
      <c r="F100" s="219">
        <v>3.5400000000000001E-2</v>
      </c>
    </row>
    <row r="101" spans="1:6" ht="12" thickBot="1">
      <c r="A101" s="216">
        <v>41120</v>
      </c>
      <c r="B101" s="217">
        <v>41126</v>
      </c>
      <c r="C101" s="218">
        <v>5.5E-2</v>
      </c>
      <c r="D101" s="218">
        <v>5.9400000000000001E-2</v>
      </c>
      <c r="E101" s="218">
        <v>6.4399999999999999E-2</v>
      </c>
      <c r="F101" s="219">
        <v>3.5400000000000001E-2</v>
      </c>
    </row>
    <row r="102" spans="1:6" ht="12" thickBot="1">
      <c r="A102" s="216">
        <v>41113</v>
      </c>
      <c r="B102" s="217">
        <v>41119</v>
      </c>
      <c r="C102" s="218">
        <v>5.2900000000000003E-2</v>
      </c>
      <c r="D102" s="218">
        <v>5.9700000000000003E-2</v>
      </c>
      <c r="E102" s="218">
        <v>6.4500000000000002E-2</v>
      </c>
      <c r="F102" s="219">
        <v>3.5400000000000001E-2</v>
      </c>
    </row>
    <row r="103" spans="1:6" ht="12" thickBot="1">
      <c r="A103" s="216">
        <v>41106</v>
      </c>
      <c r="B103" s="217">
        <v>41112</v>
      </c>
      <c r="C103" s="218">
        <v>5.5399999999999998E-2</v>
      </c>
      <c r="D103" s="218">
        <v>5.8299999999999998E-2</v>
      </c>
      <c r="E103" s="218">
        <v>6.4500000000000002E-2</v>
      </c>
      <c r="F103" s="219">
        <v>3.5400000000000001E-2</v>
      </c>
    </row>
    <row r="104" spans="1:6" ht="12" thickBot="1">
      <c r="A104" s="216">
        <v>41099</v>
      </c>
      <c r="B104" s="217">
        <v>41105</v>
      </c>
      <c r="C104" s="218">
        <v>5.3800000000000001E-2</v>
      </c>
      <c r="D104" s="218">
        <v>5.6800000000000003E-2</v>
      </c>
      <c r="E104" s="218">
        <v>6.1400000000000003E-2</v>
      </c>
      <c r="F104" s="219">
        <v>3.5400000000000001E-2</v>
      </c>
    </row>
    <row r="105" spans="1:6" ht="12" thickBot="1">
      <c r="A105" s="216">
        <v>41092</v>
      </c>
      <c r="B105" s="217">
        <v>41098</v>
      </c>
      <c r="C105" s="218">
        <v>5.4800000000000001E-2</v>
      </c>
      <c r="D105" s="218">
        <v>5.7700000000000001E-2</v>
      </c>
      <c r="E105" s="218">
        <v>6.3600000000000004E-2</v>
      </c>
      <c r="F105" s="219">
        <v>3.5400000000000001E-2</v>
      </c>
    </row>
    <row r="106" spans="1:6" ht="12" thickBot="1">
      <c r="A106" s="216">
        <v>41085</v>
      </c>
      <c r="B106" s="217">
        <v>41091</v>
      </c>
      <c r="C106" s="218">
        <v>5.4300000000000001E-2</v>
      </c>
      <c r="D106" s="218">
        <v>5.8599999999999999E-2</v>
      </c>
      <c r="E106" s="218">
        <v>6.5100000000000005E-2</v>
      </c>
      <c r="F106" s="219">
        <v>3.5400000000000001E-2</v>
      </c>
    </row>
    <row r="107" spans="1:6" ht="12" thickBot="1">
      <c r="A107" s="216">
        <v>41078</v>
      </c>
      <c r="B107" s="217">
        <v>41084</v>
      </c>
      <c r="C107" s="218">
        <v>5.4600000000000003E-2</v>
      </c>
      <c r="D107" s="218">
        <v>5.8799999999999998E-2</v>
      </c>
      <c r="E107" s="218">
        <v>6.4500000000000002E-2</v>
      </c>
      <c r="F107" s="219">
        <v>6.08E-2</v>
      </c>
    </row>
    <row r="108" spans="1:6" ht="12" thickBot="1">
      <c r="A108" s="216">
        <v>41071</v>
      </c>
      <c r="B108" s="217">
        <v>41077</v>
      </c>
      <c r="C108" s="218">
        <v>5.4199999999999998E-2</v>
      </c>
      <c r="D108" s="218">
        <v>5.91E-2</v>
      </c>
      <c r="E108" s="218">
        <v>6.4899999999999999E-2</v>
      </c>
      <c r="F108" s="219">
        <v>3.5400000000000001E-2</v>
      </c>
    </row>
    <row r="109" spans="1:6" ht="12" thickBot="1">
      <c r="A109" s="216">
        <v>41064</v>
      </c>
      <c r="B109" s="217">
        <v>41070</v>
      </c>
      <c r="C109" s="218">
        <v>5.4100000000000002E-2</v>
      </c>
      <c r="D109" s="218">
        <v>5.8799999999999998E-2</v>
      </c>
      <c r="E109" s="218">
        <v>6.4000000000000001E-2</v>
      </c>
      <c r="F109" s="219">
        <v>6.0900000000000003E-2</v>
      </c>
    </row>
    <row r="110" spans="1:6" ht="12" thickBot="1">
      <c r="A110" s="216">
        <v>41057</v>
      </c>
      <c r="B110" s="217">
        <v>41063</v>
      </c>
      <c r="C110" s="218">
        <v>5.4800000000000001E-2</v>
      </c>
      <c r="D110" s="218">
        <v>5.8900000000000001E-2</v>
      </c>
      <c r="E110" s="218">
        <v>6.1899999999999997E-2</v>
      </c>
      <c r="F110" s="219">
        <v>3.5400000000000001E-2</v>
      </c>
    </row>
    <row r="111" spans="1:6" ht="12" thickBot="1">
      <c r="A111" s="216">
        <v>41050</v>
      </c>
      <c r="B111" s="217">
        <v>41056</v>
      </c>
      <c r="C111" s="218">
        <v>5.5100000000000003E-2</v>
      </c>
      <c r="D111" s="218">
        <v>5.9700000000000003E-2</v>
      </c>
      <c r="E111" s="218">
        <v>6.3500000000000001E-2</v>
      </c>
      <c r="F111" s="219">
        <v>3.5400000000000001E-2</v>
      </c>
    </row>
    <row r="112" spans="1:6" ht="12" thickBot="1">
      <c r="A112" s="216">
        <v>41043</v>
      </c>
      <c r="B112" s="217">
        <v>41049</v>
      </c>
      <c r="C112" s="218">
        <v>5.4300000000000001E-2</v>
      </c>
      <c r="D112" s="218">
        <v>5.8000000000000003E-2</v>
      </c>
      <c r="E112" s="218">
        <v>6.3899999999999998E-2</v>
      </c>
      <c r="F112" s="219">
        <v>6.08E-2</v>
      </c>
    </row>
    <row r="113" spans="1:6" ht="12" thickBot="1">
      <c r="A113" s="216">
        <v>41036</v>
      </c>
      <c r="B113" s="217">
        <v>41042</v>
      </c>
      <c r="C113" s="218">
        <v>5.4399999999999997E-2</v>
      </c>
      <c r="D113" s="218">
        <v>5.8200000000000002E-2</v>
      </c>
      <c r="E113" s="218">
        <v>6.2799999999999995E-2</v>
      </c>
      <c r="F113" s="219">
        <v>3.5400000000000001E-2</v>
      </c>
    </row>
    <row r="114" spans="1:6" ht="12" thickBot="1">
      <c r="A114" s="216">
        <v>41029</v>
      </c>
      <c r="B114" s="217">
        <v>41035</v>
      </c>
      <c r="C114" s="218">
        <v>5.3499999999999999E-2</v>
      </c>
      <c r="D114" s="218">
        <v>5.8999999999999997E-2</v>
      </c>
      <c r="E114" s="218">
        <v>6.4899999999999999E-2</v>
      </c>
      <c r="F114" s="219">
        <v>3.5400000000000001E-2</v>
      </c>
    </row>
    <row r="115" spans="1:6" ht="12" thickBot="1">
      <c r="A115" s="216">
        <v>41022</v>
      </c>
      <c r="B115" s="217">
        <v>41028</v>
      </c>
      <c r="C115" s="218">
        <v>5.45E-2</v>
      </c>
      <c r="D115" s="218">
        <v>5.7700000000000001E-2</v>
      </c>
      <c r="E115" s="218">
        <v>6.4199999999999993E-2</v>
      </c>
      <c r="F115" s="219">
        <v>4.7600000000000003E-2</v>
      </c>
    </row>
    <row r="116" spans="1:6" ht="12" thickBot="1">
      <c r="A116" s="216">
        <v>41015</v>
      </c>
      <c r="B116" s="217">
        <v>41021</v>
      </c>
      <c r="C116" s="218">
        <v>5.5599999999999997E-2</v>
      </c>
      <c r="D116" s="218">
        <v>5.8900000000000001E-2</v>
      </c>
      <c r="E116" s="218">
        <v>6.2399999999999997E-2</v>
      </c>
      <c r="F116" s="219">
        <v>3.5400000000000001E-2</v>
      </c>
    </row>
    <row r="117" spans="1:6" ht="12" thickBot="1">
      <c r="A117" s="216">
        <v>41008</v>
      </c>
      <c r="B117" s="217">
        <v>41014</v>
      </c>
      <c r="C117" s="218">
        <v>5.4300000000000001E-2</v>
      </c>
      <c r="D117" s="218">
        <v>5.9900000000000002E-2</v>
      </c>
      <c r="E117" s="218">
        <v>6.1499999999999999E-2</v>
      </c>
      <c r="F117" s="219">
        <v>3.5400000000000001E-2</v>
      </c>
    </row>
    <row r="118" spans="1:6" ht="12" thickBot="1">
      <c r="A118" s="216">
        <v>41001</v>
      </c>
      <c r="B118" s="217">
        <v>41007</v>
      </c>
      <c r="C118" s="218">
        <v>5.5E-2</v>
      </c>
      <c r="D118" s="218">
        <v>5.8700000000000002E-2</v>
      </c>
      <c r="E118" s="218">
        <v>6.4100000000000004E-2</v>
      </c>
      <c r="F118" s="219">
        <v>3.5400000000000001E-2</v>
      </c>
    </row>
    <row r="119" spans="1:6" ht="12" thickBot="1">
      <c r="A119" s="216">
        <v>40994</v>
      </c>
      <c r="B119" s="217">
        <v>41000</v>
      </c>
      <c r="C119" s="218">
        <v>5.33E-2</v>
      </c>
      <c r="D119" s="218">
        <v>5.8500000000000003E-2</v>
      </c>
      <c r="E119" s="218">
        <v>6.3299999999999995E-2</v>
      </c>
      <c r="F119" s="219">
        <v>3.5400000000000001E-2</v>
      </c>
    </row>
    <row r="120" spans="1:6" ht="12" thickBot="1">
      <c r="A120" s="216">
        <v>40987</v>
      </c>
      <c r="B120" s="217">
        <v>40993</v>
      </c>
      <c r="C120" s="218">
        <v>5.2299999999999999E-2</v>
      </c>
      <c r="D120" s="218">
        <v>5.9299999999999999E-2</v>
      </c>
      <c r="E120" s="218">
        <v>6.2700000000000006E-2</v>
      </c>
      <c r="F120" s="219">
        <v>3.5400000000000001E-2</v>
      </c>
    </row>
    <row r="121" spans="1:6" ht="12" thickBot="1">
      <c r="A121" s="216">
        <v>40980</v>
      </c>
      <c r="B121" s="217">
        <v>40986</v>
      </c>
      <c r="C121" s="218">
        <v>5.3100000000000001E-2</v>
      </c>
      <c r="D121" s="218">
        <v>5.74E-2</v>
      </c>
      <c r="E121" s="218">
        <v>6.2E-2</v>
      </c>
      <c r="F121" s="219">
        <v>3.5400000000000001E-2</v>
      </c>
    </row>
    <row r="122" spans="1:6" ht="12" thickBot="1">
      <c r="A122" s="216">
        <v>40973</v>
      </c>
      <c r="B122" s="217">
        <v>40979</v>
      </c>
      <c r="C122" s="218">
        <v>5.3499999999999999E-2</v>
      </c>
      <c r="D122" s="218">
        <v>5.8000000000000003E-2</v>
      </c>
      <c r="E122" s="218">
        <v>6.0900000000000003E-2</v>
      </c>
      <c r="F122" s="219">
        <v>3.5400000000000001E-2</v>
      </c>
    </row>
    <row r="123" spans="1:6" ht="12" thickBot="1">
      <c r="A123" s="216">
        <v>40966</v>
      </c>
      <c r="B123" s="217">
        <v>40972</v>
      </c>
      <c r="C123" s="218">
        <v>5.2600000000000001E-2</v>
      </c>
      <c r="D123" s="218">
        <v>5.6500000000000002E-2</v>
      </c>
      <c r="E123" s="218">
        <v>6.0999999999999999E-2</v>
      </c>
      <c r="F123" s="220"/>
    </row>
    <row r="124" spans="1:6" ht="12" thickBot="1">
      <c r="A124" s="216">
        <v>40959</v>
      </c>
      <c r="B124" s="217">
        <v>40965</v>
      </c>
      <c r="C124" s="218">
        <v>5.33E-2</v>
      </c>
      <c r="D124" s="218">
        <v>5.79E-2</v>
      </c>
      <c r="E124" s="218">
        <v>6.25E-2</v>
      </c>
      <c r="F124" s="219">
        <v>3.5400000000000001E-2</v>
      </c>
    </row>
    <row r="125" spans="1:6" ht="12" thickBot="1">
      <c r="A125" s="216">
        <v>40952</v>
      </c>
      <c r="B125" s="217">
        <v>40958</v>
      </c>
      <c r="C125" s="218">
        <v>5.21E-2</v>
      </c>
      <c r="D125" s="218">
        <v>5.7099999999999998E-2</v>
      </c>
      <c r="E125" s="218">
        <v>6.0400000000000002E-2</v>
      </c>
      <c r="F125" s="219">
        <v>3.5400000000000001E-2</v>
      </c>
    </row>
    <row r="126" spans="1:6" ht="12" thickBot="1">
      <c r="A126" s="216">
        <v>40945</v>
      </c>
      <c r="B126" s="217">
        <v>40951</v>
      </c>
      <c r="C126" s="218">
        <v>4.9500000000000002E-2</v>
      </c>
      <c r="D126" s="218">
        <v>5.74E-2</v>
      </c>
      <c r="E126" s="218">
        <v>5.8299999999999998E-2</v>
      </c>
      <c r="F126" s="219">
        <v>3.2899999999999999E-2</v>
      </c>
    </row>
    <row r="127" spans="1:6" ht="12" thickBot="1">
      <c r="A127" s="216">
        <v>40938</v>
      </c>
      <c r="B127" s="217">
        <v>40944</v>
      </c>
      <c r="C127" s="218">
        <v>5.1299999999999998E-2</v>
      </c>
      <c r="D127" s="218">
        <v>5.7099999999999998E-2</v>
      </c>
      <c r="E127" s="218">
        <v>5.9299999999999999E-2</v>
      </c>
      <c r="F127" s="219">
        <v>3.2899999999999999E-2</v>
      </c>
    </row>
    <row r="128" spans="1:6" ht="12" thickBot="1">
      <c r="A128" s="216">
        <v>40931</v>
      </c>
      <c r="B128" s="217">
        <v>40937</v>
      </c>
      <c r="C128" s="218">
        <v>5.21E-2</v>
      </c>
      <c r="D128" s="218">
        <v>5.6800000000000003E-2</v>
      </c>
      <c r="E128" s="218">
        <v>5.9700000000000003E-2</v>
      </c>
      <c r="F128" s="219">
        <v>5.4100000000000002E-2</v>
      </c>
    </row>
    <row r="129" spans="1:6" ht="12" thickBot="1">
      <c r="A129" s="216">
        <v>40924</v>
      </c>
      <c r="B129" s="217">
        <v>40930</v>
      </c>
      <c r="C129" s="218">
        <v>5.1900000000000002E-2</v>
      </c>
      <c r="D129" s="218">
        <v>5.45E-2</v>
      </c>
      <c r="E129" s="218">
        <v>5.7200000000000001E-2</v>
      </c>
      <c r="F129" s="219">
        <v>3.2899999999999999E-2</v>
      </c>
    </row>
    <row r="130" spans="1:6" ht="12" thickBot="1">
      <c r="A130" s="216">
        <v>40917</v>
      </c>
      <c r="B130" s="217">
        <v>40923</v>
      </c>
      <c r="C130" s="218">
        <v>5.1200000000000002E-2</v>
      </c>
      <c r="D130" s="218">
        <v>5.5199999999999999E-2</v>
      </c>
      <c r="E130" s="218">
        <v>0.06</v>
      </c>
      <c r="F130" s="219">
        <v>3.2899999999999999E-2</v>
      </c>
    </row>
    <row r="131" spans="1:6" ht="12" thickBot="1">
      <c r="A131" s="216">
        <v>40910</v>
      </c>
      <c r="B131" s="217">
        <v>40916</v>
      </c>
      <c r="C131" s="218">
        <v>5.2200000000000003E-2</v>
      </c>
      <c r="D131" s="218">
        <v>5.5899999999999998E-2</v>
      </c>
      <c r="E131" s="218">
        <v>6.1100000000000002E-2</v>
      </c>
      <c r="F131" s="219">
        <v>4.6600000000000003E-2</v>
      </c>
    </row>
    <row r="132" spans="1:6" ht="12" thickBot="1">
      <c r="A132" s="216">
        <v>40903</v>
      </c>
      <c r="B132" s="217">
        <v>40909</v>
      </c>
      <c r="C132" s="218">
        <v>4.9799999999999997E-2</v>
      </c>
      <c r="D132" s="218">
        <v>5.3699999999999998E-2</v>
      </c>
      <c r="E132" s="218">
        <v>6.13E-2</v>
      </c>
      <c r="F132" s="219">
        <v>3.2899999999999999E-2</v>
      </c>
    </row>
    <row r="133" spans="1:6" ht="12" thickBot="1">
      <c r="A133" s="216">
        <v>40896</v>
      </c>
      <c r="B133" s="217">
        <v>40902</v>
      </c>
      <c r="C133" s="218">
        <v>5.2400000000000002E-2</v>
      </c>
      <c r="D133" s="218">
        <v>5.5399999999999998E-2</v>
      </c>
      <c r="E133" s="218">
        <v>5.6599999999999998E-2</v>
      </c>
      <c r="F133" s="219">
        <v>5.9400000000000001E-2</v>
      </c>
    </row>
    <row r="134" spans="1:6" ht="12" thickBot="1">
      <c r="A134" s="216">
        <v>40889</v>
      </c>
      <c r="B134" s="217">
        <v>40895</v>
      </c>
      <c r="C134" s="218">
        <v>4.9000000000000002E-2</v>
      </c>
      <c r="D134" s="218">
        <v>5.33E-2</v>
      </c>
      <c r="E134" s="218">
        <v>6.3200000000000006E-2</v>
      </c>
      <c r="F134" s="219">
        <v>3.2899999999999999E-2</v>
      </c>
    </row>
    <row r="135" spans="1:6" ht="12" thickBot="1">
      <c r="A135" s="216">
        <v>40882</v>
      </c>
      <c r="B135" s="217">
        <v>40888</v>
      </c>
      <c r="C135" s="218">
        <v>4.7600000000000003E-2</v>
      </c>
      <c r="D135" s="218">
        <v>5.5E-2</v>
      </c>
      <c r="E135" s="218">
        <v>6.1699999999999998E-2</v>
      </c>
      <c r="F135" s="219">
        <v>3.2899999999999999E-2</v>
      </c>
    </row>
    <row r="136" spans="1:6" ht="12" thickBot="1">
      <c r="A136" s="216">
        <v>40875</v>
      </c>
      <c r="B136" s="217">
        <v>40881</v>
      </c>
      <c r="C136" s="218">
        <v>4.9799999999999997E-2</v>
      </c>
      <c r="D136" s="218">
        <v>5.3999999999999999E-2</v>
      </c>
      <c r="E136" s="218">
        <v>6.0499999999999998E-2</v>
      </c>
      <c r="F136" s="219">
        <v>3.2899999999999999E-2</v>
      </c>
    </row>
    <row r="137" spans="1:6" ht="12" thickBot="1">
      <c r="A137" s="216">
        <v>40868</v>
      </c>
      <c r="B137" s="217">
        <v>40874</v>
      </c>
      <c r="C137" s="218">
        <v>4.8500000000000001E-2</v>
      </c>
      <c r="D137" s="218">
        <v>5.5899999999999998E-2</v>
      </c>
      <c r="E137" s="218">
        <v>5.9700000000000003E-2</v>
      </c>
      <c r="F137" s="219">
        <v>3.2899999999999999E-2</v>
      </c>
    </row>
    <row r="138" spans="1:6" ht="12" thickBot="1">
      <c r="A138" s="216">
        <v>40861</v>
      </c>
      <c r="B138" s="217">
        <v>40867</v>
      </c>
      <c r="C138" s="218">
        <v>5.4399999999999997E-2</v>
      </c>
      <c r="D138" s="218">
        <v>5.3999999999999999E-2</v>
      </c>
      <c r="E138" s="218">
        <v>5.8799999999999998E-2</v>
      </c>
      <c r="F138" s="219">
        <v>3.2899999999999999E-2</v>
      </c>
    </row>
    <row r="139" spans="1:6" ht="12" thickBot="1">
      <c r="A139" s="216">
        <v>40854</v>
      </c>
      <c r="B139" s="217">
        <v>40860</v>
      </c>
      <c r="C139" s="218">
        <v>4.8500000000000001E-2</v>
      </c>
      <c r="D139" s="218">
        <v>5.3600000000000002E-2</v>
      </c>
      <c r="E139" s="218">
        <v>5.7500000000000002E-2</v>
      </c>
      <c r="F139" s="219">
        <v>3.2899999999999999E-2</v>
      </c>
    </row>
    <row r="140" spans="1:6" ht="12" thickBot="1">
      <c r="A140" s="216">
        <v>40847</v>
      </c>
      <c r="B140" s="217">
        <v>40853</v>
      </c>
      <c r="C140" s="218">
        <v>4.7699999999999999E-2</v>
      </c>
      <c r="D140" s="218">
        <v>5.2999999999999999E-2</v>
      </c>
      <c r="E140" s="218">
        <v>0.06</v>
      </c>
      <c r="F140" s="219">
        <v>3.2899999999999999E-2</v>
      </c>
    </row>
    <row r="141" spans="1:6" ht="12" thickBot="1">
      <c r="A141" s="216">
        <v>40840</v>
      </c>
      <c r="B141" s="217">
        <v>40846</v>
      </c>
      <c r="C141" s="218">
        <v>4.9000000000000002E-2</v>
      </c>
      <c r="D141" s="218">
        <v>5.3999999999999999E-2</v>
      </c>
      <c r="E141" s="218">
        <v>5.8500000000000003E-2</v>
      </c>
      <c r="F141" s="219">
        <v>3.2899999999999999E-2</v>
      </c>
    </row>
    <row r="142" spans="1:6" ht="12" thickBot="1">
      <c r="A142" s="216">
        <v>40833</v>
      </c>
      <c r="B142" s="217">
        <v>40839</v>
      </c>
      <c r="C142" s="218">
        <v>4.7199999999999999E-2</v>
      </c>
      <c r="D142" s="218">
        <v>5.2600000000000001E-2</v>
      </c>
      <c r="E142" s="218">
        <v>5.91E-2</v>
      </c>
      <c r="F142" s="219">
        <v>3.2899999999999999E-2</v>
      </c>
    </row>
    <row r="143" spans="1:6" ht="12" thickBot="1">
      <c r="A143" s="216">
        <v>40826</v>
      </c>
      <c r="B143" s="217">
        <v>40832</v>
      </c>
      <c r="C143" s="218">
        <v>4.53E-2</v>
      </c>
      <c r="D143" s="218">
        <v>5.1400000000000001E-2</v>
      </c>
      <c r="E143" s="218">
        <v>5.6300000000000003E-2</v>
      </c>
      <c r="F143" s="219">
        <v>3.2899999999999999E-2</v>
      </c>
    </row>
    <row r="144" spans="1:6" ht="12" thickBot="1">
      <c r="A144" s="216">
        <v>40819</v>
      </c>
      <c r="B144" s="217">
        <v>40825</v>
      </c>
      <c r="C144" s="218">
        <v>4.7500000000000001E-2</v>
      </c>
      <c r="D144" s="218">
        <v>5.2499999999999998E-2</v>
      </c>
      <c r="E144" s="218">
        <v>5.5800000000000002E-2</v>
      </c>
      <c r="F144" s="219">
        <v>4.0500000000000001E-2</v>
      </c>
    </row>
    <row r="145" spans="1:6" ht="12" thickBot="1">
      <c r="A145" s="216">
        <v>40812</v>
      </c>
      <c r="B145" s="217">
        <v>40818</v>
      </c>
      <c r="C145" s="218">
        <v>4.5499999999999999E-2</v>
      </c>
      <c r="D145" s="218">
        <v>5.0299999999999997E-2</v>
      </c>
      <c r="E145" s="218">
        <v>5.7000000000000002E-2</v>
      </c>
      <c r="F145" s="219">
        <v>3.2899999999999999E-2</v>
      </c>
    </row>
    <row r="146" spans="1:6" ht="12" thickBot="1">
      <c r="A146" s="216">
        <v>40805</v>
      </c>
      <c r="B146" s="217">
        <v>40811</v>
      </c>
      <c r="C146" s="218">
        <v>4.5499999999999999E-2</v>
      </c>
      <c r="D146" s="218">
        <v>5.2900000000000003E-2</v>
      </c>
      <c r="E146" s="218">
        <v>5.74E-2</v>
      </c>
      <c r="F146" s="219">
        <v>3.2899999999999999E-2</v>
      </c>
    </row>
    <row r="147" spans="1:6" ht="12" thickBot="1">
      <c r="A147" s="216">
        <v>40798</v>
      </c>
      <c r="B147" s="217">
        <v>40804</v>
      </c>
      <c r="C147" s="218">
        <v>4.53E-2</v>
      </c>
      <c r="D147" s="218">
        <v>5.2600000000000001E-2</v>
      </c>
      <c r="E147" s="218">
        <v>5.8099999999999999E-2</v>
      </c>
      <c r="F147" s="219">
        <v>3.2899999999999999E-2</v>
      </c>
    </row>
    <row r="148" spans="1:6" ht="12" thickBot="1">
      <c r="A148" s="216">
        <v>40791</v>
      </c>
      <c r="B148" s="217">
        <v>40797</v>
      </c>
      <c r="C148" s="218">
        <v>4.4999999999999998E-2</v>
      </c>
      <c r="D148" s="218">
        <v>4.8599999999999997E-2</v>
      </c>
      <c r="E148" s="218">
        <v>5.7299999999999997E-2</v>
      </c>
      <c r="F148" s="219">
        <v>3.2899999999999999E-2</v>
      </c>
    </row>
    <row r="149" spans="1:6" ht="12" thickBot="1">
      <c r="A149" s="216">
        <v>40784</v>
      </c>
      <c r="B149" s="217">
        <v>40790</v>
      </c>
      <c r="C149" s="218">
        <v>4.5100000000000001E-2</v>
      </c>
      <c r="D149" s="218">
        <v>4.82E-2</v>
      </c>
      <c r="E149" s="218">
        <v>5.79E-2</v>
      </c>
      <c r="F149" s="219">
        <v>3.2899999999999999E-2</v>
      </c>
    </row>
    <row r="150" spans="1:6" ht="12" thickBot="1">
      <c r="A150" s="216">
        <v>40777</v>
      </c>
      <c r="B150" s="217">
        <v>40783</v>
      </c>
      <c r="C150" s="218">
        <v>4.5100000000000001E-2</v>
      </c>
      <c r="D150" s="218">
        <v>4.9500000000000002E-2</v>
      </c>
      <c r="E150" s="218">
        <v>5.8700000000000002E-2</v>
      </c>
      <c r="F150" s="219">
        <v>5.8700000000000002E-2</v>
      </c>
    </row>
    <row r="151" spans="1:6" ht="12" thickBot="1">
      <c r="A151" s="216">
        <v>40770</v>
      </c>
      <c r="B151" s="217">
        <v>40776</v>
      </c>
      <c r="C151" s="218">
        <v>4.5199999999999997E-2</v>
      </c>
      <c r="D151" s="218">
        <v>4.9700000000000001E-2</v>
      </c>
      <c r="E151" s="218">
        <v>5.6599999999999998E-2</v>
      </c>
      <c r="F151" s="219">
        <v>5.2699999999999997E-2</v>
      </c>
    </row>
    <row r="152" spans="1:6" ht="12" thickBot="1">
      <c r="A152" s="216">
        <v>40763</v>
      </c>
      <c r="B152" s="217">
        <v>40769</v>
      </c>
      <c r="C152" s="218">
        <v>4.4400000000000002E-2</v>
      </c>
      <c r="D152" s="218">
        <v>4.6199999999999998E-2</v>
      </c>
      <c r="E152" s="218">
        <v>5.7299999999999997E-2</v>
      </c>
      <c r="F152" s="219">
        <v>3.2899999999999999E-2</v>
      </c>
    </row>
    <row r="153" spans="1:6" ht="12" thickBot="1">
      <c r="A153" s="216">
        <v>40756</v>
      </c>
      <c r="B153" s="217">
        <v>40762</v>
      </c>
      <c r="C153" s="218">
        <v>4.2900000000000001E-2</v>
      </c>
      <c r="D153" s="218">
        <v>4.8599999999999997E-2</v>
      </c>
      <c r="E153" s="218">
        <v>5.3600000000000002E-2</v>
      </c>
      <c r="F153" s="219">
        <v>3.2899999999999999E-2</v>
      </c>
    </row>
    <row r="154" spans="1:6" ht="12" thickBot="1">
      <c r="A154" s="216">
        <v>40749</v>
      </c>
      <c r="B154" s="217">
        <v>40755</v>
      </c>
      <c r="C154" s="218">
        <v>4.2799999999999998E-2</v>
      </c>
      <c r="D154" s="218">
        <v>4.7500000000000001E-2</v>
      </c>
      <c r="E154" s="218">
        <v>5.4600000000000003E-2</v>
      </c>
      <c r="F154" s="219">
        <v>4.24E-2</v>
      </c>
    </row>
    <row r="155" spans="1:6" ht="12" thickBot="1">
      <c r="A155" s="216">
        <v>40742</v>
      </c>
      <c r="B155" s="217">
        <v>40748</v>
      </c>
      <c r="C155" s="218">
        <v>4.2200000000000001E-2</v>
      </c>
      <c r="D155" s="218">
        <v>4.4499999999999998E-2</v>
      </c>
      <c r="E155" s="218">
        <v>5.3900000000000003E-2</v>
      </c>
      <c r="F155" s="219">
        <v>3.04E-2</v>
      </c>
    </row>
    <row r="156" spans="1:6" ht="12" thickBot="1">
      <c r="A156" s="216">
        <v>40735</v>
      </c>
      <c r="B156" s="217">
        <v>40741</v>
      </c>
      <c r="C156" s="218">
        <v>4.0300000000000002E-2</v>
      </c>
      <c r="D156" s="218">
        <v>4.6600000000000003E-2</v>
      </c>
      <c r="E156" s="218">
        <v>5.28E-2</v>
      </c>
      <c r="F156" s="219">
        <v>3.04E-2</v>
      </c>
    </row>
    <row r="157" spans="1:6" ht="12" thickBot="1">
      <c r="A157" s="216">
        <v>40728</v>
      </c>
      <c r="B157" s="217">
        <v>40734</v>
      </c>
      <c r="C157" s="218">
        <v>4.2099999999999999E-2</v>
      </c>
      <c r="D157" s="218">
        <v>4.5499999999999999E-2</v>
      </c>
      <c r="E157" s="218">
        <v>5.4100000000000002E-2</v>
      </c>
      <c r="F157" s="219">
        <v>3.04E-2</v>
      </c>
    </row>
    <row r="158" spans="1:6" ht="12" thickBot="1">
      <c r="A158" s="216">
        <v>40721</v>
      </c>
      <c r="B158" s="217">
        <v>40727</v>
      </c>
      <c r="C158" s="218">
        <v>4.19E-2</v>
      </c>
      <c r="D158" s="218">
        <v>4.4999999999999998E-2</v>
      </c>
      <c r="E158" s="218">
        <v>5.3600000000000002E-2</v>
      </c>
      <c r="F158" s="219">
        <v>3.04E-2</v>
      </c>
    </row>
    <row r="159" spans="1:6" ht="12" thickBot="1">
      <c r="A159" s="216">
        <v>40714</v>
      </c>
      <c r="B159" s="217">
        <v>40720</v>
      </c>
      <c r="C159" s="218">
        <v>4.0099999999999997E-2</v>
      </c>
      <c r="D159" s="218">
        <v>4.4200000000000003E-2</v>
      </c>
      <c r="E159" s="218">
        <v>5.1200000000000002E-2</v>
      </c>
      <c r="F159" s="219">
        <v>3.04E-2</v>
      </c>
    </row>
    <row r="160" spans="1:6" ht="12" thickBot="1">
      <c r="A160" s="216">
        <v>40707</v>
      </c>
      <c r="B160" s="217">
        <v>40713</v>
      </c>
      <c r="C160" s="218">
        <v>0.04</v>
      </c>
      <c r="D160" s="218">
        <v>4.4400000000000002E-2</v>
      </c>
      <c r="E160" s="218">
        <v>4.1500000000000002E-2</v>
      </c>
      <c r="F160" s="219">
        <v>3.04E-2</v>
      </c>
    </row>
    <row r="161" spans="1:6" ht="12" thickBot="1">
      <c r="A161" s="216">
        <v>40700</v>
      </c>
      <c r="B161" s="217">
        <v>40706</v>
      </c>
      <c r="C161" s="218">
        <v>3.9600000000000003E-2</v>
      </c>
      <c r="D161" s="218">
        <v>4.4400000000000002E-2</v>
      </c>
      <c r="E161" s="218">
        <v>4.9200000000000001E-2</v>
      </c>
      <c r="F161" s="219">
        <v>4.2500000000000003E-2</v>
      </c>
    </row>
    <row r="162" spans="1:6" ht="12" thickBot="1">
      <c r="A162" s="216">
        <v>40693</v>
      </c>
      <c r="B162" s="217">
        <v>40699</v>
      </c>
      <c r="C162" s="218">
        <v>3.8699999999999998E-2</v>
      </c>
      <c r="D162" s="218">
        <v>4.3700000000000003E-2</v>
      </c>
      <c r="E162" s="218">
        <v>4.8599999999999997E-2</v>
      </c>
      <c r="F162" s="219">
        <v>4.2000000000000003E-2</v>
      </c>
    </row>
    <row r="163" spans="1:6" ht="12" thickBot="1">
      <c r="A163" s="216">
        <v>40686</v>
      </c>
      <c r="B163" s="217">
        <v>40692</v>
      </c>
      <c r="C163" s="218">
        <v>3.9300000000000002E-2</v>
      </c>
      <c r="D163" s="218">
        <v>4.3499999999999997E-2</v>
      </c>
      <c r="E163" s="218">
        <v>4.8800000000000003E-2</v>
      </c>
      <c r="F163" s="219">
        <v>4.2000000000000003E-2</v>
      </c>
    </row>
    <row r="164" spans="1:6" ht="12" thickBot="1">
      <c r="A164" s="216">
        <v>40679</v>
      </c>
      <c r="B164" s="217">
        <v>40685</v>
      </c>
      <c r="C164" s="218">
        <v>3.9E-2</v>
      </c>
      <c r="D164" s="218">
        <v>4.2599999999999999E-2</v>
      </c>
      <c r="E164" s="218">
        <v>4.9000000000000002E-2</v>
      </c>
      <c r="F164" s="219">
        <v>3.04E-2</v>
      </c>
    </row>
    <row r="165" spans="1:6" ht="12" thickBot="1">
      <c r="A165" s="216">
        <v>40672</v>
      </c>
      <c r="B165" s="217">
        <v>40678</v>
      </c>
      <c r="C165" s="218">
        <v>3.7699999999999997E-2</v>
      </c>
      <c r="D165" s="218">
        <v>4.24E-2</v>
      </c>
      <c r="E165" s="218">
        <v>4.8899999999999999E-2</v>
      </c>
      <c r="F165" s="219">
        <v>2.7799999999999998E-2</v>
      </c>
    </row>
    <row r="166" spans="1:6" ht="12" thickBot="1">
      <c r="A166" s="216">
        <v>40665</v>
      </c>
      <c r="B166" s="217">
        <v>40671</v>
      </c>
      <c r="C166" s="218">
        <v>3.7400000000000003E-2</v>
      </c>
      <c r="D166" s="218">
        <v>4.2099999999999999E-2</v>
      </c>
      <c r="E166" s="218">
        <v>4.58E-2</v>
      </c>
      <c r="F166" s="219">
        <v>3.8899999999999997E-2</v>
      </c>
    </row>
    <row r="167" spans="1:6" ht="12" thickBot="1">
      <c r="A167" s="216">
        <v>40658</v>
      </c>
      <c r="B167" s="217">
        <v>40664</v>
      </c>
      <c r="C167" s="218">
        <v>3.7900000000000003E-2</v>
      </c>
      <c r="D167" s="218">
        <v>4.07E-2</v>
      </c>
      <c r="E167" s="218">
        <v>4.5400000000000003E-2</v>
      </c>
      <c r="F167" s="219">
        <v>4.1000000000000002E-2</v>
      </c>
    </row>
    <row r="168" spans="1:6" ht="12" thickBot="1">
      <c r="A168" s="216">
        <v>40651</v>
      </c>
      <c r="B168" s="217">
        <v>40657</v>
      </c>
      <c r="C168" s="218">
        <v>3.6900000000000002E-2</v>
      </c>
      <c r="D168" s="218">
        <v>4.0399999999999998E-2</v>
      </c>
      <c r="E168" s="218">
        <v>4.6600000000000003E-2</v>
      </c>
      <c r="F168" s="219">
        <v>2.7799999999999998E-2</v>
      </c>
    </row>
    <row r="169" spans="1:6" ht="12" thickBot="1">
      <c r="A169" s="216">
        <v>40644</v>
      </c>
      <c r="B169" s="217">
        <v>40650</v>
      </c>
      <c r="C169" s="218">
        <v>3.7100000000000001E-2</v>
      </c>
      <c r="D169" s="218">
        <v>4.1000000000000002E-2</v>
      </c>
      <c r="E169" s="218">
        <v>4.4999999999999998E-2</v>
      </c>
      <c r="F169" s="219">
        <v>2.7799999999999998E-2</v>
      </c>
    </row>
    <row r="170" spans="1:6" ht="12" thickBot="1">
      <c r="A170" s="216">
        <v>40637</v>
      </c>
      <c r="B170" s="217">
        <v>40643</v>
      </c>
      <c r="C170" s="218">
        <v>3.6799999999999999E-2</v>
      </c>
      <c r="D170" s="218">
        <v>4.02E-2</v>
      </c>
      <c r="E170" s="218">
        <v>4.41E-2</v>
      </c>
      <c r="F170" s="219">
        <v>2.7799999999999998E-2</v>
      </c>
    </row>
    <row r="171" spans="1:6" ht="12" thickBot="1">
      <c r="A171" s="216">
        <v>40630</v>
      </c>
      <c r="B171" s="217">
        <v>40636</v>
      </c>
      <c r="C171" s="218">
        <v>3.6499999999999998E-2</v>
      </c>
      <c r="D171" s="218">
        <v>3.9699999999999999E-2</v>
      </c>
      <c r="E171" s="218">
        <v>4.4900000000000002E-2</v>
      </c>
      <c r="F171" s="219">
        <v>2.7799999999999998E-2</v>
      </c>
    </row>
    <row r="172" spans="1:6" ht="12" thickBot="1">
      <c r="A172" s="216">
        <v>40623</v>
      </c>
      <c r="B172" s="217">
        <v>40629</v>
      </c>
      <c r="C172" s="218">
        <v>3.5900000000000001E-2</v>
      </c>
      <c r="D172" s="218">
        <v>3.9800000000000002E-2</v>
      </c>
      <c r="E172" s="218">
        <v>4.7E-2</v>
      </c>
      <c r="F172" s="219">
        <v>2.9399999999999999E-2</v>
      </c>
    </row>
    <row r="173" spans="1:6" ht="12" thickBot="1">
      <c r="A173" s="216">
        <v>40616</v>
      </c>
      <c r="B173" s="217">
        <v>40622</v>
      </c>
      <c r="C173" s="218">
        <v>3.4700000000000002E-2</v>
      </c>
      <c r="D173" s="218">
        <v>3.9100000000000003E-2</v>
      </c>
      <c r="E173" s="218">
        <v>4.6199999999999998E-2</v>
      </c>
      <c r="F173" s="219">
        <v>3.7199999999999997E-2</v>
      </c>
    </row>
    <row r="174" spans="1:6" ht="12" thickBot="1">
      <c r="A174" s="216">
        <v>40609</v>
      </c>
      <c r="B174" s="217">
        <v>40615</v>
      </c>
      <c r="C174" s="218">
        <v>3.5099999999999999E-2</v>
      </c>
      <c r="D174" s="218">
        <v>3.9899999999999998E-2</v>
      </c>
      <c r="E174" s="218">
        <v>4.2299999999999997E-2</v>
      </c>
      <c r="F174" s="219">
        <v>3.7400000000000003E-2</v>
      </c>
    </row>
    <row r="175" spans="1:6" ht="12" thickBot="1">
      <c r="A175" s="216">
        <v>40602</v>
      </c>
      <c r="B175" s="217">
        <v>40608</v>
      </c>
      <c r="C175" s="218">
        <v>3.4200000000000001E-2</v>
      </c>
      <c r="D175" s="218">
        <v>3.9100000000000003E-2</v>
      </c>
      <c r="E175" s="218">
        <v>4.2000000000000003E-2</v>
      </c>
      <c r="F175" s="219">
        <v>2.7799999999999998E-2</v>
      </c>
    </row>
    <row r="176" spans="1:6" ht="12" thickBot="1">
      <c r="A176" s="216">
        <v>40595</v>
      </c>
      <c r="B176" s="217">
        <v>40601</v>
      </c>
      <c r="C176" s="218">
        <v>3.5000000000000003E-2</v>
      </c>
      <c r="D176" s="218">
        <v>3.9199999999999999E-2</v>
      </c>
      <c r="E176" s="218">
        <v>4.1599999999999998E-2</v>
      </c>
      <c r="F176" s="219">
        <v>2.7799999999999998E-2</v>
      </c>
    </row>
    <row r="177" spans="1:6" ht="12" thickBot="1">
      <c r="A177" s="216">
        <v>40588</v>
      </c>
      <c r="B177" s="217">
        <v>40594</v>
      </c>
      <c r="C177" s="218">
        <v>3.44E-2</v>
      </c>
      <c r="D177" s="218">
        <v>3.8800000000000001E-2</v>
      </c>
      <c r="E177" s="218">
        <v>4.3400000000000001E-2</v>
      </c>
      <c r="F177" s="219">
        <v>2.7799999999999998E-2</v>
      </c>
    </row>
    <row r="178" spans="1:6" ht="12" thickBot="1">
      <c r="A178" s="216">
        <v>40581</v>
      </c>
      <c r="B178" s="217">
        <v>40587</v>
      </c>
      <c r="C178" s="218">
        <v>3.4700000000000002E-2</v>
      </c>
      <c r="D178" s="218">
        <v>3.8600000000000002E-2</v>
      </c>
      <c r="E178" s="218">
        <v>4.3799999999999999E-2</v>
      </c>
      <c r="F178" s="219">
        <v>2.7799999999999998E-2</v>
      </c>
    </row>
    <row r="179" spans="1:6" ht="12" thickBot="1">
      <c r="A179" s="216">
        <v>40574</v>
      </c>
      <c r="B179" s="217">
        <v>40580</v>
      </c>
      <c r="C179" s="218">
        <v>3.4500000000000003E-2</v>
      </c>
      <c r="D179" s="218">
        <v>3.9E-2</v>
      </c>
      <c r="E179" s="218">
        <v>4.2799999999999998E-2</v>
      </c>
      <c r="F179" s="219">
        <v>3.7699999999999997E-2</v>
      </c>
    </row>
    <row r="180" spans="1:6" ht="12" thickBot="1">
      <c r="A180" s="216">
        <v>40567</v>
      </c>
      <c r="B180" s="217">
        <v>40573</v>
      </c>
      <c r="C180" s="218">
        <v>3.4200000000000001E-2</v>
      </c>
      <c r="D180" s="218">
        <v>3.9300000000000002E-2</v>
      </c>
      <c r="E180" s="218">
        <v>4.1700000000000001E-2</v>
      </c>
      <c r="F180" s="219">
        <v>2.7799999999999998E-2</v>
      </c>
    </row>
    <row r="181" spans="1:6" ht="12" thickBot="1">
      <c r="A181" s="216">
        <v>40560</v>
      </c>
      <c r="B181" s="217">
        <v>40566</v>
      </c>
      <c r="C181" s="218">
        <v>3.5299999999999998E-2</v>
      </c>
      <c r="D181" s="218">
        <v>3.9300000000000002E-2</v>
      </c>
      <c r="E181" s="218">
        <v>4.1700000000000001E-2</v>
      </c>
      <c r="F181" s="219">
        <v>2.7799999999999998E-2</v>
      </c>
    </row>
    <row r="182" spans="1:6" ht="12" thickBot="1">
      <c r="A182" s="216">
        <v>40553</v>
      </c>
      <c r="B182" s="217">
        <v>40559</v>
      </c>
      <c r="C182" s="218">
        <v>3.5000000000000003E-2</v>
      </c>
      <c r="D182" s="218">
        <v>3.8199999999999998E-2</v>
      </c>
      <c r="E182" s="218">
        <v>4.2000000000000003E-2</v>
      </c>
      <c r="F182" s="219">
        <v>3.4799999999999998E-2</v>
      </c>
    </row>
    <row r="183" spans="1:6" ht="12" thickBot="1">
      <c r="A183" s="216">
        <v>40546</v>
      </c>
      <c r="B183" s="217">
        <v>40552</v>
      </c>
      <c r="C183" s="218">
        <v>3.5000000000000003E-2</v>
      </c>
      <c r="D183" s="218">
        <v>3.8899999999999997E-2</v>
      </c>
      <c r="E183" s="218">
        <v>4.2099999999999999E-2</v>
      </c>
      <c r="F183" s="219">
        <v>2.7799999999999998E-2</v>
      </c>
    </row>
    <row r="184" spans="1:6" ht="12" thickBot="1">
      <c r="A184" s="216">
        <v>40539</v>
      </c>
      <c r="B184" s="217">
        <v>40545</v>
      </c>
      <c r="C184" s="218">
        <v>3.4700000000000002E-2</v>
      </c>
      <c r="D184" s="218">
        <v>3.8899999999999997E-2</v>
      </c>
      <c r="E184" s="218">
        <v>4.2200000000000001E-2</v>
      </c>
      <c r="F184" s="219">
        <v>2.9600000000000001E-2</v>
      </c>
    </row>
    <row r="185" spans="1:6" ht="12" thickBot="1">
      <c r="A185" s="216">
        <v>40532</v>
      </c>
      <c r="B185" s="217">
        <v>40538</v>
      </c>
      <c r="C185" s="218">
        <v>3.4599999999999999E-2</v>
      </c>
      <c r="D185" s="218">
        <v>3.8699999999999998E-2</v>
      </c>
      <c r="E185" s="218">
        <v>4.2099999999999999E-2</v>
      </c>
      <c r="F185" s="219">
        <v>2.7799999999999998E-2</v>
      </c>
    </row>
    <row r="186" spans="1:6" ht="12" thickBot="1">
      <c r="A186" s="216">
        <v>40525</v>
      </c>
      <c r="B186" s="217">
        <v>40531</v>
      </c>
      <c r="C186" s="218">
        <v>3.56E-2</v>
      </c>
      <c r="D186" s="218">
        <v>3.9E-2</v>
      </c>
      <c r="E186" s="218">
        <v>4.1599999999999998E-2</v>
      </c>
      <c r="F186" s="219">
        <v>3.6299999999999999E-2</v>
      </c>
    </row>
    <row r="187" spans="1:6" ht="12" thickBot="1">
      <c r="A187" s="216">
        <v>40518</v>
      </c>
      <c r="B187" s="217">
        <v>40524</v>
      </c>
      <c r="C187" s="218">
        <v>3.4599999999999999E-2</v>
      </c>
      <c r="D187" s="218">
        <v>3.8899999999999997E-2</v>
      </c>
      <c r="E187" s="218">
        <v>4.1399999999999999E-2</v>
      </c>
      <c r="F187" s="219">
        <v>3.61E-2</v>
      </c>
    </row>
    <row r="188" spans="1:6" ht="12" thickBot="1">
      <c r="A188" s="216">
        <v>40511</v>
      </c>
      <c r="B188" s="217">
        <v>40517</v>
      </c>
      <c r="C188" s="218">
        <v>3.4000000000000002E-2</v>
      </c>
      <c r="D188" s="218">
        <v>3.85E-2</v>
      </c>
      <c r="E188" s="218">
        <v>4.1200000000000001E-2</v>
      </c>
      <c r="F188" s="219">
        <v>2.7799999999999998E-2</v>
      </c>
    </row>
    <row r="189" spans="1:6" ht="12" thickBot="1">
      <c r="A189" s="216">
        <v>40504</v>
      </c>
      <c r="B189" s="217">
        <v>40510</v>
      </c>
      <c r="C189" s="218">
        <v>3.4299999999999997E-2</v>
      </c>
      <c r="D189" s="218">
        <v>3.8699999999999998E-2</v>
      </c>
      <c r="E189" s="218">
        <v>4.1799999999999997E-2</v>
      </c>
      <c r="F189" s="219">
        <v>2.7799999999999998E-2</v>
      </c>
    </row>
    <row r="190" spans="1:6" ht="12" thickBot="1">
      <c r="A190" s="216">
        <v>40497</v>
      </c>
      <c r="B190" s="217">
        <v>40503</v>
      </c>
      <c r="C190" s="218">
        <v>3.49E-2</v>
      </c>
      <c r="D190" s="218">
        <v>3.8699999999999998E-2</v>
      </c>
      <c r="E190" s="218">
        <v>4.2700000000000002E-2</v>
      </c>
      <c r="F190" s="219">
        <v>2.7799999999999998E-2</v>
      </c>
    </row>
    <row r="191" spans="1:6" ht="12" thickBot="1">
      <c r="A191" s="216">
        <v>40490</v>
      </c>
      <c r="B191" s="217">
        <v>40496</v>
      </c>
      <c r="C191" s="218">
        <v>3.5099999999999999E-2</v>
      </c>
      <c r="D191" s="218">
        <v>3.8699999999999998E-2</v>
      </c>
      <c r="E191" s="218">
        <v>4.2500000000000003E-2</v>
      </c>
      <c r="F191" s="219">
        <v>2.7799999999999998E-2</v>
      </c>
    </row>
    <row r="192" spans="1:6" ht="12" thickBot="1">
      <c r="A192" s="216">
        <v>40483</v>
      </c>
      <c r="B192" s="217">
        <v>40489</v>
      </c>
      <c r="C192" s="218">
        <v>3.4599999999999999E-2</v>
      </c>
      <c r="D192" s="218">
        <v>3.85E-2</v>
      </c>
      <c r="E192" s="218">
        <v>4.2799999999999998E-2</v>
      </c>
      <c r="F192" s="219">
        <v>3.4500000000000003E-2</v>
      </c>
    </row>
    <row r="193" spans="1:6" ht="12" thickBot="1">
      <c r="A193" s="216">
        <v>40476</v>
      </c>
      <c r="B193" s="217">
        <v>40482</v>
      </c>
      <c r="C193" s="218">
        <v>3.4299999999999997E-2</v>
      </c>
      <c r="D193" s="218">
        <v>3.9100000000000003E-2</v>
      </c>
      <c r="E193" s="218">
        <v>4.2599999999999999E-2</v>
      </c>
      <c r="F193" s="219">
        <v>3.6999999999999998E-2</v>
      </c>
    </row>
    <row r="194" spans="1:6" ht="12" thickBot="1">
      <c r="A194" s="216">
        <v>40469</v>
      </c>
      <c r="B194" s="217">
        <v>40475</v>
      </c>
      <c r="C194" s="218">
        <v>3.44E-2</v>
      </c>
      <c r="D194" s="218">
        <v>3.8699999999999998E-2</v>
      </c>
      <c r="E194" s="218">
        <v>4.2200000000000001E-2</v>
      </c>
      <c r="F194" s="219">
        <v>2.9100000000000001E-2</v>
      </c>
    </row>
    <row r="195" spans="1:6" ht="12" thickBot="1">
      <c r="A195" s="216">
        <v>40462</v>
      </c>
      <c r="B195" s="217">
        <v>40468</v>
      </c>
      <c r="C195" s="218">
        <v>3.4099999999999998E-2</v>
      </c>
      <c r="D195" s="218">
        <v>3.8800000000000001E-2</v>
      </c>
      <c r="E195" s="218">
        <v>4.2900000000000001E-2</v>
      </c>
      <c r="F195" s="219">
        <v>2.8199999999999999E-2</v>
      </c>
    </row>
    <row r="196" spans="1:6" ht="12" thickBot="1">
      <c r="A196" s="216">
        <v>40455</v>
      </c>
      <c r="B196" s="217">
        <v>40461</v>
      </c>
      <c r="C196" s="218">
        <v>3.39E-2</v>
      </c>
      <c r="D196" s="218">
        <v>3.8699999999999998E-2</v>
      </c>
      <c r="E196" s="218">
        <v>4.2999999999999997E-2</v>
      </c>
      <c r="F196" s="219">
        <v>3.5900000000000001E-2</v>
      </c>
    </row>
    <row r="197" spans="1:6" ht="12" thickBot="1">
      <c r="A197" s="216">
        <v>40448</v>
      </c>
      <c r="B197" s="217">
        <v>40454</v>
      </c>
      <c r="C197" s="218">
        <v>3.5000000000000003E-2</v>
      </c>
      <c r="D197" s="218">
        <v>3.8600000000000002E-2</v>
      </c>
      <c r="E197" s="218">
        <v>4.2500000000000003E-2</v>
      </c>
      <c r="F197" s="219">
        <v>3.6400000000000002E-2</v>
      </c>
    </row>
    <row r="198" spans="1:6" ht="12" thickBot="1">
      <c r="A198" s="216">
        <v>40441</v>
      </c>
      <c r="B198" s="217">
        <v>40447</v>
      </c>
      <c r="C198" s="218">
        <v>3.4599999999999999E-2</v>
      </c>
      <c r="D198" s="218">
        <v>3.9100000000000003E-2</v>
      </c>
      <c r="E198" s="218">
        <v>4.1399999999999999E-2</v>
      </c>
      <c r="F198" s="219">
        <v>3.6299999999999999E-2</v>
      </c>
    </row>
    <row r="199" spans="1:6" ht="12" thickBot="1">
      <c r="A199" s="216">
        <v>40434</v>
      </c>
      <c r="B199" s="217">
        <v>40440</v>
      </c>
      <c r="C199" s="218">
        <v>3.5200000000000002E-2</v>
      </c>
      <c r="D199" s="218">
        <v>3.8800000000000001E-2</v>
      </c>
      <c r="E199" s="218">
        <v>4.24E-2</v>
      </c>
      <c r="F199" s="219">
        <v>3.1600000000000003E-2</v>
      </c>
    </row>
    <row r="200" spans="1:6" ht="12" thickBot="1">
      <c r="A200" s="216">
        <v>40427</v>
      </c>
      <c r="B200" s="217">
        <v>40433</v>
      </c>
      <c r="C200" s="218">
        <v>3.4599999999999999E-2</v>
      </c>
      <c r="D200" s="218">
        <v>3.9600000000000003E-2</v>
      </c>
      <c r="E200" s="218">
        <v>4.1700000000000001E-2</v>
      </c>
      <c r="F200" s="219">
        <v>2.7799999999999998E-2</v>
      </c>
    </row>
    <row r="201" spans="1:6" ht="12" thickBot="1">
      <c r="A201" s="216">
        <v>40420</v>
      </c>
      <c r="B201" s="217">
        <v>40426</v>
      </c>
      <c r="C201" s="218">
        <v>3.4799999999999998E-2</v>
      </c>
      <c r="D201" s="218">
        <v>3.8899999999999997E-2</v>
      </c>
      <c r="E201" s="218">
        <v>4.3900000000000002E-2</v>
      </c>
      <c r="F201" s="219">
        <v>3.3799999999999997E-2</v>
      </c>
    </row>
    <row r="202" spans="1:6" ht="12" thickBot="1">
      <c r="A202" s="216">
        <v>40413</v>
      </c>
      <c r="B202" s="217">
        <v>40419</v>
      </c>
      <c r="C202" s="218">
        <v>3.4500000000000003E-2</v>
      </c>
      <c r="D202" s="218">
        <v>3.9300000000000002E-2</v>
      </c>
      <c r="E202" s="218">
        <v>4.2299999999999997E-2</v>
      </c>
      <c r="F202" s="219">
        <v>3.27E-2</v>
      </c>
    </row>
    <row r="203" spans="1:6" ht="12" thickBot="1">
      <c r="A203" s="216">
        <v>40406</v>
      </c>
      <c r="B203" s="217">
        <v>40412</v>
      </c>
      <c r="C203" s="218">
        <v>3.5799999999999998E-2</v>
      </c>
      <c r="D203" s="218">
        <v>4.0500000000000001E-2</v>
      </c>
      <c r="E203" s="218">
        <v>4.2599999999999999E-2</v>
      </c>
      <c r="F203" s="219">
        <v>3.6999999999999998E-2</v>
      </c>
    </row>
    <row r="204" spans="1:6" ht="12" thickBot="1">
      <c r="A204" s="216">
        <v>40399</v>
      </c>
      <c r="B204" s="217">
        <v>40405</v>
      </c>
      <c r="C204" s="218">
        <v>3.4799999999999998E-2</v>
      </c>
      <c r="D204" s="218">
        <v>3.8899999999999997E-2</v>
      </c>
      <c r="E204" s="218">
        <v>4.2500000000000003E-2</v>
      </c>
      <c r="F204" s="219">
        <v>3.6900000000000002E-2</v>
      </c>
    </row>
    <row r="205" spans="1:6" ht="12" thickBot="1">
      <c r="A205" s="216">
        <v>40392</v>
      </c>
      <c r="B205" s="217">
        <v>40398</v>
      </c>
      <c r="C205" s="218">
        <v>3.5499999999999997E-2</v>
      </c>
      <c r="D205" s="218">
        <v>3.9800000000000002E-2</v>
      </c>
      <c r="E205" s="218">
        <v>4.2799999999999998E-2</v>
      </c>
      <c r="F205" s="219">
        <v>2.7799999999999998E-2</v>
      </c>
    </row>
    <row r="206" spans="1:6" ht="12" thickBot="1">
      <c r="A206" s="216">
        <v>40385</v>
      </c>
      <c r="B206" s="217">
        <v>40391</v>
      </c>
      <c r="C206" s="218">
        <v>3.4799999999999998E-2</v>
      </c>
      <c r="D206" s="218">
        <v>3.9300000000000002E-2</v>
      </c>
      <c r="E206" s="218">
        <v>4.2200000000000001E-2</v>
      </c>
      <c r="F206" s="219">
        <v>3.6900000000000002E-2</v>
      </c>
    </row>
    <row r="207" spans="1:6" ht="12" thickBot="1">
      <c r="A207" s="216">
        <v>40378</v>
      </c>
      <c r="B207" s="217">
        <v>40384</v>
      </c>
      <c r="C207" s="218">
        <v>3.5400000000000001E-2</v>
      </c>
      <c r="D207" s="218">
        <v>3.8800000000000001E-2</v>
      </c>
      <c r="E207" s="218">
        <v>4.2799999999999998E-2</v>
      </c>
      <c r="F207" s="219">
        <v>3.2800000000000003E-2</v>
      </c>
    </row>
    <row r="208" spans="1:6" ht="12" thickBot="1">
      <c r="A208" s="216">
        <v>40371</v>
      </c>
      <c r="B208" s="217">
        <v>40377</v>
      </c>
      <c r="C208" s="218">
        <v>3.5200000000000002E-2</v>
      </c>
      <c r="D208" s="218">
        <v>3.9199999999999999E-2</v>
      </c>
      <c r="E208" s="218">
        <v>4.2900000000000001E-2</v>
      </c>
      <c r="F208" s="219">
        <v>2.7900000000000001E-2</v>
      </c>
    </row>
    <row r="209" spans="1:6" ht="12" thickBot="1">
      <c r="A209" s="216">
        <v>40364</v>
      </c>
      <c r="B209" s="217">
        <v>40370</v>
      </c>
      <c r="C209" s="218">
        <v>3.4200000000000001E-2</v>
      </c>
      <c r="D209" s="218">
        <v>3.8899999999999997E-2</v>
      </c>
      <c r="E209" s="218">
        <v>4.1700000000000001E-2</v>
      </c>
      <c r="F209" s="219">
        <v>3.27E-2</v>
      </c>
    </row>
    <row r="210" spans="1:6" ht="12" thickBot="1">
      <c r="A210" s="216">
        <v>40357</v>
      </c>
      <c r="B210" s="217">
        <v>40363</v>
      </c>
      <c r="C210" s="218">
        <v>3.5000000000000003E-2</v>
      </c>
      <c r="D210" s="218">
        <v>3.9E-2</v>
      </c>
      <c r="E210" s="218">
        <v>4.3999999999999997E-2</v>
      </c>
      <c r="F210" s="219">
        <v>3.0599999999999999E-2</v>
      </c>
    </row>
    <row r="211" spans="1:6" ht="12" thickBot="1">
      <c r="A211" s="216">
        <v>40350</v>
      </c>
      <c r="B211" s="217">
        <v>40356</v>
      </c>
      <c r="C211" s="218">
        <v>3.5799999999999998E-2</v>
      </c>
      <c r="D211" s="218">
        <v>3.9100000000000003E-2</v>
      </c>
      <c r="E211" s="218">
        <v>4.3299999999999998E-2</v>
      </c>
      <c r="F211" s="219">
        <v>2.7799999999999998E-2</v>
      </c>
    </row>
    <row r="212" spans="1:6" ht="12" thickBot="1">
      <c r="A212" s="216">
        <v>40343</v>
      </c>
      <c r="B212" s="217">
        <v>40349</v>
      </c>
      <c r="C212" s="218">
        <v>3.5499999999999997E-2</v>
      </c>
      <c r="D212" s="218">
        <v>3.9300000000000002E-2</v>
      </c>
      <c r="E212" s="218">
        <v>4.3900000000000002E-2</v>
      </c>
      <c r="F212" s="219">
        <v>3.6600000000000001E-2</v>
      </c>
    </row>
    <row r="213" spans="1:6" ht="12" thickBot="1">
      <c r="A213" s="216">
        <v>40336</v>
      </c>
      <c r="B213" s="217">
        <v>40342</v>
      </c>
      <c r="C213" s="218">
        <v>3.56E-2</v>
      </c>
      <c r="D213" s="218">
        <v>3.9800000000000002E-2</v>
      </c>
      <c r="E213" s="218">
        <v>4.1799999999999997E-2</v>
      </c>
      <c r="F213" s="219">
        <v>3.6700000000000003E-2</v>
      </c>
    </row>
    <row r="214" spans="1:6" ht="12" thickBot="1">
      <c r="A214" s="216">
        <v>40329</v>
      </c>
      <c r="B214" s="217">
        <v>40335</v>
      </c>
      <c r="C214" s="218">
        <v>3.5499999999999997E-2</v>
      </c>
      <c r="D214" s="218">
        <v>3.9600000000000003E-2</v>
      </c>
      <c r="E214" s="218">
        <v>4.3400000000000001E-2</v>
      </c>
      <c r="F214" s="219">
        <v>3.49E-2</v>
      </c>
    </row>
    <row r="215" spans="1:6" ht="12" thickBot="1">
      <c r="A215" s="216">
        <v>40322</v>
      </c>
      <c r="B215" s="217">
        <v>40328</v>
      </c>
      <c r="C215" s="218">
        <v>3.6200000000000003E-2</v>
      </c>
      <c r="D215" s="218">
        <v>0.04</v>
      </c>
      <c r="E215" s="218">
        <v>4.6199999999999998E-2</v>
      </c>
      <c r="F215" s="219">
        <v>3.6999999999999998E-2</v>
      </c>
    </row>
    <row r="216" spans="1:6" ht="12" thickBot="1">
      <c r="A216" s="216">
        <v>40315</v>
      </c>
      <c r="B216" s="217">
        <v>40321</v>
      </c>
      <c r="C216" s="218">
        <v>3.7100000000000001E-2</v>
      </c>
      <c r="D216" s="218">
        <v>4.0399999999999998E-2</v>
      </c>
      <c r="E216" s="218">
        <v>4.5499999999999999E-2</v>
      </c>
      <c r="F216" s="219">
        <v>3.7100000000000001E-2</v>
      </c>
    </row>
    <row r="217" spans="1:6" ht="12" thickBot="1">
      <c r="A217" s="216">
        <v>40308</v>
      </c>
      <c r="B217" s="217">
        <v>40314</v>
      </c>
      <c r="C217" s="218">
        <v>3.7699999999999997E-2</v>
      </c>
      <c r="D217" s="218">
        <v>4.0800000000000003E-2</v>
      </c>
      <c r="E217" s="218">
        <v>4.4999999999999998E-2</v>
      </c>
      <c r="F217" s="219">
        <v>3.7100000000000001E-2</v>
      </c>
    </row>
    <row r="218" spans="1:6" ht="12" thickBot="1">
      <c r="A218" s="216">
        <v>40301</v>
      </c>
      <c r="B218" s="217">
        <v>40307</v>
      </c>
      <c r="C218" s="218">
        <v>0.04</v>
      </c>
      <c r="D218" s="218">
        <v>4.2500000000000003E-2</v>
      </c>
      <c r="E218" s="218">
        <v>4.48E-2</v>
      </c>
      <c r="F218" s="219">
        <v>3.6900000000000002E-2</v>
      </c>
    </row>
    <row r="219" spans="1:6" ht="12" thickBot="1">
      <c r="A219" s="216">
        <v>40294</v>
      </c>
      <c r="B219" s="217">
        <v>40300</v>
      </c>
      <c r="C219" s="218">
        <v>3.8899999999999997E-2</v>
      </c>
      <c r="D219" s="218">
        <v>4.2599999999999999E-2</v>
      </c>
      <c r="E219" s="218">
        <v>4.58E-2</v>
      </c>
      <c r="F219" s="219">
        <v>3.9600000000000003E-2</v>
      </c>
    </row>
    <row r="220" spans="1:6" ht="12" thickBot="1">
      <c r="A220" s="216">
        <v>40287</v>
      </c>
      <c r="B220" s="217">
        <v>40293</v>
      </c>
      <c r="C220" s="218">
        <v>3.9100000000000003E-2</v>
      </c>
      <c r="D220" s="218">
        <v>4.2999999999999997E-2</v>
      </c>
      <c r="E220" s="218">
        <v>4.5900000000000003E-2</v>
      </c>
      <c r="F220" s="219">
        <v>3.8600000000000002E-2</v>
      </c>
    </row>
    <row r="221" spans="1:6" ht="12" thickBot="1">
      <c r="A221" s="216">
        <v>40280</v>
      </c>
      <c r="B221" s="217">
        <v>40286</v>
      </c>
      <c r="C221" s="218">
        <v>3.8600000000000002E-2</v>
      </c>
      <c r="D221" s="218">
        <v>4.2200000000000001E-2</v>
      </c>
      <c r="E221" s="218">
        <v>4.6699999999999998E-2</v>
      </c>
      <c r="F221" s="219">
        <v>3.3000000000000002E-2</v>
      </c>
    </row>
    <row r="222" spans="1:6" ht="12" thickBot="1">
      <c r="A222" s="216">
        <v>40273</v>
      </c>
      <c r="B222" s="217">
        <v>40279</v>
      </c>
      <c r="C222" s="218">
        <v>3.9E-2</v>
      </c>
      <c r="D222" s="218">
        <v>4.24E-2</v>
      </c>
      <c r="E222" s="218">
        <v>4.7500000000000001E-2</v>
      </c>
      <c r="F222" s="219">
        <v>3.49E-2</v>
      </c>
    </row>
    <row r="223" spans="1:6" ht="12" thickBot="1">
      <c r="A223" s="216">
        <v>40266</v>
      </c>
      <c r="B223" s="217">
        <v>40272</v>
      </c>
      <c r="C223" s="218">
        <v>4.0399999999999998E-2</v>
      </c>
      <c r="D223" s="218">
        <v>4.2000000000000003E-2</v>
      </c>
      <c r="E223" s="218">
        <v>4.6100000000000002E-2</v>
      </c>
      <c r="F223" s="219">
        <v>3.9E-2</v>
      </c>
    </row>
    <row r="224" spans="1:6" ht="12" thickBot="1">
      <c r="A224" s="216">
        <v>40259</v>
      </c>
      <c r="B224" s="217">
        <v>40265</v>
      </c>
      <c r="C224" s="218">
        <v>3.8399999999999997E-2</v>
      </c>
      <c r="D224" s="218">
        <v>4.2500000000000003E-2</v>
      </c>
      <c r="E224" s="218">
        <v>4.7300000000000002E-2</v>
      </c>
      <c r="F224" s="219">
        <v>3.8600000000000002E-2</v>
      </c>
    </row>
    <row r="225" spans="1:6" ht="12" thickBot="1">
      <c r="A225" s="216">
        <v>40252</v>
      </c>
      <c r="B225" s="217">
        <v>40258</v>
      </c>
      <c r="C225" s="218">
        <v>3.8899999999999997E-2</v>
      </c>
      <c r="D225" s="218">
        <v>4.3799999999999999E-2</v>
      </c>
      <c r="E225" s="218">
        <v>4.65E-2</v>
      </c>
      <c r="F225" s="219">
        <v>0.04</v>
      </c>
    </row>
    <row r="226" spans="1:6" ht="12" thickBot="1">
      <c r="A226" s="216">
        <v>40245</v>
      </c>
      <c r="B226" s="217">
        <v>40251</v>
      </c>
      <c r="C226" s="218">
        <v>3.9800000000000002E-2</v>
      </c>
      <c r="D226" s="218">
        <v>4.3700000000000003E-2</v>
      </c>
      <c r="E226" s="218">
        <v>4.7500000000000001E-2</v>
      </c>
      <c r="F226" s="219">
        <v>4.36E-2</v>
      </c>
    </row>
    <row r="227" spans="1:6" ht="12" thickBot="1">
      <c r="A227" s="216">
        <v>40238</v>
      </c>
      <c r="B227" s="217">
        <v>40244</v>
      </c>
      <c r="C227" s="218">
        <v>4.02E-2</v>
      </c>
      <c r="D227" s="218">
        <v>4.2900000000000001E-2</v>
      </c>
      <c r="E227" s="218">
        <v>4.8099999999999997E-2</v>
      </c>
      <c r="F227" s="219">
        <v>3.2899999999999999E-2</v>
      </c>
    </row>
    <row r="228" spans="1:6" ht="12" thickBot="1">
      <c r="A228" s="216">
        <v>40231</v>
      </c>
      <c r="B228" s="217">
        <v>40237</v>
      </c>
      <c r="C228" s="218">
        <v>3.9600000000000003E-2</v>
      </c>
      <c r="D228" s="218">
        <v>4.3099999999999999E-2</v>
      </c>
      <c r="E228" s="218">
        <v>4.6600000000000003E-2</v>
      </c>
      <c r="F228" s="219">
        <v>4.0399999999999998E-2</v>
      </c>
    </row>
    <row r="229" spans="1:6" ht="12" thickBot="1">
      <c r="A229" s="216">
        <v>40224</v>
      </c>
      <c r="B229" s="217">
        <v>40230</v>
      </c>
      <c r="C229" s="218">
        <v>4.0300000000000002E-2</v>
      </c>
      <c r="D229" s="218">
        <v>4.4299999999999999E-2</v>
      </c>
      <c r="E229" s="218">
        <v>4.8399999999999999E-2</v>
      </c>
      <c r="F229" s="219">
        <v>3.2899999999999999E-2</v>
      </c>
    </row>
    <row r="230" spans="1:6" ht="12" thickBot="1">
      <c r="A230" s="216">
        <v>40217</v>
      </c>
      <c r="B230" s="217">
        <v>40223</v>
      </c>
      <c r="C230" s="218">
        <v>4.02E-2</v>
      </c>
      <c r="D230" s="218">
        <v>4.3799999999999999E-2</v>
      </c>
      <c r="E230" s="218">
        <v>4.8399999999999999E-2</v>
      </c>
      <c r="F230" s="219">
        <v>3.2899999999999999E-2</v>
      </c>
    </row>
    <row r="231" spans="1:6" ht="12" thickBot="1">
      <c r="A231" s="216">
        <v>40210</v>
      </c>
      <c r="B231" s="217">
        <v>40216</v>
      </c>
      <c r="C231" s="218">
        <v>4.1000000000000002E-2</v>
      </c>
      <c r="D231" s="218">
        <v>4.4400000000000002E-2</v>
      </c>
      <c r="E231" s="218">
        <v>4.8399999999999999E-2</v>
      </c>
      <c r="F231" s="219">
        <v>3.2899999999999999E-2</v>
      </c>
    </row>
    <row r="232" spans="1:6" ht="12" thickBot="1">
      <c r="A232" s="216">
        <v>40203</v>
      </c>
      <c r="B232" s="217">
        <v>40209</v>
      </c>
      <c r="C232" s="218">
        <v>4.1000000000000002E-2</v>
      </c>
      <c r="D232" s="218">
        <v>4.3799999999999999E-2</v>
      </c>
      <c r="E232" s="218">
        <v>4.7699999999999999E-2</v>
      </c>
      <c r="F232" s="219">
        <v>4.0800000000000003E-2</v>
      </c>
    </row>
    <row r="233" spans="1:6" ht="12" thickBot="1">
      <c r="A233" s="216">
        <v>40196</v>
      </c>
      <c r="B233" s="217">
        <v>40202</v>
      </c>
      <c r="C233" s="218">
        <v>3.9800000000000002E-2</v>
      </c>
      <c r="D233" s="218">
        <v>4.4600000000000001E-2</v>
      </c>
      <c r="E233" s="218">
        <v>4.7199999999999999E-2</v>
      </c>
      <c r="F233" s="219">
        <v>3.8600000000000002E-2</v>
      </c>
    </row>
    <row r="234" spans="1:6" ht="12" thickBot="1">
      <c r="A234" s="216">
        <v>40189</v>
      </c>
      <c r="B234" s="217">
        <v>40195</v>
      </c>
      <c r="C234" s="218">
        <v>0.04</v>
      </c>
      <c r="D234" s="218">
        <v>4.3700000000000003E-2</v>
      </c>
      <c r="E234" s="218">
        <v>4.5999999999999999E-2</v>
      </c>
      <c r="F234" s="219">
        <v>3.7699999999999997E-2</v>
      </c>
    </row>
    <row r="235" spans="1:6" ht="12" thickBot="1">
      <c r="A235" s="216">
        <v>40182</v>
      </c>
      <c r="B235" s="217">
        <v>40188</v>
      </c>
      <c r="C235" s="218">
        <v>3.9199999999999999E-2</v>
      </c>
      <c r="D235" s="218">
        <v>4.4200000000000003E-2</v>
      </c>
      <c r="E235" s="218">
        <v>4.9399999999999999E-2</v>
      </c>
      <c r="F235" s="219">
        <v>4.3099999999999999E-2</v>
      </c>
    </row>
    <row r="236" spans="1:6" ht="12" thickBot="1">
      <c r="A236" s="216">
        <v>40175</v>
      </c>
      <c r="B236" s="217">
        <v>40181</v>
      </c>
      <c r="C236" s="218">
        <v>4.1099999999999998E-2</v>
      </c>
      <c r="D236" s="218">
        <v>4.3799999999999999E-2</v>
      </c>
      <c r="E236" s="218">
        <v>4.9000000000000002E-2</v>
      </c>
      <c r="F236" s="219">
        <v>0.04</v>
      </c>
    </row>
    <row r="237" spans="1:6" ht="12" thickBot="1">
      <c r="A237" s="216">
        <v>40168</v>
      </c>
      <c r="B237" s="217">
        <v>40174</v>
      </c>
      <c r="C237" s="218">
        <v>4.1399999999999999E-2</v>
      </c>
      <c r="D237" s="218">
        <v>4.3700000000000003E-2</v>
      </c>
      <c r="E237" s="218">
        <v>4.5999999999999999E-2</v>
      </c>
      <c r="F237" s="219">
        <v>3.7699999999999997E-2</v>
      </c>
    </row>
    <row r="238" spans="1:6" ht="12" thickBot="1">
      <c r="A238" s="216">
        <v>40161</v>
      </c>
      <c r="B238" s="217">
        <v>40167</v>
      </c>
      <c r="C238" s="218">
        <v>4.2500000000000003E-2</v>
      </c>
      <c r="D238" s="218">
        <v>4.4900000000000002E-2</v>
      </c>
      <c r="E238" s="218">
        <v>4.5900000000000003E-2</v>
      </c>
      <c r="F238" s="219">
        <v>3.6600000000000001E-2</v>
      </c>
    </row>
    <row r="239" spans="1:6" ht="12" thickBot="1">
      <c r="A239" s="216">
        <v>40154</v>
      </c>
      <c r="B239" s="217">
        <v>40160</v>
      </c>
      <c r="C239" s="218">
        <v>4.2099999999999999E-2</v>
      </c>
      <c r="D239" s="218">
        <v>4.6399999999999997E-2</v>
      </c>
      <c r="E239" s="218">
        <v>4.82E-2</v>
      </c>
      <c r="F239" s="219">
        <v>3.7499999999999999E-2</v>
      </c>
    </row>
    <row r="240" spans="1:6" ht="12" thickBot="1">
      <c r="A240" s="216">
        <v>40147</v>
      </c>
      <c r="B240" s="217">
        <v>40153</v>
      </c>
      <c r="C240" s="218">
        <v>4.3499999999999997E-2</v>
      </c>
      <c r="D240" s="218">
        <v>4.65E-2</v>
      </c>
      <c r="E240" s="218">
        <v>4.8399999999999999E-2</v>
      </c>
      <c r="F240" s="219">
        <v>3.44E-2</v>
      </c>
    </row>
    <row r="241" spans="1:6" ht="12" thickBot="1">
      <c r="A241" s="216">
        <v>40140</v>
      </c>
      <c r="B241" s="217">
        <v>40146</v>
      </c>
      <c r="C241" s="218">
        <v>4.4699999999999997E-2</v>
      </c>
      <c r="D241" s="218">
        <v>4.8000000000000001E-2</v>
      </c>
      <c r="E241" s="218">
        <v>5.1700000000000003E-2</v>
      </c>
      <c r="F241" s="219">
        <v>3.5400000000000001E-2</v>
      </c>
    </row>
    <row r="242" spans="1:6" ht="12" thickBot="1">
      <c r="A242" s="216">
        <v>40133</v>
      </c>
      <c r="B242" s="217">
        <v>40139</v>
      </c>
      <c r="C242" s="218">
        <v>4.4699999999999997E-2</v>
      </c>
      <c r="D242" s="218">
        <v>4.87E-2</v>
      </c>
      <c r="E242" s="218">
        <v>4.9099999999999998E-2</v>
      </c>
      <c r="F242" s="219">
        <v>4.6600000000000003E-2</v>
      </c>
    </row>
    <row r="243" spans="1:6" ht="12" thickBot="1">
      <c r="A243" s="216">
        <v>40126</v>
      </c>
      <c r="B243" s="217">
        <v>40132</v>
      </c>
      <c r="C243" s="218">
        <v>4.3299999999999998E-2</v>
      </c>
      <c r="D243" s="218">
        <v>4.9500000000000002E-2</v>
      </c>
      <c r="E243" s="218">
        <v>4.9799999999999997E-2</v>
      </c>
      <c r="F243" s="219">
        <v>4.0500000000000001E-2</v>
      </c>
    </row>
    <row r="244" spans="1:6" ht="12" thickBot="1">
      <c r="A244" s="216">
        <v>40119</v>
      </c>
      <c r="B244" s="217">
        <v>40125</v>
      </c>
      <c r="C244" s="218">
        <v>4.3499999999999997E-2</v>
      </c>
      <c r="D244" s="218">
        <v>4.8800000000000003E-2</v>
      </c>
      <c r="E244" s="218">
        <v>0.05</v>
      </c>
      <c r="F244" s="219">
        <v>4.7100000000000003E-2</v>
      </c>
    </row>
    <row r="245" spans="1:6" ht="12" thickBot="1">
      <c r="A245" s="216">
        <v>40112</v>
      </c>
      <c r="B245" s="217">
        <v>40118</v>
      </c>
      <c r="C245" s="218">
        <v>4.4499999999999998E-2</v>
      </c>
      <c r="D245" s="218">
        <v>4.9500000000000002E-2</v>
      </c>
      <c r="E245" s="218">
        <v>5.0999999999999997E-2</v>
      </c>
      <c r="F245" s="219">
        <v>4.5499999999999999E-2</v>
      </c>
    </row>
    <row r="246" spans="1:6" ht="12" thickBot="1">
      <c r="A246" s="216">
        <v>40105</v>
      </c>
      <c r="B246" s="217">
        <v>40111</v>
      </c>
      <c r="C246" s="218">
        <v>4.3999999999999997E-2</v>
      </c>
      <c r="D246" s="218">
        <v>5.0599999999999999E-2</v>
      </c>
      <c r="E246" s="218">
        <v>5.3499999999999999E-2</v>
      </c>
      <c r="F246" s="219">
        <v>4.82E-2</v>
      </c>
    </row>
    <row r="247" spans="1:6" ht="12" thickBot="1">
      <c r="A247" s="216">
        <v>40098</v>
      </c>
      <c r="B247" s="217">
        <v>40104</v>
      </c>
      <c r="C247" s="218">
        <v>4.4699999999999997E-2</v>
      </c>
      <c r="D247" s="218">
        <v>5.0200000000000002E-2</v>
      </c>
      <c r="E247" s="218">
        <v>5.0999999999999997E-2</v>
      </c>
      <c r="F247" s="219">
        <v>4.3099999999999999E-2</v>
      </c>
    </row>
    <row r="248" spans="1:6" ht="12" thickBot="1">
      <c r="A248" s="216">
        <v>40091</v>
      </c>
      <c r="B248" s="217">
        <v>40097</v>
      </c>
      <c r="C248" s="218">
        <v>4.7500000000000001E-2</v>
      </c>
      <c r="D248" s="218">
        <v>5.1200000000000002E-2</v>
      </c>
      <c r="E248" s="218">
        <v>5.3999999999999999E-2</v>
      </c>
      <c r="F248" s="219">
        <v>4.3099999999999999E-2</v>
      </c>
    </row>
    <row r="249" spans="1:6" ht="12" thickBot="1">
      <c r="A249" s="216">
        <v>40084</v>
      </c>
      <c r="B249" s="217">
        <v>40090</v>
      </c>
      <c r="C249" s="218">
        <v>4.7699999999999999E-2</v>
      </c>
      <c r="D249" s="218">
        <v>5.3400000000000003E-2</v>
      </c>
      <c r="E249" s="218">
        <v>5.6399999999999999E-2</v>
      </c>
      <c r="F249" s="219">
        <v>4.8300000000000003E-2</v>
      </c>
    </row>
    <row r="250" spans="1:6" ht="12" thickBot="1">
      <c r="A250" s="216">
        <v>40077</v>
      </c>
      <c r="B250" s="217">
        <v>40083</v>
      </c>
      <c r="C250" s="218">
        <v>4.9399999999999999E-2</v>
      </c>
      <c r="D250" s="218">
        <v>5.2499999999999998E-2</v>
      </c>
      <c r="E250" s="218">
        <v>5.67E-2</v>
      </c>
      <c r="F250" s="219">
        <v>5.2200000000000003E-2</v>
      </c>
    </row>
    <row r="251" spans="1:6" ht="12" thickBot="1">
      <c r="A251" s="216">
        <v>40070</v>
      </c>
      <c r="B251" s="217">
        <v>40076</v>
      </c>
      <c r="C251" s="218">
        <v>4.99E-2</v>
      </c>
      <c r="D251" s="218">
        <v>5.3999999999999999E-2</v>
      </c>
      <c r="E251" s="218">
        <v>5.7099999999999998E-2</v>
      </c>
      <c r="F251" s="219">
        <v>5.0200000000000002E-2</v>
      </c>
    </row>
    <row r="252" spans="1:6" ht="12" thickBot="1">
      <c r="A252" s="216">
        <v>40063</v>
      </c>
      <c r="B252" s="217">
        <v>40069</v>
      </c>
      <c r="C252" s="218">
        <v>4.9399999999999999E-2</v>
      </c>
      <c r="D252" s="218">
        <v>5.3699999999999998E-2</v>
      </c>
      <c r="E252" s="218">
        <v>5.3100000000000001E-2</v>
      </c>
      <c r="F252" s="219">
        <v>4.5600000000000002E-2</v>
      </c>
    </row>
    <row r="253" spans="1:6" ht="12" thickBot="1">
      <c r="A253" s="216">
        <v>40056</v>
      </c>
      <c r="B253" s="217">
        <v>40062</v>
      </c>
      <c r="C253" s="218">
        <v>5.0200000000000002E-2</v>
      </c>
      <c r="D253" s="218">
        <v>5.45E-2</v>
      </c>
      <c r="E253" s="218">
        <v>5.8999999999999997E-2</v>
      </c>
      <c r="F253" s="219">
        <v>4.5600000000000002E-2</v>
      </c>
    </row>
    <row r="254" spans="1:6" ht="12" thickBot="1">
      <c r="A254" s="216">
        <v>40049</v>
      </c>
      <c r="B254" s="217">
        <v>40055</v>
      </c>
      <c r="C254" s="218">
        <v>5.0999999999999997E-2</v>
      </c>
      <c r="D254" s="218">
        <v>5.4600000000000003E-2</v>
      </c>
      <c r="E254" s="218">
        <v>5.5300000000000002E-2</v>
      </c>
      <c r="F254" s="219">
        <v>4.5600000000000002E-2</v>
      </c>
    </row>
    <row r="255" spans="1:6" ht="12" thickBot="1">
      <c r="A255" s="216">
        <v>40042</v>
      </c>
      <c r="B255" s="217">
        <v>40048</v>
      </c>
      <c r="C255" s="218">
        <v>5.1299999999999998E-2</v>
      </c>
      <c r="D255" s="218">
        <v>5.4300000000000001E-2</v>
      </c>
      <c r="E255" s="218">
        <v>5.3699999999999998E-2</v>
      </c>
      <c r="F255" s="219">
        <v>4.5600000000000002E-2</v>
      </c>
    </row>
    <row r="256" spans="1:6" ht="12" thickBot="1">
      <c r="A256" s="216">
        <v>40035</v>
      </c>
      <c r="B256" s="217">
        <v>40041</v>
      </c>
      <c r="C256" s="218">
        <v>5.04E-2</v>
      </c>
      <c r="D256" s="218">
        <v>5.5399999999999998E-2</v>
      </c>
      <c r="E256" s="218">
        <v>5.5199999999999999E-2</v>
      </c>
      <c r="F256" s="219">
        <v>4.6199999999999998E-2</v>
      </c>
    </row>
    <row r="257" spans="1:6" ht="12" thickBot="1">
      <c r="A257" s="216">
        <v>40028</v>
      </c>
      <c r="B257" s="217">
        <v>40034</v>
      </c>
      <c r="C257" s="218">
        <v>5.0599999999999999E-2</v>
      </c>
      <c r="D257" s="218">
        <v>5.6599999999999998E-2</v>
      </c>
      <c r="E257" s="218">
        <v>5.6500000000000002E-2</v>
      </c>
      <c r="F257" s="219">
        <v>5.6599999999999998E-2</v>
      </c>
    </row>
    <row r="258" spans="1:6" ht="12" thickBot="1">
      <c r="A258" s="216">
        <v>40021</v>
      </c>
      <c r="B258" s="217">
        <v>40027</v>
      </c>
      <c r="C258" s="218">
        <v>5.2400000000000002E-2</v>
      </c>
      <c r="D258" s="218">
        <v>5.5100000000000003E-2</v>
      </c>
      <c r="E258" s="218">
        <v>5.7799999999999997E-2</v>
      </c>
      <c r="F258" s="219">
        <v>4.5600000000000002E-2</v>
      </c>
    </row>
    <row r="259" spans="1:6" ht="12" thickBot="1">
      <c r="A259" s="216">
        <v>40014</v>
      </c>
      <c r="B259" s="217">
        <v>40020</v>
      </c>
      <c r="C259" s="218">
        <v>5.11E-2</v>
      </c>
      <c r="D259" s="218">
        <v>5.6000000000000001E-2</v>
      </c>
      <c r="E259" s="218">
        <v>5.8500000000000003E-2</v>
      </c>
      <c r="F259" s="219">
        <v>5.4899999999999997E-2</v>
      </c>
    </row>
    <row r="260" spans="1:6" ht="12" thickBot="1">
      <c r="A260" s="216">
        <v>40007</v>
      </c>
      <c r="B260" s="217">
        <v>40013</v>
      </c>
      <c r="C260" s="218">
        <v>5.1900000000000002E-2</v>
      </c>
      <c r="D260" s="218">
        <v>5.7700000000000001E-2</v>
      </c>
      <c r="E260" s="218">
        <v>5.8799999999999998E-2</v>
      </c>
      <c r="F260" s="219">
        <v>5.04E-2</v>
      </c>
    </row>
    <row r="261" spans="1:6" ht="12" thickBot="1">
      <c r="A261" s="216">
        <v>40000</v>
      </c>
      <c r="B261" s="217">
        <v>40006</v>
      </c>
      <c r="C261" s="218">
        <v>5.3199999999999997E-2</v>
      </c>
      <c r="D261" s="218">
        <v>5.79E-2</v>
      </c>
      <c r="E261" s="218">
        <v>5.74E-2</v>
      </c>
      <c r="F261" s="219">
        <v>4.5600000000000002E-2</v>
      </c>
    </row>
    <row r="262" spans="1:6" ht="12" thickBot="1">
      <c r="A262" s="216">
        <v>39993</v>
      </c>
      <c r="B262" s="217">
        <v>39999</v>
      </c>
      <c r="C262" s="218">
        <v>5.3999999999999999E-2</v>
      </c>
      <c r="D262" s="218">
        <v>6.0699999999999997E-2</v>
      </c>
      <c r="E262" s="218">
        <v>5.67E-2</v>
      </c>
      <c r="F262" s="219">
        <v>5.8000000000000003E-2</v>
      </c>
    </row>
    <row r="263" spans="1:6" ht="12" thickBot="1">
      <c r="A263" s="216">
        <v>39986</v>
      </c>
      <c r="B263" s="217">
        <v>39992</v>
      </c>
      <c r="C263" s="218">
        <v>5.5399999999999998E-2</v>
      </c>
      <c r="D263" s="218">
        <v>6.0400000000000002E-2</v>
      </c>
      <c r="E263" s="218">
        <v>6.1400000000000003E-2</v>
      </c>
      <c r="F263" s="219">
        <v>5.7500000000000002E-2</v>
      </c>
    </row>
    <row r="264" spans="1:6" ht="12" thickBot="1">
      <c r="A264" s="216">
        <v>39979</v>
      </c>
      <c r="B264" s="217">
        <v>39985</v>
      </c>
      <c r="C264" s="218">
        <v>5.4600000000000003E-2</v>
      </c>
      <c r="D264" s="218">
        <v>6.2300000000000001E-2</v>
      </c>
      <c r="E264" s="218">
        <v>6.2100000000000002E-2</v>
      </c>
      <c r="F264" s="219">
        <v>6.0400000000000002E-2</v>
      </c>
    </row>
    <row r="265" spans="1:6" ht="12" thickBot="1">
      <c r="A265" s="216">
        <v>39972</v>
      </c>
      <c r="B265" s="217">
        <v>39978</v>
      </c>
      <c r="C265" s="218">
        <v>5.7000000000000002E-2</v>
      </c>
      <c r="D265" s="218">
        <v>6.4600000000000005E-2</v>
      </c>
      <c r="E265" s="218">
        <v>6.3100000000000003E-2</v>
      </c>
      <c r="F265" s="219">
        <v>5.6399999999999999E-2</v>
      </c>
    </row>
    <row r="266" spans="1:6" ht="12" thickBot="1">
      <c r="A266" s="216">
        <v>39965</v>
      </c>
      <c r="B266" s="217">
        <v>39971</v>
      </c>
      <c r="C266" s="218">
        <v>6.0999999999999999E-2</v>
      </c>
      <c r="D266" s="218">
        <v>6.8099999999999994E-2</v>
      </c>
      <c r="E266" s="218">
        <v>6.7699999999999996E-2</v>
      </c>
      <c r="F266" s="219">
        <v>5.57E-2</v>
      </c>
    </row>
    <row r="267" spans="1:6" ht="12" thickBot="1">
      <c r="A267" s="216">
        <v>39958</v>
      </c>
      <c r="B267" s="217">
        <v>39964</v>
      </c>
      <c r="C267" s="218">
        <v>6.1100000000000002E-2</v>
      </c>
      <c r="D267" s="218">
        <v>6.7500000000000004E-2</v>
      </c>
      <c r="E267" s="218">
        <v>7.2099999999999997E-2</v>
      </c>
      <c r="F267" s="219">
        <v>6.6100000000000006E-2</v>
      </c>
    </row>
    <row r="268" spans="1:6" ht="12" thickBot="1">
      <c r="A268" s="216">
        <v>39951</v>
      </c>
      <c r="B268" s="217">
        <v>39957</v>
      </c>
      <c r="C268" s="218">
        <v>6.2899999999999998E-2</v>
      </c>
      <c r="D268" s="218">
        <v>6.9099999999999995E-2</v>
      </c>
      <c r="E268" s="218">
        <v>7.2499999999999995E-2</v>
      </c>
      <c r="F268" s="219">
        <v>6.59E-2</v>
      </c>
    </row>
    <row r="269" spans="1:6" ht="12" thickBot="1">
      <c r="A269" s="216">
        <v>39944</v>
      </c>
      <c r="B269" s="217">
        <v>39950</v>
      </c>
      <c r="C269" s="218">
        <v>6.5799999999999997E-2</v>
      </c>
      <c r="D269" s="218">
        <v>7.4399999999999994E-2</v>
      </c>
      <c r="E269" s="218">
        <v>8.43E-2</v>
      </c>
      <c r="F269" s="219">
        <v>5.9900000000000002E-2</v>
      </c>
    </row>
    <row r="270" spans="1:6" ht="12" thickBot="1">
      <c r="A270" s="216">
        <v>39937</v>
      </c>
      <c r="B270" s="217">
        <v>39943</v>
      </c>
      <c r="C270" s="218">
        <v>7.0900000000000005E-2</v>
      </c>
      <c r="D270" s="218">
        <v>7.4099999999999999E-2</v>
      </c>
      <c r="E270" s="218">
        <v>7.7100000000000002E-2</v>
      </c>
      <c r="F270" s="219">
        <v>7.2499999999999995E-2</v>
      </c>
    </row>
    <row r="271" spans="1:6" ht="12" thickBot="1">
      <c r="A271" s="216">
        <v>39930</v>
      </c>
      <c r="B271" s="217">
        <v>39936</v>
      </c>
      <c r="C271" s="218">
        <v>6.8699999999999997E-2</v>
      </c>
      <c r="D271" s="218">
        <v>7.46E-2</v>
      </c>
      <c r="E271" s="218">
        <v>7.7100000000000002E-2</v>
      </c>
      <c r="F271" s="219">
        <v>7.51E-2</v>
      </c>
    </row>
    <row r="272" spans="1:6" ht="12" thickBot="1">
      <c r="A272" s="216">
        <v>39923</v>
      </c>
      <c r="B272" s="217">
        <v>39929</v>
      </c>
      <c r="C272" s="218">
        <v>7.1499999999999994E-2</v>
      </c>
      <c r="D272" s="218">
        <v>7.5899999999999995E-2</v>
      </c>
      <c r="E272" s="218">
        <v>7.9200000000000007E-2</v>
      </c>
      <c r="F272" s="219">
        <v>7.4399999999999994E-2</v>
      </c>
    </row>
    <row r="273" spans="1:6" ht="12" thickBot="1">
      <c r="A273" s="216">
        <v>39916</v>
      </c>
      <c r="B273" s="217">
        <v>39922</v>
      </c>
      <c r="C273" s="218">
        <v>7.3300000000000004E-2</v>
      </c>
      <c r="D273" s="218">
        <v>7.5999999999999998E-2</v>
      </c>
      <c r="E273" s="218">
        <v>7.51E-2</v>
      </c>
      <c r="F273" s="219">
        <v>7.4499999999999997E-2</v>
      </c>
    </row>
    <row r="274" spans="1:6" ht="12" thickBot="1">
      <c r="A274" s="216">
        <v>39909</v>
      </c>
      <c r="B274" s="217">
        <v>39915</v>
      </c>
      <c r="C274" s="218">
        <v>7.9100000000000004E-2</v>
      </c>
      <c r="D274" s="218">
        <v>7.7799999999999994E-2</v>
      </c>
      <c r="E274" s="218">
        <v>8.4099999999999994E-2</v>
      </c>
      <c r="F274" s="219">
        <v>6.59E-2</v>
      </c>
    </row>
    <row r="275" spans="1:6" ht="12" thickBot="1">
      <c r="A275" s="216">
        <v>39902</v>
      </c>
      <c r="B275" s="217">
        <v>39908</v>
      </c>
      <c r="C275" s="218">
        <v>7.6799999999999993E-2</v>
      </c>
      <c r="D275" s="218">
        <v>8.0600000000000005E-2</v>
      </c>
      <c r="E275" s="218">
        <v>8.4599999999999995E-2</v>
      </c>
      <c r="F275" s="219">
        <v>7.9100000000000004E-2</v>
      </c>
    </row>
    <row r="276" spans="1:6" ht="12" thickBot="1">
      <c r="A276" s="216">
        <v>39895</v>
      </c>
      <c r="B276" s="217">
        <v>39901</v>
      </c>
      <c r="C276" s="218">
        <v>8.1299999999999997E-2</v>
      </c>
      <c r="D276" s="218">
        <v>8.8999999999999996E-2</v>
      </c>
      <c r="E276" s="218">
        <v>8.9399999999999993E-2</v>
      </c>
      <c r="F276" s="219">
        <v>6.59E-2</v>
      </c>
    </row>
    <row r="277" spans="1:6" ht="12" thickBot="1">
      <c r="A277" s="216">
        <v>39888</v>
      </c>
      <c r="B277" s="217">
        <v>39894</v>
      </c>
      <c r="C277" s="218">
        <v>8.3400000000000002E-2</v>
      </c>
      <c r="D277" s="218">
        <v>8.8700000000000001E-2</v>
      </c>
      <c r="E277" s="218">
        <v>8.6900000000000005E-2</v>
      </c>
      <c r="F277" s="219">
        <v>6.59E-2</v>
      </c>
    </row>
    <row r="278" spans="1:6" ht="12" thickBot="1">
      <c r="A278" s="216">
        <v>39881</v>
      </c>
      <c r="B278" s="217">
        <v>39887</v>
      </c>
      <c r="C278" s="218">
        <v>8.5900000000000004E-2</v>
      </c>
      <c r="D278" s="218">
        <v>9.1399999999999995E-2</v>
      </c>
      <c r="E278" s="218">
        <v>9.11E-2</v>
      </c>
      <c r="F278" s="219">
        <v>9.0800000000000006E-2</v>
      </c>
    </row>
    <row r="279" spans="1:6" ht="12" thickBot="1">
      <c r="A279" s="216">
        <v>39874</v>
      </c>
      <c r="B279" s="217">
        <v>39880</v>
      </c>
      <c r="C279" s="218">
        <v>8.8599999999999998E-2</v>
      </c>
      <c r="D279" s="218">
        <v>9.3399999999999997E-2</v>
      </c>
      <c r="E279" s="218">
        <v>9.6500000000000002E-2</v>
      </c>
      <c r="F279" s="219">
        <v>8.6599999999999996E-2</v>
      </c>
    </row>
    <row r="280" spans="1:6" ht="12" thickBot="1">
      <c r="A280" s="216">
        <v>39867</v>
      </c>
      <c r="B280" s="217">
        <v>39873</v>
      </c>
      <c r="C280" s="218">
        <v>9.0200000000000002E-2</v>
      </c>
      <c r="D280" s="218">
        <v>9.5000000000000001E-2</v>
      </c>
      <c r="E280" s="218">
        <v>9.5799999999999996E-2</v>
      </c>
      <c r="F280" s="219">
        <v>6.59E-2</v>
      </c>
    </row>
    <row r="281" spans="1:6" ht="12" thickBot="1">
      <c r="A281" s="216">
        <v>39860</v>
      </c>
      <c r="B281" s="217">
        <v>39866</v>
      </c>
      <c r="C281" s="218">
        <v>8.9399999999999993E-2</v>
      </c>
      <c r="D281" s="218">
        <v>9.6000000000000002E-2</v>
      </c>
      <c r="E281" s="218">
        <v>9.8100000000000007E-2</v>
      </c>
      <c r="F281" s="219">
        <v>6.59E-2</v>
      </c>
    </row>
    <row r="282" spans="1:6" ht="12" thickBot="1">
      <c r="A282" s="216">
        <v>39853</v>
      </c>
      <c r="B282" s="217">
        <v>39859</v>
      </c>
      <c r="C282" s="218">
        <v>9.4299999999999995E-2</v>
      </c>
      <c r="D282" s="218">
        <v>9.7100000000000006E-2</v>
      </c>
      <c r="E282" s="218">
        <v>0.10050000000000001</v>
      </c>
      <c r="F282" s="219">
        <v>6.59E-2</v>
      </c>
    </row>
    <row r="283" spans="1:6" ht="12" thickBot="1">
      <c r="A283" s="216">
        <v>39846</v>
      </c>
      <c r="B283" s="217">
        <v>39852</v>
      </c>
      <c r="C283" s="218">
        <v>9.5600000000000004E-2</v>
      </c>
      <c r="D283" s="218">
        <v>0.10059999999999999</v>
      </c>
      <c r="E283" s="218">
        <v>0.1028</v>
      </c>
      <c r="F283" s="219">
        <v>9.6299999999999997E-2</v>
      </c>
    </row>
    <row r="284" spans="1:6" ht="12" thickBot="1">
      <c r="A284" s="216">
        <v>39839</v>
      </c>
      <c r="B284" s="217">
        <v>39845</v>
      </c>
      <c r="C284" s="218">
        <v>9.7900000000000001E-2</v>
      </c>
      <c r="D284" s="218">
        <v>9.98E-2</v>
      </c>
      <c r="E284" s="218">
        <v>0.1053</v>
      </c>
      <c r="F284" s="219">
        <v>0.1022</v>
      </c>
    </row>
    <row r="285" spans="1:6" ht="12" thickBot="1">
      <c r="A285" s="216">
        <v>39832</v>
      </c>
      <c r="B285" s="217">
        <v>39838</v>
      </c>
      <c r="C285" s="218">
        <v>9.6199999999999994E-2</v>
      </c>
      <c r="D285" s="218">
        <v>0.1011</v>
      </c>
      <c r="E285" s="218">
        <v>0.1043</v>
      </c>
      <c r="F285" s="219">
        <v>6.59E-2</v>
      </c>
    </row>
    <row r="286" spans="1:6" ht="12" thickBot="1">
      <c r="A286" s="216">
        <v>39825</v>
      </c>
      <c r="B286" s="217">
        <v>39831</v>
      </c>
      <c r="C286" s="218">
        <v>9.7299999999999998E-2</v>
      </c>
      <c r="D286" s="218">
        <v>0.1002</v>
      </c>
      <c r="E286" s="218">
        <v>0.1033</v>
      </c>
      <c r="F286" s="219">
        <v>6.59E-2</v>
      </c>
    </row>
    <row r="287" spans="1:6" ht="12" thickBot="1">
      <c r="A287" s="216">
        <v>39818</v>
      </c>
      <c r="B287" s="217">
        <v>39824</v>
      </c>
      <c r="C287" s="218">
        <v>9.7299999999999998E-2</v>
      </c>
      <c r="D287" s="218">
        <v>0.1016</v>
      </c>
      <c r="E287" s="218">
        <v>0.1065</v>
      </c>
      <c r="F287" s="220"/>
    </row>
    <row r="288" spans="1:6" ht="12" thickBot="1">
      <c r="A288" s="216">
        <v>39811</v>
      </c>
      <c r="B288" s="217">
        <v>39817</v>
      </c>
      <c r="C288" s="218">
        <v>9.8199999999999996E-2</v>
      </c>
      <c r="D288" s="218">
        <v>0.1009</v>
      </c>
      <c r="E288" s="218">
        <v>0.10920000000000001</v>
      </c>
      <c r="F288" s="219">
        <v>6.59E-2</v>
      </c>
    </row>
    <row r="289" spans="1:6" ht="12" thickBot="1">
      <c r="A289" s="216">
        <v>39804</v>
      </c>
      <c r="B289" s="217">
        <v>39810</v>
      </c>
      <c r="C289" s="218">
        <v>0.1033</v>
      </c>
      <c r="D289" s="218">
        <v>0.10580000000000001</v>
      </c>
      <c r="E289" s="218">
        <v>0.10920000000000001</v>
      </c>
      <c r="F289" s="219">
        <v>6.59E-2</v>
      </c>
    </row>
    <row r="290" spans="1:6" ht="12" thickBot="1">
      <c r="A290" s="216">
        <v>39797</v>
      </c>
      <c r="B290" s="217">
        <v>39803</v>
      </c>
      <c r="C290" s="218">
        <v>0.1019</v>
      </c>
      <c r="D290" s="218">
        <v>0.10539999999999999</v>
      </c>
      <c r="E290" s="218">
        <v>0.11260000000000001</v>
      </c>
      <c r="F290" s="220"/>
    </row>
    <row r="291" spans="1:6" ht="12" thickBot="1">
      <c r="A291" s="216">
        <v>39790</v>
      </c>
      <c r="B291" s="217">
        <v>39796</v>
      </c>
      <c r="C291" s="218">
        <v>0.10199999999999999</v>
      </c>
      <c r="D291" s="218">
        <v>0.10349999999999999</v>
      </c>
      <c r="E291" s="218">
        <v>0.1111</v>
      </c>
      <c r="F291" s="220"/>
    </row>
    <row r="292" spans="1:6" ht="12" thickBot="1">
      <c r="A292" s="216">
        <v>39783</v>
      </c>
      <c r="B292" s="217">
        <v>39789</v>
      </c>
      <c r="C292" s="218">
        <v>0.1027</v>
      </c>
      <c r="D292" s="218">
        <v>9.9599999999999994E-2</v>
      </c>
      <c r="E292" s="218">
        <v>0.10639999999999999</v>
      </c>
      <c r="F292" s="219">
        <v>9.2499999999999999E-2</v>
      </c>
    </row>
    <row r="293" spans="1:6" ht="12" thickBot="1">
      <c r="A293" s="216">
        <v>39776</v>
      </c>
      <c r="B293" s="217">
        <v>39782</v>
      </c>
      <c r="C293" s="218">
        <v>9.9599999999999994E-2</v>
      </c>
      <c r="D293" s="218">
        <v>0.10390000000000001</v>
      </c>
      <c r="E293" s="218">
        <v>0.10340000000000001</v>
      </c>
      <c r="F293" s="220"/>
    </row>
    <row r="294" spans="1:6" ht="12" thickBot="1">
      <c r="A294" s="216">
        <v>39769</v>
      </c>
      <c r="B294" s="217">
        <v>39775</v>
      </c>
      <c r="C294" s="218">
        <v>0.1002</v>
      </c>
      <c r="D294" s="218">
        <v>0.1013</v>
      </c>
      <c r="E294" s="218">
        <v>0.10249999999999999</v>
      </c>
      <c r="F294" s="219">
        <v>9.2999999999999999E-2</v>
      </c>
    </row>
    <row r="295" spans="1:6" ht="12" thickBot="1">
      <c r="A295" s="216">
        <v>39762</v>
      </c>
      <c r="B295" s="217">
        <v>39768</v>
      </c>
      <c r="C295" s="218">
        <v>0.1016</v>
      </c>
      <c r="D295" s="218">
        <v>0.10299999999999999</v>
      </c>
      <c r="E295" s="218">
        <v>9.9000000000000005E-2</v>
      </c>
      <c r="F295" s="220"/>
    </row>
    <row r="296" spans="1:6" ht="12" thickBot="1">
      <c r="A296" s="216">
        <v>39755</v>
      </c>
      <c r="B296" s="217">
        <v>39761</v>
      </c>
      <c r="C296" s="218">
        <v>0.1007</v>
      </c>
      <c r="D296" s="218">
        <v>0.10100000000000001</v>
      </c>
      <c r="E296" s="218">
        <v>0.10349999999999999</v>
      </c>
      <c r="F296" s="219">
        <v>6.7000000000000004E-2</v>
      </c>
    </row>
    <row r="297" spans="1:6" ht="12" thickBot="1">
      <c r="A297" s="216">
        <v>39748</v>
      </c>
      <c r="B297" s="217">
        <v>39754</v>
      </c>
      <c r="C297" s="218">
        <v>0.10199999999999999</v>
      </c>
      <c r="D297" s="218">
        <v>0.10539999999999999</v>
      </c>
      <c r="E297" s="218">
        <v>9.9299999999999999E-2</v>
      </c>
      <c r="F297" s="219">
        <v>8.5000000000000006E-2</v>
      </c>
    </row>
    <row r="298" spans="1:6" ht="12" thickBot="1">
      <c r="A298" s="216">
        <v>39741</v>
      </c>
      <c r="B298" s="217">
        <v>39747</v>
      </c>
      <c r="C298" s="218">
        <v>0.1003</v>
      </c>
      <c r="D298" s="218">
        <v>9.8799999999999999E-2</v>
      </c>
      <c r="E298" s="218">
        <v>9.11E-2</v>
      </c>
      <c r="F298" s="220"/>
    </row>
    <row r="299" spans="1:6" ht="12" thickBot="1">
      <c r="A299" s="216">
        <v>39734</v>
      </c>
      <c r="B299" s="217">
        <v>39740</v>
      </c>
      <c r="C299" s="218">
        <v>9.8500000000000004E-2</v>
      </c>
      <c r="D299" s="218">
        <v>0.1002</v>
      </c>
      <c r="E299" s="218">
        <v>9.3799999999999994E-2</v>
      </c>
      <c r="F299" s="220"/>
    </row>
    <row r="300" spans="1:6" ht="12" thickBot="1">
      <c r="A300" s="216">
        <v>39727</v>
      </c>
      <c r="B300" s="217">
        <v>39733</v>
      </c>
      <c r="C300" s="218">
        <v>9.3200000000000005E-2</v>
      </c>
      <c r="D300" s="218">
        <v>0.10299999999999999</v>
      </c>
      <c r="E300" s="218">
        <v>0.1</v>
      </c>
      <c r="F300" s="219">
        <v>0.1</v>
      </c>
    </row>
    <row r="301" spans="1:6" ht="12" thickBot="1">
      <c r="A301" s="216">
        <v>39720</v>
      </c>
      <c r="B301" s="217">
        <v>39726</v>
      </c>
      <c r="C301" s="218">
        <v>9.6100000000000005E-2</v>
      </c>
      <c r="D301" s="218">
        <v>0.1013</v>
      </c>
      <c r="E301" s="218">
        <v>0.1082</v>
      </c>
      <c r="F301" s="220"/>
    </row>
    <row r="302" spans="1:6" ht="12" thickBot="1">
      <c r="A302" s="216">
        <v>39713</v>
      </c>
      <c r="B302" s="217">
        <v>39719</v>
      </c>
      <c r="C302" s="218">
        <v>0.10050000000000001</v>
      </c>
      <c r="D302" s="218">
        <v>0.1008</v>
      </c>
      <c r="E302" s="218">
        <v>0.10780000000000001</v>
      </c>
      <c r="F302" s="219">
        <v>8.7999999999999995E-2</v>
      </c>
    </row>
    <row r="303" spans="1:6" ht="12" thickBot="1">
      <c r="A303" s="216">
        <v>39706</v>
      </c>
      <c r="B303" s="217">
        <v>39712</v>
      </c>
      <c r="C303" s="218">
        <v>0.10100000000000001</v>
      </c>
      <c r="D303" s="218">
        <v>0.1028</v>
      </c>
      <c r="E303" s="218">
        <v>0.1024</v>
      </c>
      <c r="F303" s="219">
        <v>3.5000000000000003E-2</v>
      </c>
    </row>
    <row r="304" spans="1:6" ht="12" thickBot="1">
      <c r="A304" s="216">
        <v>39699</v>
      </c>
      <c r="B304" s="217">
        <v>39705</v>
      </c>
      <c r="C304" s="218">
        <v>9.8699999999999996E-2</v>
      </c>
      <c r="D304" s="218">
        <v>9.9599999999999994E-2</v>
      </c>
      <c r="E304" s="218">
        <v>0.1048</v>
      </c>
      <c r="F304" s="219">
        <v>3.0200000000000001E-2</v>
      </c>
    </row>
    <row r="305" spans="1:6" ht="12" thickBot="1">
      <c r="A305" s="216">
        <v>39692</v>
      </c>
      <c r="B305" s="217">
        <v>39698</v>
      </c>
      <c r="C305" s="218">
        <v>0.1021</v>
      </c>
      <c r="D305" s="218">
        <v>9.7699999999999995E-2</v>
      </c>
      <c r="E305" s="218">
        <v>0.1076</v>
      </c>
      <c r="F305" s="219">
        <v>5.67E-2</v>
      </c>
    </row>
    <row r="306" spans="1:6" ht="12" thickBot="1">
      <c r="A306" s="216">
        <v>39685</v>
      </c>
      <c r="B306" s="217">
        <v>39691</v>
      </c>
      <c r="C306" s="218">
        <v>9.8900000000000002E-2</v>
      </c>
      <c r="D306" s="218">
        <v>9.69E-2</v>
      </c>
      <c r="E306" s="218">
        <v>0.1056</v>
      </c>
      <c r="F306" s="220"/>
    </row>
    <row r="307" spans="1:6" ht="12" thickBot="1">
      <c r="A307" s="216">
        <v>39678</v>
      </c>
      <c r="B307" s="217">
        <v>39684</v>
      </c>
      <c r="C307" s="218">
        <v>9.8100000000000007E-2</v>
      </c>
      <c r="D307" s="218">
        <v>9.8199999999999996E-2</v>
      </c>
      <c r="E307" s="218">
        <v>0.1022</v>
      </c>
      <c r="F307" s="219">
        <v>8.2400000000000001E-2</v>
      </c>
    </row>
    <row r="308" spans="1:6" ht="12" thickBot="1">
      <c r="A308" s="216">
        <v>39671</v>
      </c>
      <c r="B308" s="217">
        <v>39677</v>
      </c>
      <c r="C308" s="218">
        <v>9.8900000000000002E-2</v>
      </c>
      <c r="D308" s="218">
        <v>9.8699999999999996E-2</v>
      </c>
      <c r="E308" s="218">
        <v>9.9400000000000002E-2</v>
      </c>
      <c r="F308" s="219">
        <v>6.5000000000000002E-2</v>
      </c>
    </row>
    <row r="309" spans="1:6" ht="12" thickBot="1">
      <c r="A309" s="216">
        <v>39664</v>
      </c>
      <c r="B309" s="217">
        <v>39670</v>
      </c>
      <c r="C309" s="218">
        <v>9.7299999999999998E-2</v>
      </c>
      <c r="D309" s="218">
        <v>0.1004</v>
      </c>
      <c r="E309" s="218">
        <v>9.1399999999999995E-2</v>
      </c>
      <c r="F309" s="219">
        <v>6.5000000000000002E-2</v>
      </c>
    </row>
    <row r="310" spans="1:6" ht="12" thickBot="1">
      <c r="A310" s="216">
        <v>39657</v>
      </c>
      <c r="B310" s="217">
        <v>39663</v>
      </c>
      <c r="C310" s="218">
        <v>9.6100000000000005E-2</v>
      </c>
      <c r="D310" s="218">
        <v>9.6699999999999994E-2</v>
      </c>
      <c r="E310" s="218">
        <v>9.4100000000000003E-2</v>
      </c>
      <c r="F310" s="219">
        <v>6.5000000000000002E-2</v>
      </c>
    </row>
    <row r="311" spans="1:6" ht="12" thickBot="1">
      <c r="A311" s="216">
        <v>39650</v>
      </c>
      <c r="B311" s="217">
        <v>39656</v>
      </c>
      <c r="C311" s="218">
        <v>9.6299999999999997E-2</v>
      </c>
      <c r="D311" s="218">
        <v>9.3799999999999994E-2</v>
      </c>
      <c r="E311" s="218">
        <v>9.8400000000000001E-2</v>
      </c>
      <c r="F311" s="219">
        <v>6.5000000000000002E-2</v>
      </c>
    </row>
    <row r="312" spans="1:6" ht="12" thickBot="1">
      <c r="A312" s="216">
        <v>39643</v>
      </c>
      <c r="B312" s="217">
        <v>39649</v>
      </c>
      <c r="C312" s="218">
        <v>9.6500000000000002E-2</v>
      </c>
      <c r="D312" s="218">
        <v>9.3899999999999997E-2</v>
      </c>
      <c r="E312" s="218">
        <v>9.2200000000000004E-2</v>
      </c>
      <c r="F312" s="219">
        <v>7.3200000000000001E-2</v>
      </c>
    </row>
    <row r="313" spans="1:6" ht="12" thickBot="1">
      <c r="A313" s="216">
        <v>39636</v>
      </c>
      <c r="B313" s="217">
        <v>39642</v>
      </c>
      <c r="C313" s="218">
        <v>9.2499999999999999E-2</v>
      </c>
      <c r="D313" s="218">
        <v>9.0700000000000003E-2</v>
      </c>
      <c r="E313" s="218">
        <v>8.3599999999999994E-2</v>
      </c>
      <c r="F313" s="219">
        <v>6.5000000000000002E-2</v>
      </c>
    </row>
    <row r="314" spans="1:6" ht="12" thickBot="1">
      <c r="A314" s="216">
        <v>39629</v>
      </c>
      <c r="B314" s="217">
        <v>39635</v>
      </c>
      <c r="C314" s="218">
        <v>9.8000000000000004E-2</v>
      </c>
      <c r="D314" s="218">
        <v>9.4200000000000006E-2</v>
      </c>
      <c r="E314" s="218">
        <v>9.2399999999999996E-2</v>
      </c>
      <c r="F314" s="219">
        <v>6.5000000000000002E-2</v>
      </c>
    </row>
    <row r="315" spans="1:6" ht="12" thickBot="1">
      <c r="A315" s="216">
        <v>39622</v>
      </c>
      <c r="B315" s="217">
        <v>39628</v>
      </c>
      <c r="C315" s="218">
        <v>9.9199999999999997E-2</v>
      </c>
      <c r="D315" s="218">
        <v>9.8699999999999996E-2</v>
      </c>
      <c r="E315" s="218">
        <v>8.5099999999999995E-2</v>
      </c>
      <c r="F315" s="219">
        <v>8.5099999999999995E-2</v>
      </c>
    </row>
    <row r="316" spans="1:6" ht="12" thickBot="1">
      <c r="A316" s="216">
        <v>39615</v>
      </c>
      <c r="B316" s="217">
        <v>39621</v>
      </c>
      <c r="C316" s="218">
        <v>9.8000000000000004E-2</v>
      </c>
      <c r="D316" s="218">
        <v>0.10100000000000001</v>
      </c>
      <c r="E316" s="218">
        <v>9.6799999999999997E-2</v>
      </c>
      <c r="F316" s="219">
        <v>0.03</v>
      </c>
    </row>
    <row r="317" spans="1:6" ht="12" thickBot="1">
      <c r="A317" s="216">
        <v>39608</v>
      </c>
      <c r="B317" s="217">
        <v>39614</v>
      </c>
      <c r="C317" s="218">
        <v>9.2100000000000001E-2</v>
      </c>
      <c r="D317" s="218">
        <v>9.8199999999999996E-2</v>
      </c>
      <c r="E317" s="218">
        <v>8.6400000000000005E-2</v>
      </c>
      <c r="F317" s="220"/>
    </row>
    <row r="318" spans="1:6" ht="12" thickBot="1">
      <c r="A318" s="216">
        <v>39601</v>
      </c>
      <c r="B318" s="217">
        <v>39607</v>
      </c>
      <c r="C318" s="218">
        <v>9.8100000000000007E-2</v>
      </c>
      <c r="D318" s="218">
        <v>9.4500000000000001E-2</v>
      </c>
      <c r="E318" s="218">
        <v>8.6800000000000002E-2</v>
      </c>
      <c r="F318" s="219">
        <v>6.5000000000000002E-2</v>
      </c>
    </row>
    <row r="319" spans="1:6" ht="12" thickBot="1">
      <c r="A319" s="216">
        <v>39594</v>
      </c>
      <c r="B319" s="217">
        <v>39600</v>
      </c>
      <c r="C319" s="218">
        <v>9.4899999999999998E-2</v>
      </c>
      <c r="D319" s="218">
        <v>9.6000000000000002E-2</v>
      </c>
      <c r="E319" s="218">
        <v>9.1399999999999995E-2</v>
      </c>
      <c r="F319" s="220"/>
    </row>
    <row r="320" spans="1:6" ht="12" thickBot="1">
      <c r="A320" s="216">
        <v>39587</v>
      </c>
      <c r="B320" s="217">
        <v>39593</v>
      </c>
      <c r="C320" s="218">
        <v>9.7299999999999998E-2</v>
      </c>
      <c r="D320" s="218">
        <v>9.6000000000000002E-2</v>
      </c>
      <c r="E320" s="218">
        <v>9.8199999999999996E-2</v>
      </c>
      <c r="F320" s="220"/>
    </row>
    <row r="321" spans="1:6" ht="12" thickBot="1">
      <c r="A321" s="216">
        <v>39580</v>
      </c>
      <c r="B321" s="217">
        <v>39586</v>
      </c>
      <c r="C321" s="218">
        <v>9.2499999999999999E-2</v>
      </c>
      <c r="D321" s="218">
        <v>9.69E-2</v>
      </c>
      <c r="E321" s="218">
        <v>9.6299999999999997E-2</v>
      </c>
      <c r="F321" s="219">
        <v>8.9099999999999999E-2</v>
      </c>
    </row>
    <row r="322" spans="1:6" ht="12" thickBot="1">
      <c r="A322" s="216">
        <v>39573</v>
      </c>
      <c r="B322" s="217">
        <v>39579</v>
      </c>
      <c r="C322" s="218">
        <v>9.8299999999999998E-2</v>
      </c>
      <c r="D322" s="218">
        <v>9.8000000000000004E-2</v>
      </c>
      <c r="E322" s="218">
        <v>0.1032</v>
      </c>
      <c r="F322" s="219">
        <v>3.39E-2</v>
      </c>
    </row>
    <row r="323" spans="1:6" ht="12" thickBot="1">
      <c r="A323" s="216">
        <v>39566</v>
      </c>
      <c r="B323" s="217">
        <v>39572</v>
      </c>
      <c r="C323" s="218">
        <v>9.7500000000000003E-2</v>
      </c>
      <c r="D323" s="218">
        <v>9.98E-2</v>
      </c>
      <c r="E323" s="218">
        <v>9.3399999999999997E-2</v>
      </c>
      <c r="F323" s="219">
        <v>8.0799999999999997E-2</v>
      </c>
    </row>
    <row r="324" spans="1:6" ht="12" thickBot="1">
      <c r="A324" s="216">
        <v>39559</v>
      </c>
      <c r="B324" s="217">
        <v>39565</v>
      </c>
      <c r="C324" s="218">
        <v>9.6100000000000005E-2</v>
      </c>
      <c r="D324" s="218">
        <v>9.74E-2</v>
      </c>
      <c r="E324" s="218">
        <v>0.1077</v>
      </c>
      <c r="F324" s="219">
        <v>6.3500000000000001E-2</v>
      </c>
    </row>
    <row r="325" spans="1:6" ht="12" thickBot="1">
      <c r="A325" s="216">
        <v>39552</v>
      </c>
      <c r="B325" s="217">
        <v>39558</v>
      </c>
      <c r="C325" s="218">
        <v>9.8000000000000004E-2</v>
      </c>
      <c r="D325" s="218">
        <v>9.8000000000000004E-2</v>
      </c>
      <c r="E325" s="218">
        <v>0.1033</v>
      </c>
      <c r="F325" s="219">
        <v>6.7599999999999993E-2</v>
      </c>
    </row>
    <row r="326" spans="1:6" ht="12" thickBot="1">
      <c r="A326" s="216">
        <v>39545</v>
      </c>
      <c r="B326" s="217">
        <v>39551</v>
      </c>
      <c r="C326" s="218">
        <v>9.74E-2</v>
      </c>
      <c r="D326" s="218">
        <v>9.4799999999999995E-2</v>
      </c>
      <c r="E326" s="218">
        <v>0.10489999999999999</v>
      </c>
      <c r="F326" s="219">
        <v>0.1074</v>
      </c>
    </row>
    <row r="327" spans="1:6" ht="12" thickBot="1">
      <c r="A327" s="216">
        <v>39538</v>
      </c>
      <c r="B327" s="217">
        <v>39544</v>
      </c>
      <c r="C327" s="218">
        <v>9.8199999999999996E-2</v>
      </c>
      <c r="D327" s="218">
        <v>9.5600000000000004E-2</v>
      </c>
      <c r="E327" s="218">
        <v>9.4399999999999998E-2</v>
      </c>
      <c r="F327" s="219">
        <v>7.8299999999999995E-2</v>
      </c>
    </row>
    <row r="328" spans="1:6" ht="12" thickBot="1">
      <c r="A328" s="216">
        <v>39531</v>
      </c>
      <c r="B328" s="217">
        <v>39537</v>
      </c>
      <c r="C328" s="218">
        <v>9.5299999999999996E-2</v>
      </c>
      <c r="D328" s="218">
        <v>9.0300000000000005E-2</v>
      </c>
      <c r="E328" s="218">
        <v>9.6299999999999997E-2</v>
      </c>
      <c r="F328" s="220"/>
    </row>
    <row r="329" spans="1:6" ht="12" thickBot="1">
      <c r="A329" s="216">
        <v>39524</v>
      </c>
      <c r="B329" s="217">
        <v>39530</v>
      </c>
      <c r="C329" s="218">
        <v>9.74E-2</v>
      </c>
      <c r="D329" s="218">
        <v>9.35E-2</v>
      </c>
      <c r="E329" s="218">
        <v>9.5200000000000007E-2</v>
      </c>
      <c r="F329" s="220"/>
    </row>
    <row r="330" spans="1:6" ht="12" thickBot="1">
      <c r="A330" s="216">
        <v>39517</v>
      </c>
      <c r="B330" s="217">
        <v>39523</v>
      </c>
      <c r="C330" s="218">
        <v>9.2100000000000001E-2</v>
      </c>
      <c r="D330" s="218">
        <v>9.2200000000000004E-2</v>
      </c>
      <c r="E330" s="218">
        <v>9.4500000000000001E-2</v>
      </c>
      <c r="F330" s="219">
        <v>6.5000000000000002E-2</v>
      </c>
    </row>
    <row r="331" spans="1:6" ht="12" thickBot="1">
      <c r="A331" s="216">
        <v>39510</v>
      </c>
      <c r="B331" s="217">
        <v>39516</v>
      </c>
      <c r="C331" s="218">
        <v>9.6299999999999997E-2</v>
      </c>
      <c r="D331" s="218">
        <v>9.3700000000000006E-2</v>
      </c>
      <c r="E331" s="218">
        <v>8.9899999999999994E-2</v>
      </c>
      <c r="F331" s="219">
        <v>3.5000000000000003E-2</v>
      </c>
    </row>
    <row r="332" spans="1:6" ht="12" thickBot="1">
      <c r="A332" s="216">
        <v>39503</v>
      </c>
      <c r="B332" s="217">
        <v>39509</v>
      </c>
      <c r="C332" s="218">
        <v>9.3200000000000005E-2</v>
      </c>
      <c r="D332" s="218">
        <v>8.9300000000000004E-2</v>
      </c>
      <c r="E332" s="218">
        <v>8.9200000000000002E-2</v>
      </c>
      <c r="F332" s="220"/>
    </row>
    <row r="333" spans="1:6" ht="12" thickBot="1">
      <c r="A333" s="216">
        <v>39496</v>
      </c>
      <c r="B333" s="217">
        <v>39502</v>
      </c>
      <c r="C333" s="218">
        <v>9.2799999999999994E-2</v>
      </c>
      <c r="D333" s="218">
        <v>9.06E-2</v>
      </c>
      <c r="E333" s="218">
        <v>9.7199999999999995E-2</v>
      </c>
      <c r="F333" s="219">
        <v>8.5000000000000006E-2</v>
      </c>
    </row>
    <row r="334" spans="1:6" ht="12" thickBot="1">
      <c r="A334" s="216">
        <v>39489</v>
      </c>
      <c r="B334" s="217">
        <v>39495</v>
      </c>
      <c r="C334" s="218">
        <v>8.5400000000000004E-2</v>
      </c>
      <c r="D334" s="218">
        <v>9.0899999999999995E-2</v>
      </c>
      <c r="E334" s="218">
        <v>9.0399999999999994E-2</v>
      </c>
      <c r="F334" s="220"/>
    </row>
    <row r="335" spans="1:6" ht="12" thickBot="1">
      <c r="A335" s="216">
        <v>39482</v>
      </c>
      <c r="B335" s="217">
        <v>39488</v>
      </c>
      <c r="C335" s="218">
        <v>9.2100000000000001E-2</v>
      </c>
      <c r="D335" s="218">
        <v>9.1399999999999995E-2</v>
      </c>
      <c r="E335" s="218">
        <v>9.9000000000000005E-2</v>
      </c>
      <c r="F335" s="219">
        <v>6.5199999999999994E-2</v>
      </c>
    </row>
    <row r="336" spans="1:6" ht="12" thickBot="1">
      <c r="A336" s="216">
        <v>39475</v>
      </c>
      <c r="B336" s="217">
        <v>39481</v>
      </c>
      <c r="C336" s="218">
        <v>9.2600000000000002E-2</v>
      </c>
      <c r="D336" s="218">
        <v>8.8700000000000001E-2</v>
      </c>
      <c r="E336" s="218">
        <v>8.9599999999999999E-2</v>
      </c>
      <c r="F336" s="219">
        <v>8.0799999999999997E-2</v>
      </c>
    </row>
    <row r="337" spans="1:6" ht="12" thickBot="1">
      <c r="A337" s="216">
        <v>39468</v>
      </c>
      <c r="B337" s="217">
        <v>39474</v>
      </c>
      <c r="C337" s="218">
        <v>8.9700000000000002E-2</v>
      </c>
      <c r="D337" s="218">
        <v>8.8300000000000003E-2</v>
      </c>
      <c r="E337" s="218">
        <v>8.8700000000000001E-2</v>
      </c>
      <c r="F337" s="220"/>
    </row>
    <row r="338" spans="1:6" ht="12" thickBot="1">
      <c r="A338" s="216">
        <v>39461</v>
      </c>
      <c r="B338" s="217">
        <v>39467</v>
      </c>
      <c r="C338" s="218">
        <v>9.0499999999999997E-2</v>
      </c>
      <c r="D338" s="218">
        <v>8.5999999999999993E-2</v>
      </c>
      <c r="E338" s="218">
        <v>8.9599999999999999E-2</v>
      </c>
      <c r="F338" s="219">
        <v>3.5000000000000003E-2</v>
      </c>
    </row>
    <row r="339" spans="1:6" ht="12" thickBot="1">
      <c r="A339" s="216">
        <v>39454</v>
      </c>
      <c r="B339" s="217">
        <v>39460</v>
      </c>
      <c r="C339" s="218">
        <v>8.9499999999999996E-2</v>
      </c>
      <c r="D339" s="218">
        <v>9.0300000000000005E-2</v>
      </c>
      <c r="E339" s="218">
        <v>8.8800000000000004E-2</v>
      </c>
      <c r="F339" s="220"/>
    </row>
    <row r="340" spans="1:6" ht="12" thickBot="1">
      <c r="A340" s="216">
        <v>39447</v>
      </c>
      <c r="B340" s="217">
        <v>39453</v>
      </c>
      <c r="C340" s="218">
        <v>9.1499999999999998E-2</v>
      </c>
      <c r="D340" s="218">
        <v>8.8499999999999995E-2</v>
      </c>
      <c r="E340" s="218">
        <v>9.0200000000000002E-2</v>
      </c>
      <c r="F340" s="219">
        <v>6.8699999999999997E-2</v>
      </c>
    </row>
    <row r="341" spans="1:6" ht="12" thickBot="1">
      <c r="A341" s="216">
        <v>39440</v>
      </c>
      <c r="B341" s="217">
        <v>39446</v>
      </c>
      <c r="C341" s="218">
        <v>9.01E-2</v>
      </c>
      <c r="D341" s="218">
        <v>8.8400000000000006E-2</v>
      </c>
      <c r="E341" s="218">
        <v>8.4599999999999995E-2</v>
      </c>
      <c r="F341" s="219">
        <v>3.5000000000000003E-2</v>
      </c>
    </row>
    <row r="342" spans="1:6" ht="12" thickBot="1">
      <c r="A342" s="216">
        <v>39433</v>
      </c>
      <c r="B342" s="217">
        <v>39439</v>
      </c>
      <c r="C342" s="218">
        <v>8.8999999999999996E-2</v>
      </c>
      <c r="D342" s="218">
        <v>8.8499999999999995E-2</v>
      </c>
      <c r="E342" s="218">
        <v>9.6600000000000005E-2</v>
      </c>
      <c r="F342" s="220"/>
    </row>
    <row r="343" spans="1:6" ht="12" thickBot="1">
      <c r="A343" s="216">
        <v>39426</v>
      </c>
      <c r="B343" s="217">
        <v>39432</v>
      </c>
      <c r="C343" s="218">
        <v>8.6900000000000005E-2</v>
      </c>
      <c r="D343" s="218">
        <v>8.8900000000000007E-2</v>
      </c>
      <c r="E343" s="218">
        <v>8.7400000000000005E-2</v>
      </c>
      <c r="F343" s="219">
        <v>8.5000000000000006E-2</v>
      </c>
    </row>
    <row r="344" spans="1:6" ht="12" thickBot="1">
      <c r="A344" s="216">
        <v>39419</v>
      </c>
      <c r="B344" s="217">
        <v>39425</v>
      </c>
      <c r="C344" s="218">
        <v>8.6499999999999994E-2</v>
      </c>
      <c r="D344" s="218">
        <v>8.9700000000000002E-2</v>
      </c>
      <c r="E344" s="218">
        <v>9.1600000000000001E-2</v>
      </c>
      <c r="F344" s="219">
        <v>3.5000000000000003E-2</v>
      </c>
    </row>
    <row r="345" spans="1:6" ht="12" thickBot="1">
      <c r="A345" s="216">
        <v>39412</v>
      </c>
      <c r="B345" s="217">
        <v>39418</v>
      </c>
      <c r="C345" s="218">
        <v>8.5599999999999996E-2</v>
      </c>
      <c r="D345" s="218">
        <v>8.9800000000000005E-2</v>
      </c>
      <c r="E345" s="218">
        <v>8.8900000000000007E-2</v>
      </c>
      <c r="F345" s="220"/>
    </row>
    <row r="346" spans="1:6" ht="12" thickBot="1">
      <c r="A346" s="216">
        <v>39405</v>
      </c>
      <c r="B346" s="217">
        <v>39411</v>
      </c>
      <c r="C346" s="218">
        <v>8.8300000000000003E-2</v>
      </c>
      <c r="D346" s="218">
        <v>9.2700000000000005E-2</v>
      </c>
      <c r="E346" s="218">
        <v>9.1800000000000007E-2</v>
      </c>
      <c r="F346" s="219">
        <v>5.3400000000000003E-2</v>
      </c>
    </row>
    <row r="347" spans="1:6" ht="12" thickBot="1">
      <c r="A347" s="216">
        <v>39398</v>
      </c>
      <c r="B347" s="217">
        <v>39404</v>
      </c>
      <c r="C347" s="218">
        <v>8.6499999999999994E-2</v>
      </c>
      <c r="D347" s="218">
        <v>9.0800000000000006E-2</v>
      </c>
      <c r="E347" s="218">
        <v>8.72E-2</v>
      </c>
      <c r="F347" s="220"/>
    </row>
    <row r="348" spans="1:6" ht="12" thickBot="1">
      <c r="A348" s="216">
        <v>39391</v>
      </c>
      <c r="B348" s="217">
        <v>39397</v>
      </c>
      <c r="C348" s="218">
        <v>8.6900000000000005E-2</v>
      </c>
      <c r="D348" s="218">
        <v>8.7400000000000005E-2</v>
      </c>
      <c r="E348" s="218">
        <v>7.6999999999999999E-2</v>
      </c>
      <c r="F348" s="219">
        <v>6.5000000000000002E-2</v>
      </c>
    </row>
    <row r="349" spans="1:6" ht="12" thickBot="1">
      <c r="A349" s="216">
        <v>39384</v>
      </c>
      <c r="B349" s="217">
        <v>39390</v>
      </c>
      <c r="C349" s="218">
        <v>8.8400000000000006E-2</v>
      </c>
      <c r="D349" s="218">
        <v>8.8599999999999998E-2</v>
      </c>
      <c r="E349" s="218">
        <v>7.9000000000000001E-2</v>
      </c>
      <c r="F349" s="219">
        <v>8.0799999999999997E-2</v>
      </c>
    </row>
    <row r="350" spans="1:6" ht="12" thickBot="1">
      <c r="A350" s="216">
        <v>39377</v>
      </c>
      <c r="B350" s="217">
        <v>39383</v>
      </c>
      <c r="C350" s="218">
        <v>8.6900000000000005E-2</v>
      </c>
      <c r="D350" s="218">
        <v>8.9399999999999993E-2</v>
      </c>
      <c r="E350" s="218">
        <v>8.8700000000000001E-2</v>
      </c>
      <c r="F350" s="219">
        <v>4.6899999999999997E-2</v>
      </c>
    </row>
    <row r="351" spans="1:6" ht="12" thickBot="1">
      <c r="A351" s="216">
        <v>39370</v>
      </c>
      <c r="B351" s="217">
        <v>39376</v>
      </c>
      <c r="C351" s="218">
        <v>8.3099999999999993E-2</v>
      </c>
      <c r="D351" s="218">
        <v>8.7099999999999997E-2</v>
      </c>
      <c r="E351" s="218">
        <v>8.72E-2</v>
      </c>
      <c r="F351" s="220"/>
    </row>
    <row r="352" spans="1:6" ht="12" thickBot="1">
      <c r="A352" s="216">
        <v>39363</v>
      </c>
      <c r="B352" s="217">
        <v>39369</v>
      </c>
      <c r="C352" s="218">
        <v>8.4199999999999997E-2</v>
      </c>
      <c r="D352" s="218">
        <v>8.6400000000000005E-2</v>
      </c>
      <c r="E352" s="218">
        <v>9.3899999999999997E-2</v>
      </c>
      <c r="F352" s="220"/>
    </row>
    <row r="353" spans="1:6" ht="12" thickBot="1">
      <c r="A353" s="216">
        <v>39356</v>
      </c>
      <c r="B353" s="217">
        <v>39362</v>
      </c>
      <c r="C353" s="218">
        <v>8.77E-2</v>
      </c>
      <c r="D353" s="218">
        <v>8.5900000000000004E-2</v>
      </c>
      <c r="E353" s="218">
        <v>8.8099999999999998E-2</v>
      </c>
      <c r="F353" s="219">
        <v>6.88E-2</v>
      </c>
    </row>
    <row r="354" spans="1:6" ht="12" thickBot="1">
      <c r="A354" s="216">
        <v>39349</v>
      </c>
      <c r="B354" s="217">
        <v>39355</v>
      </c>
      <c r="C354" s="218">
        <v>8.8800000000000004E-2</v>
      </c>
      <c r="D354" s="218">
        <v>9.0499999999999997E-2</v>
      </c>
      <c r="E354" s="218">
        <v>8.5500000000000007E-2</v>
      </c>
      <c r="F354" s="219">
        <v>3.5000000000000003E-2</v>
      </c>
    </row>
    <row r="355" spans="1:6" ht="12" thickBot="1">
      <c r="A355" s="216">
        <v>39342</v>
      </c>
      <c r="B355" s="217">
        <v>39348</v>
      </c>
      <c r="C355" s="218">
        <v>8.8999999999999996E-2</v>
      </c>
      <c r="D355" s="218">
        <v>8.8900000000000007E-2</v>
      </c>
      <c r="E355" s="218">
        <v>8.8800000000000004E-2</v>
      </c>
      <c r="F355" s="220"/>
    </row>
    <row r="356" spans="1:6" ht="12" thickBot="1">
      <c r="A356" s="216">
        <v>39335</v>
      </c>
      <c r="B356" s="217">
        <v>39341</v>
      </c>
      <c r="C356" s="218">
        <v>8.9599999999999999E-2</v>
      </c>
      <c r="D356" s="218">
        <v>8.5099999999999995E-2</v>
      </c>
      <c r="E356" s="218">
        <v>8.3400000000000002E-2</v>
      </c>
      <c r="F356" s="219">
        <v>8.3500000000000005E-2</v>
      </c>
    </row>
    <row r="357" spans="1:6" ht="12" thickBot="1">
      <c r="A357" s="216">
        <v>39328</v>
      </c>
      <c r="B357" s="217">
        <v>39334</v>
      </c>
      <c r="C357" s="218">
        <v>8.5300000000000001E-2</v>
      </c>
      <c r="D357" s="218">
        <v>8.3900000000000002E-2</v>
      </c>
      <c r="E357" s="218">
        <v>8.8599999999999998E-2</v>
      </c>
      <c r="F357" s="219">
        <v>3.5000000000000003E-2</v>
      </c>
    </row>
    <row r="358" spans="1:6" ht="12" thickBot="1">
      <c r="A358" s="216">
        <v>39321</v>
      </c>
      <c r="B358" s="217">
        <v>39327</v>
      </c>
      <c r="C358" s="218">
        <v>8.43E-2</v>
      </c>
      <c r="D358" s="218">
        <v>8.2600000000000007E-2</v>
      </c>
      <c r="E358" s="218">
        <v>8.6199999999999999E-2</v>
      </c>
      <c r="F358" s="220"/>
    </row>
    <row r="359" spans="1:6" ht="12" thickBot="1">
      <c r="A359" s="216">
        <v>39314</v>
      </c>
      <c r="B359" s="217">
        <v>39320</v>
      </c>
      <c r="C359" s="218">
        <v>8.4400000000000003E-2</v>
      </c>
      <c r="D359" s="218">
        <v>8.48E-2</v>
      </c>
      <c r="E359" s="218">
        <v>8.6300000000000002E-2</v>
      </c>
      <c r="F359" s="220"/>
    </row>
    <row r="360" spans="1:6" ht="12" thickBot="1">
      <c r="A360" s="216">
        <v>39307</v>
      </c>
      <c r="B360" s="217">
        <v>39313</v>
      </c>
      <c r="C360" s="218">
        <v>8.7800000000000003E-2</v>
      </c>
      <c r="D360" s="218">
        <v>8.2299999999999998E-2</v>
      </c>
      <c r="E360" s="218">
        <v>8.6499999999999994E-2</v>
      </c>
      <c r="F360" s="220"/>
    </row>
    <row r="361" spans="1:6" ht="12" thickBot="1">
      <c r="A361" s="216">
        <v>39300</v>
      </c>
      <c r="B361" s="217">
        <v>39306</v>
      </c>
      <c r="C361" s="218">
        <v>8.2299999999999998E-2</v>
      </c>
      <c r="D361" s="218">
        <v>8.2799999999999999E-2</v>
      </c>
      <c r="E361" s="218">
        <v>9.0200000000000002E-2</v>
      </c>
      <c r="F361" s="219">
        <v>6.0600000000000001E-2</v>
      </c>
    </row>
    <row r="362" spans="1:6" ht="12" thickBot="1">
      <c r="A362" s="216">
        <v>39293</v>
      </c>
      <c r="B362" s="217">
        <v>39299</v>
      </c>
      <c r="C362" s="218">
        <v>8.3799999999999999E-2</v>
      </c>
      <c r="D362" s="218">
        <v>7.8600000000000003E-2</v>
      </c>
      <c r="E362" s="218">
        <v>8.1699999999999995E-2</v>
      </c>
      <c r="F362" s="219">
        <v>7.8E-2</v>
      </c>
    </row>
    <row r="363" spans="1:6" ht="12" thickBot="1">
      <c r="A363" s="216">
        <v>39286</v>
      </c>
      <c r="B363" s="217">
        <v>39292</v>
      </c>
      <c r="C363" s="218">
        <v>8.1900000000000001E-2</v>
      </c>
      <c r="D363" s="218">
        <v>7.7499999999999999E-2</v>
      </c>
      <c r="E363" s="218">
        <v>8.4400000000000003E-2</v>
      </c>
      <c r="F363" s="220"/>
    </row>
    <row r="364" spans="1:6" ht="12" thickBot="1">
      <c r="A364" s="216">
        <v>39279</v>
      </c>
      <c r="B364" s="217">
        <v>39285</v>
      </c>
      <c r="C364" s="218">
        <v>8.3500000000000005E-2</v>
      </c>
      <c r="D364" s="218">
        <v>7.6499999999999999E-2</v>
      </c>
      <c r="E364" s="218">
        <v>8.0100000000000005E-2</v>
      </c>
      <c r="F364" s="220"/>
    </row>
    <row r="365" spans="1:6" ht="12" thickBot="1">
      <c r="A365" s="216">
        <v>39272</v>
      </c>
      <c r="B365" s="217">
        <v>39278</v>
      </c>
      <c r="C365" s="218">
        <v>8.1600000000000006E-2</v>
      </c>
      <c r="D365" s="218">
        <v>7.4399999999999994E-2</v>
      </c>
      <c r="E365" s="218">
        <v>7.1800000000000003E-2</v>
      </c>
      <c r="F365" s="220"/>
    </row>
    <row r="366" spans="1:6" ht="12" thickBot="1">
      <c r="A366" s="216">
        <v>39265</v>
      </c>
      <c r="B366" s="217">
        <v>39271</v>
      </c>
      <c r="C366" s="218">
        <v>8.3799999999999999E-2</v>
      </c>
      <c r="D366" s="218">
        <v>7.6300000000000007E-2</v>
      </c>
      <c r="E366" s="218">
        <v>7.0300000000000001E-2</v>
      </c>
      <c r="F366" s="219">
        <v>6.2E-2</v>
      </c>
    </row>
    <row r="367" spans="1:6" ht="12" thickBot="1">
      <c r="A367" s="216">
        <v>39258</v>
      </c>
      <c r="B367" s="217">
        <v>39264</v>
      </c>
      <c r="C367" s="218">
        <v>7.9299999999999995E-2</v>
      </c>
      <c r="D367" s="218">
        <v>7.7499999999999999E-2</v>
      </c>
      <c r="E367" s="218">
        <v>7.1900000000000006E-2</v>
      </c>
      <c r="F367" s="220"/>
    </row>
    <row r="368" spans="1:6" ht="12" thickBot="1">
      <c r="A368" s="216">
        <v>39251</v>
      </c>
      <c r="B368" s="217">
        <v>39257</v>
      </c>
      <c r="C368" s="218">
        <v>7.9799999999999996E-2</v>
      </c>
      <c r="D368" s="218">
        <v>7.8700000000000006E-2</v>
      </c>
      <c r="E368" s="218">
        <v>8.8400000000000006E-2</v>
      </c>
      <c r="F368" s="219">
        <v>5.2999999999999999E-2</v>
      </c>
    </row>
    <row r="369" spans="1:6" ht="12" thickBot="1">
      <c r="A369" s="216">
        <v>39244</v>
      </c>
      <c r="B369" s="217">
        <v>39250</v>
      </c>
      <c r="C369" s="218">
        <v>7.5999999999999998E-2</v>
      </c>
      <c r="D369" s="218">
        <v>7.6300000000000007E-2</v>
      </c>
      <c r="E369" s="218">
        <v>8.2699999999999996E-2</v>
      </c>
      <c r="F369" s="220"/>
    </row>
    <row r="370" spans="1:6" ht="12" thickBot="1">
      <c r="A370" s="216">
        <v>39237</v>
      </c>
      <c r="B370" s="217">
        <v>39243</v>
      </c>
      <c r="C370" s="218">
        <v>7.7799999999999994E-2</v>
      </c>
      <c r="D370" s="218">
        <v>7.8E-2</v>
      </c>
      <c r="E370" s="218">
        <v>8.3900000000000002E-2</v>
      </c>
      <c r="F370" s="219">
        <v>3.6400000000000002E-2</v>
      </c>
    </row>
    <row r="371" spans="1:6" ht="12" thickBot="1">
      <c r="A371" s="216">
        <v>39230</v>
      </c>
      <c r="B371" s="217">
        <v>39236</v>
      </c>
      <c r="C371" s="218">
        <v>7.7299999999999994E-2</v>
      </c>
      <c r="D371" s="218">
        <v>7.6799999999999993E-2</v>
      </c>
      <c r="E371" s="218">
        <v>7.0599999999999996E-2</v>
      </c>
      <c r="F371" s="219">
        <v>5.6000000000000001E-2</v>
      </c>
    </row>
    <row r="372" spans="1:6" ht="12" thickBot="1">
      <c r="A372" s="216">
        <v>39223</v>
      </c>
      <c r="B372" s="217">
        <v>39229</v>
      </c>
      <c r="C372" s="218">
        <v>7.6100000000000001E-2</v>
      </c>
      <c r="D372" s="218">
        <v>7.6999999999999999E-2</v>
      </c>
      <c r="E372" s="218">
        <v>6.5500000000000003E-2</v>
      </c>
      <c r="F372" s="219">
        <v>8.6699999999999999E-2</v>
      </c>
    </row>
    <row r="373" spans="1:6" ht="12" thickBot="1">
      <c r="A373" s="216">
        <v>39216</v>
      </c>
      <c r="B373" s="217">
        <v>39222</v>
      </c>
      <c r="C373" s="218">
        <v>7.3599999999999999E-2</v>
      </c>
      <c r="D373" s="218">
        <v>7.51E-2</v>
      </c>
      <c r="E373" s="218">
        <v>6.6100000000000006E-2</v>
      </c>
      <c r="F373" s="219">
        <v>5.6000000000000001E-2</v>
      </c>
    </row>
    <row r="374" spans="1:6" ht="12" thickBot="1">
      <c r="A374" s="216">
        <v>39209</v>
      </c>
      <c r="B374" s="217">
        <v>39215</v>
      </c>
      <c r="C374" s="218">
        <v>7.6200000000000004E-2</v>
      </c>
      <c r="D374" s="218">
        <v>7.4700000000000003E-2</v>
      </c>
      <c r="E374" s="218">
        <v>7.4899999999999994E-2</v>
      </c>
      <c r="F374" s="219">
        <v>6.08E-2</v>
      </c>
    </row>
    <row r="375" spans="1:6" ht="12" thickBot="1">
      <c r="A375" s="216">
        <v>39202</v>
      </c>
      <c r="B375" s="217">
        <v>39208</v>
      </c>
      <c r="C375" s="218">
        <v>7.4300000000000005E-2</v>
      </c>
      <c r="D375" s="218">
        <v>7.5200000000000003E-2</v>
      </c>
      <c r="E375" s="218">
        <v>7.6399999999999996E-2</v>
      </c>
      <c r="F375" s="219">
        <v>6.7000000000000004E-2</v>
      </c>
    </row>
    <row r="376" spans="1:6" ht="12" thickBot="1">
      <c r="A376" s="216">
        <v>39195</v>
      </c>
      <c r="B376" s="217">
        <v>39201</v>
      </c>
      <c r="C376" s="218">
        <v>7.4999999999999997E-2</v>
      </c>
      <c r="D376" s="218">
        <v>7.6799999999999993E-2</v>
      </c>
      <c r="E376" s="218">
        <v>7.8299999999999995E-2</v>
      </c>
      <c r="F376" s="219">
        <v>6.7000000000000004E-2</v>
      </c>
    </row>
    <row r="377" spans="1:6" ht="12" thickBot="1">
      <c r="A377" s="216">
        <v>39188</v>
      </c>
      <c r="B377" s="217">
        <v>39194</v>
      </c>
      <c r="C377" s="218">
        <v>7.3899999999999993E-2</v>
      </c>
      <c r="D377" s="218">
        <v>7.51E-2</v>
      </c>
      <c r="E377" s="218">
        <v>7.6600000000000001E-2</v>
      </c>
      <c r="F377" s="220"/>
    </row>
    <row r="378" spans="1:6" ht="12" thickBot="1">
      <c r="A378" s="216">
        <v>39181</v>
      </c>
      <c r="B378" s="217">
        <v>39187</v>
      </c>
      <c r="C378" s="218">
        <v>7.3700000000000002E-2</v>
      </c>
      <c r="D378" s="218">
        <v>7.4099999999999999E-2</v>
      </c>
      <c r="E378" s="218">
        <v>8.0299999999999996E-2</v>
      </c>
      <c r="F378" s="220"/>
    </row>
    <row r="379" spans="1:6" ht="12" thickBot="1">
      <c r="A379" s="216">
        <v>39174</v>
      </c>
      <c r="B379" s="217">
        <v>39180</v>
      </c>
      <c r="C379" s="218">
        <v>7.4399999999999994E-2</v>
      </c>
      <c r="D379" s="218">
        <v>7.4499999999999997E-2</v>
      </c>
      <c r="E379" s="218">
        <v>8.2199999999999995E-2</v>
      </c>
      <c r="F379" s="219">
        <v>5.8900000000000001E-2</v>
      </c>
    </row>
    <row r="380" spans="1:6" ht="12" thickBot="1">
      <c r="A380" s="216">
        <v>39167</v>
      </c>
      <c r="B380" s="217">
        <v>39173</v>
      </c>
      <c r="C380" s="218">
        <v>7.5999999999999998E-2</v>
      </c>
      <c r="D380" s="218">
        <v>7.6200000000000004E-2</v>
      </c>
      <c r="E380" s="218">
        <v>7.6799999999999993E-2</v>
      </c>
      <c r="F380" s="219">
        <v>6.5000000000000002E-2</v>
      </c>
    </row>
    <row r="381" spans="1:6" ht="12" thickBot="1">
      <c r="A381" s="216">
        <v>39160</v>
      </c>
      <c r="B381" s="217">
        <v>39166</v>
      </c>
      <c r="C381" s="218">
        <v>7.6600000000000001E-2</v>
      </c>
      <c r="D381" s="218">
        <v>7.4999999999999997E-2</v>
      </c>
      <c r="E381" s="218">
        <v>8.5400000000000004E-2</v>
      </c>
      <c r="F381" s="220"/>
    </row>
    <row r="382" spans="1:6" ht="12" thickBot="1">
      <c r="A382" s="216">
        <v>39153</v>
      </c>
      <c r="B382" s="217">
        <v>39159</v>
      </c>
      <c r="C382" s="218">
        <v>7.2800000000000004E-2</v>
      </c>
      <c r="D382" s="218">
        <v>7.2800000000000004E-2</v>
      </c>
      <c r="E382" s="218">
        <v>7.8299999999999995E-2</v>
      </c>
      <c r="F382" s="219">
        <v>7.1099999999999997E-2</v>
      </c>
    </row>
    <row r="383" spans="1:6" ht="12" thickBot="1">
      <c r="A383" s="216">
        <v>39146</v>
      </c>
      <c r="B383" s="217">
        <v>39152</v>
      </c>
      <c r="C383" s="218">
        <v>7.0999999999999994E-2</v>
      </c>
      <c r="D383" s="218">
        <v>7.1900000000000006E-2</v>
      </c>
      <c r="E383" s="218">
        <v>7.7399999999999997E-2</v>
      </c>
      <c r="F383" s="219">
        <v>6.9500000000000006E-2</v>
      </c>
    </row>
    <row r="384" spans="1:6" ht="12" thickBot="1">
      <c r="A384" s="216">
        <v>39139</v>
      </c>
      <c r="B384" s="217">
        <v>39145</v>
      </c>
      <c r="C384" s="218">
        <v>6.6600000000000006E-2</v>
      </c>
      <c r="D384" s="218">
        <v>6.9800000000000001E-2</v>
      </c>
      <c r="E384" s="218">
        <v>8.1299999999999997E-2</v>
      </c>
      <c r="F384" s="219">
        <v>6.5000000000000002E-2</v>
      </c>
    </row>
    <row r="385" spans="1:6" ht="12" thickBot="1">
      <c r="A385" s="216">
        <v>39132</v>
      </c>
      <c r="B385" s="217">
        <v>39138</v>
      </c>
      <c r="C385" s="218">
        <v>6.9400000000000003E-2</v>
      </c>
      <c r="D385" s="218">
        <v>7.1199999999999999E-2</v>
      </c>
      <c r="E385" s="218">
        <v>7.7399999999999997E-2</v>
      </c>
      <c r="F385" s="219">
        <v>6.5000000000000002E-2</v>
      </c>
    </row>
    <row r="386" spans="1:6" ht="12" thickBot="1">
      <c r="A386" s="216">
        <v>39125</v>
      </c>
      <c r="B386" s="217">
        <v>39131</v>
      </c>
      <c r="C386" s="218">
        <v>6.6000000000000003E-2</v>
      </c>
      <c r="D386" s="218">
        <v>7.0300000000000001E-2</v>
      </c>
      <c r="E386" s="218">
        <v>7.5399999999999995E-2</v>
      </c>
      <c r="F386" s="219">
        <v>6.8500000000000005E-2</v>
      </c>
    </row>
    <row r="387" spans="1:6" ht="12" thickBot="1">
      <c r="A387" s="216">
        <v>39118</v>
      </c>
      <c r="B387" s="217">
        <v>39124</v>
      </c>
      <c r="C387" s="218">
        <v>6.9000000000000006E-2</v>
      </c>
      <c r="D387" s="218">
        <v>7.2900000000000006E-2</v>
      </c>
      <c r="E387" s="218">
        <v>7.6700000000000004E-2</v>
      </c>
      <c r="F387" s="220"/>
    </row>
    <row r="388" spans="1:6" ht="12" thickBot="1">
      <c r="A388" s="216">
        <v>39111</v>
      </c>
      <c r="B388" s="217">
        <v>39117</v>
      </c>
      <c r="C388" s="218">
        <v>6.8199999999999997E-2</v>
      </c>
      <c r="D388" s="218">
        <v>7.1900000000000006E-2</v>
      </c>
      <c r="E388" s="218">
        <v>7.4300000000000005E-2</v>
      </c>
      <c r="F388" s="219">
        <v>6.6500000000000004E-2</v>
      </c>
    </row>
    <row r="389" spans="1:6" ht="12" thickBot="1">
      <c r="A389" s="216">
        <v>39104</v>
      </c>
      <c r="B389" s="217">
        <v>39110</v>
      </c>
      <c r="C389" s="218">
        <v>6.8099999999999994E-2</v>
      </c>
      <c r="D389" s="218">
        <v>7.0599999999999996E-2</v>
      </c>
      <c r="E389" s="218">
        <v>7.4899999999999994E-2</v>
      </c>
      <c r="F389" s="220"/>
    </row>
    <row r="390" spans="1:6" ht="12" thickBot="1">
      <c r="A390" s="216">
        <v>39097</v>
      </c>
      <c r="B390" s="217">
        <v>39103</v>
      </c>
      <c r="C390" s="218">
        <v>6.7100000000000007E-2</v>
      </c>
      <c r="D390" s="218">
        <v>7.0499999999999993E-2</v>
      </c>
      <c r="E390" s="218">
        <v>7.1499999999999994E-2</v>
      </c>
      <c r="F390" s="219">
        <v>6.8000000000000005E-2</v>
      </c>
    </row>
    <row r="391" spans="1:6" ht="12" thickBot="1">
      <c r="A391" s="216">
        <v>39090</v>
      </c>
      <c r="B391" s="217">
        <v>39096</v>
      </c>
      <c r="C391" s="218">
        <v>6.6900000000000001E-2</v>
      </c>
      <c r="D391" s="218">
        <v>6.8699999999999997E-2</v>
      </c>
      <c r="E391" s="218">
        <v>7.85E-2</v>
      </c>
      <c r="F391" s="220"/>
    </row>
    <row r="392" spans="1:6" ht="12" thickBot="1">
      <c r="A392" s="216">
        <v>39083</v>
      </c>
      <c r="B392" s="217">
        <v>39089</v>
      </c>
      <c r="C392" s="218">
        <v>6.7599999999999993E-2</v>
      </c>
      <c r="D392" s="218">
        <v>7.2700000000000001E-2</v>
      </c>
      <c r="E392" s="218">
        <v>7.5300000000000006E-2</v>
      </c>
      <c r="F392" s="219">
        <v>6.6000000000000003E-2</v>
      </c>
    </row>
    <row r="393" spans="1:6" ht="12" thickBot="1">
      <c r="A393" s="216">
        <v>39076</v>
      </c>
      <c r="B393" s="217">
        <v>39082</v>
      </c>
      <c r="C393" s="218">
        <v>6.8199999999999997E-2</v>
      </c>
      <c r="D393" s="218">
        <v>7.0999999999999994E-2</v>
      </c>
      <c r="E393" s="218">
        <v>7.8299999999999995E-2</v>
      </c>
      <c r="F393" s="219">
        <v>6.6699999999999995E-2</v>
      </c>
    </row>
    <row r="394" spans="1:6" ht="12" thickBot="1">
      <c r="A394" s="216">
        <v>39069</v>
      </c>
      <c r="B394" s="217">
        <v>39075</v>
      </c>
      <c r="C394" s="218">
        <v>6.83E-2</v>
      </c>
      <c r="D394" s="218">
        <v>7.1800000000000003E-2</v>
      </c>
      <c r="E394" s="218">
        <v>7.46E-2</v>
      </c>
      <c r="F394" s="219">
        <v>6.88E-2</v>
      </c>
    </row>
    <row r="395" spans="1:6" ht="12" thickBot="1">
      <c r="A395" s="216">
        <v>39062</v>
      </c>
      <c r="B395" s="217">
        <v>39068</v>
      </c>
      <c r="C395" s="218">
        <v>6.5199999999999994E-2</v>
      </c>
      <c r="D395" s="218">
        <v>7.1400000000000005E-2</v>
      </c>
      <c r="E395" s="218">
        <v>7.0800000000000002E-2</v>
      </c>
      <c r="F395" s="219">
        <v>6.7400000000000002E-2</v>
      </c>
    </row>
    <row r="396" spans="1:6" ht="12" thickBot="1">
      <c r="A396" s="216">
        <v>39055</v>
      </c>
      <c r="B396" s="217">
        <v>39061</v>
      </c>
      <c r="C396" s="218">
        <v>6.4699999999999994E-2</v>
      </c>
      <c r="D396" s="218">
        <v>7.1800000000000003E-2</v>
      </c>
      <c r="E396" s="218">
        <v>7.2999999999999995E-2</v>
      </c>
      <c r="F396" s="219">
        <v>6.7000000000000004E-2</v>
      </c>
    </row>
    <row r="397" spans="1:6" ht="12" thickBot="1">
      <c r="A397" s="216">
        <v>39048</v>
      </c>
      <c r="B397" s="217">
        <v>39054</v>
      </c>
      <c r="C397" s="218">
        <v>6.7000000000000004E-2</v>
      </c>
      <c r="D397" s="218">
        <v>7.0000000000000007E-2</v>
      </c>
      <c r="E397" s="218">
        <v>7.5499999999999998E-2</v>
      </c>
      <c r="F397" s="219">
        <v>6.6299999999999998E-2</v>
      </c>
    </row>
    <row r="398" spans="1:6" ht="12" thickBot="1">
      <c r="A398" s="216">
        <v>39041</v>
      </c>
      <c r="B398" s="217">
        <v>39047</v>
      </c>
      <c r="C398" s="218">
        <v>6.7699999999999996E-2</v>
      </c>
      <c r="D398" s="218">
        <v>7.2300000000000003E-2</v>
      </c>
      <c r="E398" s="218">
        <v>6.8599999999999994E-2</v>
      </c>
      <c r="F398" s="219">
        <v>6.7100000000000007E-2</v>
      </c>
    </row>
    <row r="399" spans="1:6" ht="12" thickBot="1">
      <c r="A399" s="216">
        <v>39034</v>
      </c>
      <c r="B399" s="217">
        <v>39040</v>
      </c>
      <c r="C399" s="218">
        <v>6.7000000000000004E-2</v>
      </c>
      <c r="D399" s="218">
        <v>7.2499999999999995E-2</v>
      </c>
      <c r="E399" s="218">
        <v>6.3600000000000004E-2</v>
      </c>
      <c r="F399" s="219">
        <v>6.6699999999999995E-2</v>
      </c>
    </row>
    <row r="400" spans="1:6" ht="12" thickBot="1">
      <c r="A400" s="216">
        <v>39027</v>
      </c>
      <c r="B400" s="217">
        <v>39033</v>
      </c>
      <c r="C400" s="218">
        <v>6.4899999999999999E-2</v>
      </c>
      <c r="D400" s="218">
        <v>7.46E-2</v>
      </c>
      <c r="E400" s="218">
        <v>6.4100000000000004E-2</v>
      </c>
      <c r="F400" s="219">
        <v>6.7699999999999996E-2</v>
      </c>
    </row>
    <row r="401" spans="1:6" ht="12" thickBot="1">
      <c r="A401" s="216">
        <v>39020</v>
      </c>
      <c r="B401" s="217">
        <v>39026</v>
      </c>
      <c r="C401" s="218">
        <v>6.6799999999999998E-2</v>
      </c>
      <c r="D401" s="218">
        <v>7.0699999999999999E-2</v>
      </c>
      <c r="E401" s="218">
        <v>5.9499999999999997E-2</v>
      </c>
      <c r="F401" s="219">
        <v>6.7400000000000002E-2</v>
      </c>
    </row>
    <row r="402" spans="1:6" ht="12" thickBot="1">
      <c r="A402" s="216">
        <v>39013</v>
      </c>
      <c r="B402" s="217">
        <v>39019</v>
      </c>
      <c r="C402" s="218">
        <v>6.4299999999999996E-2</v>
      </c>
      <c r="D402" s="218">
        <v>7.0000000000000007E-2</v>
      </c>
      <c r="E402" s="218">
        <v>5.7700000000000001E-2</v>
      </c>
      <c r="F402" s="219">
        <v>6.6900000000000001E-2</v>
      </c>
    </row>
    <row r="403" spans="1:6" ht="12" thickBot="1">
      <c r="A403" s="216">
        <v>39006</v>
      </c>
      <c r="B403" s="217">
        <v>39012</v>
      </c>
      <c r="C403" s="218">
        <v>6.2300000000000001E-2</v>
      </c>
      <c r="D403" s="218">
        <v>7.0000000000000007E-2</v>
      </c>
      <c r="E403" s="218">
        <v>5.5500000000000001E-2</v>
      </c>
      <c r="F403" s="219">
        <v>6.6900000000000001E-2</v>
      </c>
    </row>
    <row r="404" spans="1:6" ht="12" thickBot="1">
      <c r="A404" s="216">
        <v>38999</v>
      </c>
      <c r="B404" s="217">
        <v>39005</v>
      </c>
      <c r="C404" s="218">
        <v>6.2199999999999998E-2</v>
      </c>
      <c r="D404" s="218">
        <v>6.8500000000000005E-2</v>
      </c>
      <c r="E404" s="218">
        <v>6.8500000000000005E-2</v>
      </c>
      <c r="F404" s="219">
        <v>7.1400000000000005E-2</v>
      </c>
    </row>
    <row r="405" spans="1:6" ht="12" thickBot="1">
      <c r="A405" s="216">
        <v>38992</v>
      </c>
      <c r="B405" s="217">
        <v>38998</v>
      </c>
      <c r="C405" s="218">
        <v>6.2899999999999998E-2</v>
      </c>
      <c r="D405" s="218">
        <v>6.83E-2</v>
      </c>
      <c r="E405" s="218">
        <v>7.6499999999999999E-2</v>
      </c>
      <c r="F405" s="219">
        <v>6.7199999999999996E-2</v>
      </c>
    </row>
    <row r="406" spans="1:6" ht="12" thickBot="1">
      <c r="A406" s="216">
        <v>38985</v>
      </c>
      <c r="B406" s="217">
        <v>38991</v>
      </c>
      <c r="C406" s="218">
        <v>6.5299999999999997E-2</v>
      </c>
      <c r="D406" s="218">
        <v>7.0400000000000004E-2</v>
      </c>
      <c r="E406" s="218">
        <v>7.3599999999999999E-2</v>
      </c>
      <c r="F406" s="219">
        <v>6.8900000000000003E-2</v>
      </c>
    </row>
    <row r="407" spans="1:6" ht="12" thickBot="1">
      <c r="A407" s="216">
        <v>38978</v>
      </c>
      <c r="B407" s="217">
        <v>38984</v>
      </c>
      <c r="C407" s="218">
        <v>6.3200000000000006E-2</v>
      </c>
      <c r="D407" s="218">
        <v>6.8699999999999997E-2</v>
      </c>
      <c r="E407" s="218">
        <v>7.3099999999999998E-2</v>
      </c>
      <c r="F407" s="219">
        <v>6.6500000000000004E-2</v>
      </c>
    </row>
    <row r="408" spans="1:6" ht="12" thickBot="1">
      <c r="A408" s="216">
        <v>38971</v>
      </c>
      <c r="B408" s="217">
        <v>38977</v>
      </c>
      <c r="C408" s="218">
        <v>6.5000000000000002E-2</v>
      </c>
      <c r="D408" s="218">
        <v>6.8500000000000005E-2</v>
      </c>
      <c r="E408" s="218">
        <v>6.9599999999999995E-2</v>
      </c>
      <c r="F408" s="219">
        <v>6.7599999999999993E-2</v>
      </c>
    </row>
    <row r="409" spans="1:6" ht="12" thickBot="1">
      <c r="A409" s="216">
        <v>38964</v>
      </c>
      <c r="B409" s="217">
        <v>38970</v>
      </c>
      <c r="C409" s="218">
        <v>6.2700000000000006E-2</v>
      </c>
      <c r="D409" s="218">
        <v>6.7199999999999996E-2</v>
      </c>
      <c r="E409" s="218">
        <v>7.2099999999999997E-2</v>
      </c>
      <c r="F409" s="219">
        <v>6.6699999999999995E-2</v>
      </c>
    </row>
    <row r="410" spans="1:6" ht="12" thickBot="1">
      <c r="A410" s="216">
        <v>38957</v>
      </c>
      <c r="B410" s="217">
        <v>38963</v>
      </c>
      <c r="C410" s="218">
        <v>6.1600000000000002E-2</v>
      </c>
      <c r="D410" s="218">
        <v>6.8000000000000005E-2</v>
      </c>
      <c r="E410" s="218">
        <v>7.4499999999999997E-2</v>
      </c>
      <c r="F410" s="219">
        <v>6.7400000000000002E-2</v>
      </c>
    </row>
    <row r="411" spans="1:6" ht="12" thickBot="1">
      <c r="A411" s="216">
        <v>38950</v>
      </c>
      <c r="B411" s="217">
        <v>38956</v>
      </c>
      <c r="C411" s="218">
        <v>6.4600000000000005E-2</v>
      </c>
      <c r="D411" s="218">
        <v>6.8000000000000005E-2</v>
      </c>
      <c r="E411" s="218">
        <v>7.1499999999999994E-2</v>
      </c>
      <c r="F411" s="219">
        <v>6.7799999999999999E-2</v>
      </c>
    </row>
    <row r="412" spans="1:6" ht="12" thickBot="1">
      <c r="A412" s="216">
        <v>38943</v>
      </c>
      <c r="B412" s="217">
        <v>38949</v>
      </c>
      <c r="C412" s="218">
        <v>6.4500000000000002E-2</v>
      </c>
      <c r="D412" s="218">
        <v>6.83E-2</v>
      </c>
      <c r="E412" s="218">
        <v>6.9199999999999998E-2</v>
      </c>
      <c r="F412" s="219">
        <v>6.7500000000000004E-2</v>
      </c>
    </row>
    <row r="413" spans="1:6" ht="12" thickBot="1">
      <c r="A413" s="216">
        <v>38936</v>
      </c>
      <c r="B413" s="217">
        <v>38942</v>
      </c>
      <c r="C413" s="218">
        <v>6.4799999999999996E-2</v>
      </c>
      <c r="D413" s="218">
        <v>6.7299999999999999E-2</v>
      </c>
      <c r="E413" s="218">
        <v>6.6299999999999998E-2</v>
      </c>
      <c r="F413" s="219">
        <v>6.9000000000000006E-2</v>
      </c>
    </row>
    <row r="414" spans="1:6" ht="12" thickBot="1">
      <c r="A414" s="216">
        <v>38929</v>
      </c>
      <c r="B414" s="217">
        <v>38935</v>
      </c>
      <c r="C414" s="218">
        <v>6.7400000000000002E-2</v>
      </c>
      <c r="D414" s="218">
        <v>6.9599999999999995E-2</v>
      </c>
      <c r="E414" s="218">
        <v>6.5799999999999997E-2</v>
      </c>
      <c r="F414" s="219">
        <v>7.0400000000000004E-2</v>
      </c>
    </row>
    <row r="415" spans="1:6" ht="12" thickBot="1">
      <c r="A415" s="216">
        <v>38922</v>
      </c>
      <c r="B415" s="217">
        <v>38928</v>
      </c>
      <c r="C415" s="218">
        <v>6.3500000000000001E-2</v>
      </c>
      <c r="D415" s="218">
        <v>6.5799999999999997E-2</v>
      </c>
      <c r="E415" s="218">
        <v>6.54E-2</v>
      </c>
      <c r="F415" s="219">
        <v>6.6400000000000001E-2</v>
      </c>
    </row>
    <row r="416" spans="1:6" ht="12" thickBot="1">
      <c r="A416" s="216">
        <v>38915</v>
      </c>
      <c r="B416" s="217">
        <v>38921</v>
      </c>
      <c r="C416" s="218">
        <v>6.4500000000000002E-2</v>
      </c>
      <c r="D416" s="218">
        <v>6.5600000000000006E-2</v>
      </c>
      <c r="E416" s="218">
        <v>6.6799999999999998E-2</v>
      </c>
      <c r="F416" s="219">
        <v>6.6400000000000001E-2</v>
      </c>
    </row>
    <row r="417" spans="1:6" ht="12" thickBot="1">
      <c r="A417" s="216">
        <v>38908</v>
      </c>
      <c r="B417" s="217">
        <v>38914</v>
      </c>
      <c r="C417" s="218">
        <v>6.1699999999999998E-2</v>
      </c>
      <c r="D417" s="218">
        <v>6.5000000000000002E-2</v>
      </c>
      <c r="E417" s="218">
        <v>6.1899999999999997E-2</v>
      </c>
      <c r="F417" s="219">
        <v>6.6199999999999995E-2</v>
      </c>
    </row>
    <row r="418" spans="1:6" ht="12" thickBot="1">
      <c r="A418" s="216">
        <v>38901</v>
      </c>
      <c r="B418" s="217">
        <v>38907</v>
      </c>
      <c r="C418" s="218">
        <v>6.1800000000000001E-2</v>
      </c>
      <c r="D418" s="218">
        <v>6.6000000000000003E-2</v>
      </c>
      <c r="E418" s="218">
        <v>5.91E-2</v>
      </c>
      <c r="F418" s="219">
        <v>6.5299999999999997E-2</v>
      </c>
    </row>
    <row r="419" spans="1:6" ht="12" thickBot="1">
      <c r="A419" s="216">
        <v>38894</v>
      </c>
      <c r="B419" s="217">
        <v>38900</v>
      </c>
      <c r="C419" s="218">
        <v>6.1400000000000003E-2</v>
      </c>
      <c r="D419" s="218">
        <v>6.5799999999999997E-2</v>
      </c>
      <c r="E419" s="218">
        <v>6.0699999999999997E-2</v>
      </c>
      <c r="F419" s="219">
        <v>6.5699999999999995E-2</v>
      </c>
    </row>
    <row r="420" spans="1:6" ht="12" thickBot="1">
      <c r="A420" s="216">
        <v>38887</v>
      </c>
      <c r="B420" s="217">
        <v>38893</v>
      </c>
      <c r="C420" s="218">
        <v>6.13E-2</v>
      </c>
      <c r="D420" s="218">
        <v>6.6000000000000003E-2</v>
      </c>
      <c r="E420" s="218">
        <v>5.6599999999999998E-2</v>
      </c>
      <c r="F420" s="219">
        <v>6.5100000000000005E-2</v>
      </c>
    </row>
    <row r="421" spans="1:6" ht="12" thickBot="1">
      <c r="A421" s="216">
        <v>38880</v>
      </c>
      <c r="B421" s="217">
        <v>38886</v>
      </c>
      <c r="C421" s="218">
        <v>6.0100000000000001E-2</v>
      </c>
      <c r="D421" s="218">
        <v>6.7199999999999996E-2</v>
      </c>
      <c r="E421" s="218">
        <v>6.1499999999999999E-2</v>
      </c>
      <c r="F421" s="219">
        <v>6.7900000000000002E-2</v>
      </c>
    </row>
    <row r="422" spans="1:6" ht="12" thickBot="1">
      <c r="A422" s="216">
        <v>38873</v>
      </c>
      <c r="B422" s="217">
        <v>38879</v>
      </c>
      <c r="C422" s="218">
        <v>6.0699999999999997E-2</v>
      </c>
      <c r="D422" s="218">
        <v>6.6299999999999998E-2</v>
      </c>
      <c r="E422" s="218">
        <v>6.1100000000000002E-2</v>
      </c>
      <c r="F422" s="219">
        <v>6.5000000000000002E-2</v>
      </c>
    </row>
    <row r="423" spans="1:6" ht="12" thickBot="1">
      <c r="A423" s="216">
        <v>38866</v>
      </c>
      <c r="B423" s="217">
        <v>38872</v>
      </c>
      <c r="C423" s="218">
        <v>5.9799999999999999E-2</v>
      </c>
      <c r="D423" s="218">
        <v>6.4899999999999999E-2</v>
      </c>
      <c r="E423" s="218">
        <v>6.5299999999999997E-2</v>
      </c>
      <c r="F423" s="219">
        <v>6.4899999999999999E-2</v>
      </c>
    </row>
    <row r="424" spans="1:6" ht="12" thickBot="1">
      <c r="A424" s="216">
        <v>38859</v>
      </c>
      <c r="B424" s="217">
        <v>38865</v>
      </c>
      <c r="C424" s="218">
        <v>5.9499999999999997E-2</v>
      </c>
      <c r="D424" s="218">
        <v>6.4899999999999999E-2</v>
      </c>
      <c r="E424" s="218">
        <v>5.8099999999999999E-2</v>
      </c>
      <c r="F424" s="219">
        <v>6.6799999999999998E-2</v>
      </c>
    </row>
    <row r="425" spans="1:6" ht="12" thickBot="1">
      <c r="A425" s="216">
        <v>38852</v>
      </c>
      <c r="B425" s="217">
        <v>38858</v>
      </c>
      <c r="C425" s="218">
        <v>5.9900000000000002E-2</v>
      </c>
      <c r="D425" s="218">
        <v>6.4299999999999996E-2</v>
      </c>
      <c r="E425" s="218">
        <v>6.1800000000000001E-2</v>
      </c>
      <c r="F425" s="219">
        <v>6.4399999999999999E-2</v>
      </c>
    </row>
    <row r="426" spans="1:6" ht="12" thickBot="1">
      <c r="A426" s="216">
        <v>38845</v>
      </c>
      <c r="B426" s="217">
        <v>38851</v>
      </c>
      <c r="C426" s="218">
        <v>5.91E-2</v>
      </c>
      <c r="D426" s="218">
        <v>6.4600000000000005E-2</v>
      </c>
      <c r="E426" s="218">
        <v>6.4899999999999999E-2</v>
      </c>
      <c r="F426" s="219">
        <v>6.5000000000000002E-2</v>
      </c>
    </row>
    <row r="427" spans="1:6" ht="12" thickBot="1">
      <c r="A427" s="216">
        <v>38838</v>
      </c>
      <c r="B427" s="217">
        <v>38844</v>
      </c>
      <c r="C427" s="218">
        <v>5.96E-2</v>
      </c>
      <c r="D427" s="218">
        <v>6.4299999999999996E-2</v>
      </c>
      <c r="E427" s="218">
        <v>6.8900000000000003E-2</v>
      </c>
      <c r="F427" s="219">
        <v>6.54E-2</v>
      </c>
    </row>
    <row r="428" spans="1:6" ht="12" thickBot="1">
      <c r="A428" s="216">
        <v>38831</v>
      </c>
      <c r="B428" s="217">
        <v>38837</v>
      </c>
      <c r="C428" s="218">
        <v>5.8900000000000001E-2</v>
      </c>
      <c r="D428" s="218">
        <v>6.4799999999999996E-2</v>
      </c>
      <c r="E428" s="218">
        <v>6.8500000000000005E-2</v>
      </c>
      <c r="F428" s="219">
        <v>5.8900000000000001E-2</v>
      </c>
    </row>
    <row r="429" spans="1:6" ht="12" thickBot="1">
      <c r="A429" s="216">
        <v>38824</v>
      </c>
      <c r="B429" s="217">
        <v>38830</v>
      </c>
      <c r="C429" s="218">
        <v>5.8799999999999998E-2</v>
      </c>
      <c r="D429" s="218">
        <v>6.5299999999999997E-2</v>
      </c>
      <c r="E429" s="218">
        <v>7.0000000000000007E-2</v>
      </c>
      <c r="F429" s="219">
        <v>5.8799999999999998E-2</v>
      </c>
    </row>
    <row r="430" spans="1:6" ht="12" thickBot="1">
      <c r="A430" s="216">
        <v>38817</v>
      </c>
      <c r="B430" s="217">
        <v>38823</v>
      </c>
      <c r="C430" s="218">
        <v>5.9299999999999999E-2</v>
      </c>
      <c r="D430" s="218">
        <v>6.5500000000000003E-2</v>
      </c>
      <c r="E430" s="218">
        <v>6.5500000000000003E-2</v>
      </c>
      <c r="F430" s="219">
        <v>5.9299999999999999E-2</v>
      </c>
    </row>
    <row r="431" spans="1:6" ht="12" thickBot="1">
      <c r="A431" s="216">
        <v>38810</v>
      </c>
      <c r="B431" s="217">
        <v>38816</v>
      </c>
      <c r="C431" s="218">
        <v>5.9900000000000002E-2</v>
      </c>
      <c r="D431" s="218">
        <v>6.5199999999999994E-2</v>
      </c>
      <c r="E431" s="218">
        <v>6.9900000000000004E-2</v>
      </c>
      <c r="F431" s="219">
        <v>6.6400000000000001E-2</v>
      </c>
    </row>
    <row r="432" spans="1:6" ht="12" thickBot="1">
      <c r="A432" s="216">
        <v>38803</v>
      </c>
      <c r="B432" s="217">
        <v>38809</v>
      </c>
      <c r="C432" s="218">
        <v>5.9200000000000003E-2</v>
      </c>
      <c r="D432" s="218">
        <v>6.4699999999999994E-2</v>
      </c>
      <c r="E432" s="218">
        <v>6.83E-2</v>
      </c>
      <c r="F432" s="219">
        <v>6.7400000000000002E-2</v>
      </c>
    </row>
    <row r="433" spans="1:6" ht="12" thickBot="1">
      <c r="A433" s="216">
        <v>38796</v>
      </c>
      <c r="B433" s="217">
        <v>38802</v>
      </c>
      <c r="C433" s="218">
        <v>5.9900000000000002E-2</v>
      </c>
      <c r="D433" s="218">
        <v>6.4199999999999993E-2</v>
      </c>
      <c r="E433" s="218">
        <v>6.9900000000000004E-2</v>
      </c>
      <c r="F433" s="219">
        <v>6.5699999999999995E-2</v>
      </c>
    </row>
    <row r="434" spans="1:6" ht="12" thickBot="1">
      <c r="A434" s="216">
        <v>38789</v>
      </c>
      <c r="B434" s="217">
        <v>38795</v>
      </c>
      <c r="C434" s="218">
        <v>5.96E-2</v>
      </c>
      <c r="D434" s="218">
        <v>6.4899999999999999E-2</v>
      </c>
      <c r="E434" s="218">
        <v>7.0300000000000001E-2</v>
      </c>
      <c r="F434" s="219">
        <v>6.9199999999999998E-2</v>
      </c>
    </row>
    <row r="435" spans="1:6" ht="12" thickBot="1">
      <c r="A435" s="216">
        <v>38782</v>
      </c>
      <c r="B435" s="217">
        <v>38788</v>
      </c>
      <c r="C435" s="218">
        <v>5.9799999999999999E-2</v>
      </c>
      <c r="D435" s="218">
        <v>6.6299999999999998E-2</v>
      </c>
      <c r="E435" s="218">
        <v>6.83E-2</v>
      </c>
      <c r="F435" s="219">
        <v>6.5299999999999997E-2</v>
      </c>
    </row>
    <row r="436" spans="1:6" ht="12" thickBot="1">
      <c r="A436" s="216">
        <v>38775</v>
      </c>
      <c r="B436" s="217">
        <v>38781</v>
      </c>
      <c r="C436" s="218">
        <v>5.9799999999999999E-2</v>
      </c>
      <c r="D436" s="218">
        <v>6.54E-2</v>
      </c>
      <c r="E436" s="218">
        <v>6.8900000000000003E-2</v>
      </c>
      <c r="F436" s="219">
        <v>6.5299999999999997E-2</v>
      </c>
    </row>
    <row r="437" spans="1:6" ht="12" thickBot="1">
      <c r="A437" s="216">
        <v>38768</v>
      </c>
      <c r="B437" s="217">
        <v>38774</v>
      </c>
      <c r="C437" s="218">
        <v>6.0600000000000001E-2</v>
      </c>
      <c r="D437" s="218">
        <v>6.4799999999999996E-2</v>
      </c>
      <c r="E437" s="218">
        <v>6.88E-2</v>
      </c>
      <c r="F437" s="219">
        <v>6.54E-2</v>
      </c>
    </row>
    <row r="438" spans="1:6" ht="12" thickBot="1">
      <c r="A438" s="216">
        <v>38761</v>
      </c>
      <c r="B438" s="217">
        <v>38767</v>
      </c>
      <c r="C438" s="218">
        <v>6.0699999999999997E-2</v>
      </c>
      <c r="D438" s="218">
        <v>6.6799999999999998E-2</v>
      </c>
      <c r="E438" s="218">
        <v>6.6500000000000004E-2</v>
      </c>
      <c r="F438" s="219">
        <v>6.54E-2</v>
      </c>
    </row>
    <row r="439" spans="1:6" ht="12" thickBot="1">
      <c r="A439" s="216">
        <v>38754</v>
      </c>
      <c r="B439" s="217">
        <v>38760</v>
      </c>
      <c r="C439" s="218">
        <v>6.0499999999999998E-2</v>
      </c>
      <c r="D439" s="218">
        <v>6.6500000000000004E-2</v>
      </c>
      <c r="E439" s="218">
        <v>6.9699999999999998E-2</v>
      </c>
      <c r="F439" s="219">
        <v>6.6799999999999998E-2</v>
      </c>
    </row>
    <row r="440" spans="1:6" ht="12" thickBot="1">
      <c r="A440" s="216">
        <v>38747</v>
      </c>
      <c r="B440" s="217">
        <v>38753</v>
      </c>
      <c r="C440" s="218">
        <v>6.0900000000000003E-2</v>
      </c>
      <c r="D440" s="218">
        <v>6.7199999999999996E-2</v>
      </c>
      <c r="E440" s="218">
        <v>7.1099999999999997E-2</v>
      </c>
      <c r="F440" s="219">
        <v>6.6000000000000003E-2</v>
      </c>
    </row>
    <row r="441" spans="1:6" ht="12" thickBot="1">
      <c r="A441" s="216">
        <v>38740</v>
      </c>
      <c r="B441" s="217">
        <v>38746</v>
      </c>
      <c r="C441" s="218">
        <v>6.1199999999999997E-2</v>
      </c>
      <c r="D441" s="218">
        <v>6.8000000000000005E-2</v>
      </c>
      <c r="E441" s="218">
        <v>6.8000000000000005E-2</v>
      </c>
      <c r="F441" s="219">
        <v>6.6900000000000001E-2</v>
      </c>
    </row>
    <row r="442" spans="1:6" ht="12" thickBot="1">
      <c r="A442" s="216">
        <v>38733</v>
      </c>
      <c r="B442" s="217">
        <v>38739</v>
      </c>
      <c r="C442" s="218">
        <v>6.2E-2</v>
      </c>
      <c r="D442" s="218">
        <v>6.88E-2</v>
      </c>
      <c r="E442" s="218">
        <v>7.0199999999999999E-2</v>
      </c>
      <c r="F442" s="219">
        <v>6.7199999999999996E-2</v>
      </c>
    </row>
    <row r="443" spans="1:6" ht="12" thickBot="1">
      <c r="A443" s="216">
        <v>38726</v>
      </c>
      <c r="B443" s="217">
        <v>38732</v>
      </c>
      <c r="C443" s="218">
        <v>6.2300000000000001E-2</v>
      </c>
      <c r="D443" s="218">
        <v>6.8699999999999997E-2</v>
      </c>
      <c r="E443" s="218">
        <v>7.1900000000000006E-2</v>
      </c>
      <c r="F443" s="219">
        <v>6.6299999999999998E-2</v>
      </c>
    </row>
    <row r="444" spans="1:6" ht="12" thickBot="1">
      <c r="A444" s="216">
        <v>38719</v>
      </c>
      <c r="B444" s="217">
        <v>38725</v>
      </c>
      <c r="C444" s="218">
        <v>6.1899999999999997E-2</v>
      </c>
      <c r="D444" s="218">
        <v>6.9699999999999998E-2</v>
      </c>
      <c r="E444" s="218">
        <v>7.2599999999999998E-2</v>
      </c>
      <c r="F444" s="219">
        <v>6.7400000000000002E-2</v>
      </c>
    </row>
    <row r="445" spans="1:6" ht="12" thickBot="1">
      <c r="A445" s="216">
        <v>38712</v>
      </c>
      <c r="B445" s="217">
        <v>38718</v>
      </c>
      <c r="C445" s="218">
        <v>6.3100000000000003E-2</v>
      </c>
      <c r="D445" s="218">
        <v>7.0900000000000005E-2</v>
      </c>
      <c r="E445" s="218">
        <v>7.5499999999999998E-2</v>
      </c>
      <c r="F445" s="219">
        <v>6.7799999999999999E-2</v>
      </c>
    </row>
    <row r="446" spans="1:6" ht="12" thickBot="1">
      <c r="A446" s="216">
        <v>38705</v>
      </c>
      <c r="B446" s="217">
        <v>38711</v>
      </c>
      <c r="C446" s="218">
        <v>6.3500000000000001E-2</v>
      </c>
      <c r="D446" s="218">
        <v>7.1499999999999994E-2</v>
      </c>
      <c r="E446" s="218">
        <v>7.1099999999999997E-2</v>
      </c>
      <c r="F446" s="219">
        <v>6.9000000000000006E-2</v>
      </c>
    </row>
    <row r="447" spans="1:6" ht="12" thickBot="1">
      <c r="A447" s="216">
        <v>38698</v>
      </c>
      <c r="B447" s="217">
        <v>38704</v>
      </c>
      <c r="C447" s="218">
        <v>6.3899999999999998E-2</v>
      </c>
      <c r="D447" s="218">
        <v>6.9099999999999995E-2</v>
      </c>
      <c r="E447" s="218">
        <v>6.9900000000000004E-2</v>
      </c>
      <c r="F447" s="219">
        <v>6.6699999999999995E-2</v>
      </c>
    </row>
    <row r="448" spans="1:6" ht="12" thickBot="1">
      <c r="A448" s="216">
        <v>38691</v>
      </c>
      <c r="B448" s="217">
        <v>38697</v>
      </c>
      <c r="C448" s="218">
        <v>6.3299999999999995E-2</v>
      </c>
      <c r="D448" s="218">
        <v>6.88E-2</v>
      </c>
      <c r="E448" s="218">
        <v>6.8000000000000005E-2</v>
      </c>
      <c r="F448" s="219">
        <v>6.7500000000000004E-2</v>
      </c>
    </row>
    <row r="449" spans="1:6" ht="12" thickBot="1">
      <c r="A449" s="216">
        <v>38684</v>
      </c>
      <c r="B449" s="217">
        <v>38690</v>
      </c>
      <c r="C449" s="218">
        <v>6.3899999999999998E-2</v>
      </c>
      <c r="D449" s="218">
        <v>7.0599999999999996E-2</v>
      </c>
      <c r="E449" s="218">
        <v>7.1999999999999995E-2</v>
      </c>
      <c r="F449" s="219">
        <v>6.9099999999999995E-2</v>
      </c>
    </row>
    <row r="450" spans="1:6" ht="12" thickBot="1">
      <c r="A450" s="216">
        <v>38677</v>
      </c>
      <c r="B450" s="217">
        <v>38683</v>
      </c>
      <c r="C450" s="218">
        <v>6.4399999999999999E-2</v>
      </c>
      <c r="D450" s="218">
        <v>7.0900000000000005E-2</v>
      </c>
      <c r="E450" s="218">
        <v>6.9900000000000004E-2</v>
      </c>
      <c r="F450" s="219">
        <v>6.7699999999999996E-2</v>
      </c>
    </row>
    <row r="451" spans="1:6" ht="12" thickBot="1">
      <c r="A451" s="216">
        <v>38670</v>
      </c>
      <c r="B451" s="217">
        <v>38676</v>
      </c>
      <c r="C451" s="218">
        <v>6.4899999999999999E-2</v>
      </c>
      <c r="D451" s="218">
        <v>7.1300000000000002E-2</v>
      </c>
      <c r="E451" s="218">
        <v>7.0499999999999993E-2</v>
      </c>
      <c r="F451" s="219">
        <v>6.9500000000000006E-2</v>
      </c>
    </row>
    <row r="452" spans="1:6" ht="12" thickBot="1">
      <c r="A452" s="216">
        <v>38663</v>
      </c>
      <c r="B452" s="217">
        <v>38669</v>
      </c>
      <c r="C452" s="218">
        <v>6.4500000000000002E-2</v>
      </c>
      <c r="D452" s="218">
        <v>7.0900000000000005E-2</v>
      </c>
      <c r="E452" s="218">
        <v>6.8000000000000005E-2</v>
      </c>
      <c r="F452" s="219">
        <v>6.7000000000000004E-2</v>
      </c>
    </row>
    <row r="453" spans="1:6" ht="12" thickBot="1">
      <c r="A453" s="216">
        <v>38656</v>
      </c>
      <c r="B453" s="217">
        <v>38662</v>
      </c>
      <c r="C453" s="218">
        <v>6.4600000000000005E-2</v>
      </c>
      <c r="D453" s="218">
        <v>7.0800000000000002E-2</v>
      </c>
      <c r="E453" s="218">
        <v>6.2E-2</v>
      </c>
      <c r="F453" s="219">
        <v>6.7900000000000002E-2</v>
      </c>
    </row>
    <row r="454" spans="1:6" ht="12" thickBot="1">
      <c r="A454" s="216">
        <v>38649</v>
      </c>
      <c r="B454" s="217">
        <v>38655</v>
      </c>
      <c r="C454" s="218">
        <v>6.4500000000000002E-2</v>
      </c>
      <c r="D454" s="218">
        <v>7.1199999999999999E-2</v>
      </c>
      <c r="E454" s="218">
        <v>6.0999999999999999E-2</v>
      </c>
      <c r="F454" s="219">
        <v>6.9400000000000003E-2</v>
      </c>
    </row>
    <row r="455" spans="1:6" ht="12" thickBot="1">
      <c r="A455" s="216">
        <v>38642</v>
      </c>
      <c r="B455" s="217">
        <v>38648</v>
      </c>
      <c r="C455" s="218">
        <v>6.5100000000000005E-2</v>
      </c>
      <c r="D455" s="218">
        <v>7.2400000000000006E-2</v>
      </c>
      <c r="E455" s="218">
        <v>6.7000000000000004E-2</v>
      </c>
      <c r="F455" s="219">
        <v>6.9900000000000004E-2</v>
      </c>
    </row>
    <row r="456" spans="1:6" ht="12" thickBot="1">
      <c r="A456" s="216">
        <v>38635</v>
      </c>
      <c r="B456" s="217">
        <v>38641</v>
      </c>
      <c r="C456" s="218">
        <v>6.5199999999999994E-2</v>
      </c>
      <c r="D456" s="218">
        <v>7.0499999999999993E-2</v>
      </c>
      <c r="E456" s="218">
        <v>6.8599999999999994E-2</v>
      </c>
      <c r="F456" s="219">
        <v>6.9900000000000004E-2</v>
      </c>
    </row>
    <row r="457" spans="1:6" ht="12" thickBot="1">
      <c r="A457" s="216">
        <v>38628</v>
      </c>
      <c r="B457" s="217">
        <v>38634</v>
      </c>
      <c r="C457" s="218">
        <v>6.7599999999999993E-2</v>
      </c>
      <c r="D457" s="218">
        <v>7.3700000000000002E-2</v>
      </c>
      <c r="E457" s="218">
        <v>7.6499999999999999E-2</v>
      </c>
      <c r="F457" s="219">
        <v>7.0699999999999999E-2</v>
      </c>
    </row>
    <row r="458" spans="1:6" ht="12" thickBot="1">
      <c r="A458" s="216">
        <v>38621</v>
      </c>
      <c r="B458" s="217">
        <v>38627</v>
      </c>
      <c r="C458" s="218">
        <v>6.8199999999999997E-2</v>
      </c>
      <c r="D458" s="218">
        <v>7.3599999999999999E-2</v>
      </c>
      <c r="E458" s="218">
        <v>7.3800000000000004E-2</v>
      </c>
      <c r="F458" s="219">
        <v>7.17E-2</v>
      </c>
    </row>
    <row r="459" spans="1:6" ht="12" thickBot="1">
      <c r="A459" s="216">
        <v>38614</v>
      </c>
      <c r="B459" s="217">
        <v>38620</v>
      </c>
      <c r="C459" s="218">
        <v>6.88E-2</v>
      </c>
      <c r="D459" s="218">
        <v>7.46E-2</v>
      </c>
      <c r="E459" s="218">
        <v>7.5700000000000003E-2</v>
      </c>
      <c r="F459" s="219">
        <v>7.1599999999999997E-2</v>
      </c>
    </row>
    <row r="460" spans="1:6" ht="12" thickBot="1">
      <c r="A460" s="216">
        <v>38607</v>
      </c>
      <c r="B460" s="217">
        <v>38613</v>
      </c>
      <c r="C460" s="218">
        <v>6.8599999999999994E-2</v>
      </c>
      <c r="D460" s="218">
        <v>7.46E-2</v>
      </c>
      <c r="E460" s="218">
        <v>7.7200000000000005E-2</v>
      </c>
      <c r="F460" s="219">
        <v>7.3499999999999996E-2</v>
      </c>
    </row>
    <row r="461" spans="1:6" ht="12" thickBot="1">
      <c r="A461" s="216">
        <v>38600</v>
      </c>
      <c r="B461" s="217">
        <v>38606</v>
      </c>
      <c r="C461" s="218">
        <v>6.9599999999999995E-2</v>
      </c>
      <c r="D461" s="218">
        <v>7.4200000000000002E-2</v>
      </c>
      <c r="E461" s="218">
        <v>7.6499999999999999E-2</v>
      </c>
      <c r="F461" s="219">
        <v>7.2999999999999995E-2</v>
      </c>
    </row>
    <row r="462" spans="1:6" ht="12" thickBot="1">
      <c r="A462" s="216">
        <v>38593</v>
      </c>
      <c r="B462" s="217">
        <v>38599</v>
      </c>
      <c r="C462" s="218">
        <v>6.9400000000000003E-2</v>
      </c>
      <c r="D462" s="218">
        <v>7.4999999999999997E-2</v>
      </c>
      <c r="E462" s="218">
        <v>7.9799999999999996E-2</v>
      </c>
      <c r="F462" s="219">
        <v>7.22E-2</v>
      </c>
    </row>
    <row r="463" spans="1:6" ht="12" thickBot="1">
      <c r="A463" s="216">
        <v>38586</v>
      </c>
      <c r="B463" s="217">
        <v>38592</v>
      </c>
      <c r="C463" s="218">
        <v>6.9900000000000004E-2</v>
      </c>
      <c r="D463" s="218">
        <v>7.4800000000000005E-2</v>
      </c>
      <c r="E463" s="218">
        <v>7.6499999999999999E-2</v>
      </c>
      <c r="F463" s="219">
        <v>7.2099999999999997E-2</v>
      </c>
    </row>
    <row r="464" spans="1:6" ht="12" thickBot="1">
      <c r="A464" s="216">
        <v>38579</v>
      </c>
      <c r="B464" s="217">
        <v>38585</v>
      </c>
      <c r="C464" s="218">
        <v>7.0099999999999996E-2</v>
      </c>
      <c r="D464" s="218">
        <v>7.5300000000000006E-2</v>
      </c>
      <c r="E464" s="218">
        <v>7.6499999999999999E-2</v>
      </c>
      <c r="F464" s="219">
        <v>7.2700000000000001E-2</v>
      </c>
    </row>
    <row r="465" spans="1:6" ht="12" thickBot="1">
      <c r="A465" s="216">
        <v>38572</v>
      </c>
      <c r="B465" s="217">
        <v>38578</v>
      </c>
      <c r="C465" s="218">
        <v>7.0300000000000001E-2</v>
      </c>
      <c r="D465" s="218">
        <v>7.5399999999999995E-2</v>
      </c>
      <c r="E465" s="218">
        <v>7.6499999999999999E-2</v>
      </c>
      <c r="F465" s="219">
        <v>7.4899999999999994E-2</v>
      </c>
    </row>
    <row r="466" spans="1:6" ht="12" thickBot="1">
      <c r="A466" s="216">
        <v>38565</v>
      </c>
      <c r="B466" s="217">
        <v>38571</v>
      </c>
      <c r="C466" s="218">
        <v>7.1199999999999999E-2</v>
      </c>
      <c r="D466" s="218">
        <v>7.4899999999999994E-2</v>
      </c>
      <c r="E466" s="218">
        <v>7.51E-2</v>
      </c>
      <c r="F466" s="219">
        <v>7.4200000000000002E-2</v>
      </c>
    </row>
    <row r="467" spans="1:6" ht="12" thickBot="1">
      <c r="A467" s="216">
        <v>38558</v>
      </c>
      <c r="B467" s="217">
        <v>38564</v>
      </c>
      <c r="C467" s="218">
        <v>7.1400000000000005E-2</v>
      </c>
      <c r="D467" s="218">
        <v>7.5800000000000006E-2</v>
      </c>
      <c r="E467" s="218">
        <v>7.4300000000000005E-2</v>
      </c>
      <c r="F467" s="219">
        <v>7.5499999999999998E-2</v>
      </c>
    </row>
    <row r="468" spans="1:6" ht="12" thickBot="1">
      <c r="A468" s="216">
        <v>38551</v>
      </c>
      <c r="B468" s="217">
        <v>38557</v>
      </c>
      <c r="C468" s="218">
        <v>7.0499999999999993E-2</v>
      </c>
      <c r="D468" s="218">
        <v>7.5899999999999995E-2</v>
      </c>
      <c r="E468" s="218">
        <v>7.6200000000000004E-2</v>
      </c>
      <c r="F468" s="219">
        <v>7.6300000000000007E-2</v>
      </c>
    </row>
    <row r="469" spans="1:6" ht="12" thickBot="1">
      <c r="A469" s="216">
        <v>38544</v>
      </c>
      <c r="B469" s="217">
        <v>38550</v>
      </c>
      <c r="C469" s="218">
        <v>7.0699999999999999E-2</v>
      </c>
      <c r="D469" s="218">
        <v>7.5899999999999995E-2</v>
      </c>
      <c r="E469" s="218">
        <v>7.7700000000000005E-2</v>
      </c>
      <c r="F469" s="219">
        <v>7.5899999999999995E-2</v>
      </c>
    </row>
    <row r="470" spans="1:6" ht="12" thickBot="1">
      <c r="A470" s="216">
        <v>38537</v>
      </c>
      <c r="B470" s="217">
        <v>38543</v>
      </c>
      <c r="C470" s="218">
        <v>7.1099999999999997E-2</v>
      </c>
      <c r="D470" s="218">
        <v>7.6399999999999996E-2</v>
      </c>
      <c r="E470" s="218">
        <v>7.2400000000000006E-2</v>
      </c>
      <c r="F470" s="219">
        <v>7.5700000000000003E-2</v>
      </c>
    </row>
    <row r="471" spans="1:6" ht="12" thickBot="1">
      <c r="A471" s="216">
        <v>38530</v>
      </c>
      <c r="B471" s="217">
        <v>38536</v>
      </c>
      <c r="C471" s="218">
        <v>7.1800000000000003E-2</v>
      </c>
      <c r="D471" s="218">
        <v>7.7299999999999994E-2</v>
      </c>
      <c r="E471" s="218">
        <v>7.1900000000000006E-2</v>
      </c>
      <c r="F471" s="219">
        <v>7.5899999999999995E-2</v>
      </c>
    </row>
    <row r="472" spans="1:6" ht="12" thickBot="1">
      <c r="A472" s="216">
        <v>38523</v>
      </c>
      <c r="B472" s="217">
        <v>38529</v>
      </c>
      <c r="C472" s="218">
        <v>7.2099999999999997E-2</v>
      </c>
      <c r="D472" s="218">
        <v>7.7899999999999997E-2</v>
      </c>
      <c r="E472" s="218">
        <v>6.7199999999999996E-2</v>
      </c>
      <c r="F472" s="219">
        <v>7.7600000000000002E-2</v>
      </c>
    </row>
    <row r="473" spans="1:6" ht="12" thickBot="1">
      <c r="A473" s="216">
        <v>38516</v>
      </c>
      <c r="B473" s="217">
        <v>38522</v>
      </c>
      <c r="C473" s="218">
        <v>7.2099999999999997E-2</v>
      </c>
      <c r="D473" s="218">
        <v>7.6899999999999996E-2</v>
      </c>
      <c r="E473" s="218">
        <v>6.88E-2</v>
      </c>
      <c r="F473" s="219">
        <v>7.7200000000000005E-2</v>
      </c>
    </row>
    <row r="474" spans="1:6" ht="12" thickBot="1">
      <c r="A474" s="216">
        <v>38509</v>
      </c>
      <c r="B474" s="217">
        <v>38515</v>
      </c>
      <c r="C474" s="218">
        <v>7.1800000000000003E-2</v>
      </c>
      <c r="D474" s="218">
        <v>7.6700000000000004E-2</v>
      </c>
      <c r="E474" s="218">
        <v>0.08</v>
      </c>
      <c r="F474" s="219">
        <v>7.6399999999999996E-2</v>
      </c>
    </row>
    <row r="475" spans="1:6" ht="12" thickBot="1">
      <c r="A475" s="216">
        <v>38502</v>
      </c>
      <c r="B475" s="217">
        <v>38508</v>
      </c>
      <c r="C475" s="218">
        <v>7.1199999999999999E-2</v>
      </c>
      <c r="D475" s="218">
        <v>7.7499999999999999E-2</v>
      </c>
      <c r="E475" s="218">
        <v>0.08</v>
      </c>
      <c r="F475" s="219">
        <v>7.7499999999999999E-2</v>
      </c>
    </row>
    <row r="476" spans="1:6" ht="12" thickBot="1">
      <c r="A476" s="216">
        <v>38495</v>
      </c>
      <c r="B476" s="217">
        <v>38501</v>
      </c>
      <c r="C476" s="218">
        <v>7.17E-2</v>
      </c>
      <c r="D476" s="218">
        <v>7.7600000000000002E-2</v>
      </c>
      <c r="E476" s="218">
        <v>8.1699999999999995E-2</v>
      </c>
      <c r="F476" s="219">
        <v>7.7100000000000002E-2</v>
      </c>
    </row>
    <row r="477" spans="1:6" ht="12" thickBot="1">
      <c r="A477" s="216">
        <v>38488</v>
      </c>
      <c r="B477" s="217">
        <v>38494</v>
      </c>
      <c r="C477" s="218">
        <v>7.17E-2</v>
      </c>
      <c r="D477" s="218">
        <v>7.8700000000000006E-2</v>
      </c>
      <c r="E477" s="218">
        <v>8.0799999999999997E-2</v>
      </c>
      <c r="F477" s="219">
        <v>7.7600000000000002E-2</v>
      </c>
    </row>
    <row r="478" spans="1:6" ht="12" thickBot="1">
      <c r="A478" s="216">
        <v>38481</v>
      </c>
      <c r="B478" s="217">
        <v>38487</v>
      </c>
      <c r="C478" s="218">
        <v>7.2800000000000004E-2</v>
      </c>
      <c r="D478" s="218">
        <v>7.8100000000000003E-2</v>
      </c>
      <c r="E478" s="218">
        <v>7.9899999999999999E-2</v>
      </c>
      <c r="F478" s="219">
        <v>7.8299999999999995E-2</v>
      </c>
    </row>
    <row r="479" spans="1:6" ht="12" thickBot="1">
      <c r="A479" s="216">
        <v>38474</v>
      </c>
      <c r="B479" s="217">
        <v>38480</v>
      </c>
      <c r="C479" s="218">
        <v>7.3200000000000001E-2</v>
      </c>
      <c r="D479" s="218">
        <v>7.7700000000000005E-2</v>
      </c>
      <c r="E479" s="218">
        <v>7.8299999999999995E-2</v>
      </c>
      <c r="F479" s="219">
        <v>7.5800000000000006E-2</v>
      </c>
    </row>
    <row r="480" spans="1:6" ht="12" thickBot="1">
      <c r="A480" s="216">
        <v>38467</v>
      </c>
      <c r="B480" s="217">
        <v>38473</v>
      </c>
      <c r="C480" s="218">
        <v>7.2599999999999998E-2</v>
      </c>
      <c r="D480" s="218">
        <v>7.8100000000000003E-2</v>
      </c>
      <c r="E480" s="218">
        <v>8.3000000000000004E-2</v>
      </c>
      <c r="F480" s="219">
        <v>7.8799999999999995E-2</v>
      </c>
    </row>
    <row r="481" spans="1:6" ht="12" thickBot="1">
      <c r="A481" s="216">
        <v>38460</v>
      </c>
      <c r="B481" s="217">
        <v>38466</v>
      </c>
      <c r="C481" s="218">
        <v>7.2499999999999995E-2</v>
      </c>
      <c r="D481" s="218">
        <v>7.8600000000000003E-2</v>
      </c>
      <c r="E481" s="218">
        <v>7.8899999999999998E-2</v>
      </c>
      <c r="F481" s="219">
        <v>7.7799999999999994E-2</v>
      </c>
    </row>
    <row r="482" spans="1:6" ht="12" thickBot="1">
      <c r="A482" s="216">
        <v>38453</v>
      </c>
      <c r="B482" s="217">
        <v>38459</v>
      </c>
      <c r="C482" s="218">
        <v>7.3200000000000001E-2</v>
      </c>
      <c r="D482" s="218">
        <v>7.9100000000000004E-2</v>
      </c>
      <c r="E482" s="218">
        <v>7.9299999999999995E-2</v>
      </c>
      <c r="F482" s="219">
        <v>7.9399999999999998E-2</v>
      </c>
    </row>
    <row r="483" spans="1:6" ht="12" thickBot="1">
      <c r="A483" s="216">
        <v>38446</v>
      </c>
      <c r="B483" s="217">
        <v>38452</v>
      </c>
      <c r="C483" s="218">
        <v>7.2900000000000006E-2</v>
      </c>
      <c r="D483" s="218">
        <v>7.9600000000000004E-2</v>
      </c>
      <c r="E483" s="218">
        <v>8.09E-2</v>
      </c>
      <c r="F483" s="219">
        <v>7.8700000000000006E-2</v>
      </c>
    </row>
    <row r="484" spans="1:6" ht="12" thickBot="1">
      <c r="A484" s="216">
        <v>38439</v>
      </c>
      <c r="B484" s="217">
        <v>38445</v>
      </c>
      <c r="C484" s="218">
        <v>7.4399999999999994E-2</v>
      </c>
      <c r="D484" s="218">
        <v>8.0100000000000005E-2</v>
      </c>
      <c r="E484" s="218">
        <v>8.0100000000000005E-2</v>
      </c>
      <c r="F484" s="219">
        <v>7.9699999999999993E-2</v>
      </c>
    </row>
    <row r="485" spans="1:6" ht="12" thickBot="1">
      <c r="A485" s="216">
        <v>38432</v>
      </c>
      <c r="B485" s="217">
        <v>38438</v>
      </c>
      <c r="C485" s="218">
        <v>7.3599999999999999E-2</v>
      </c>
      <c r="D485" s="218">
        <v>7.9399999999999998E-2</v>
      </c>
      <c r="E485" s="218">
        <v>7.9399999999999998E-2</v>
      </c>
      <c r="F485" s="219">
        <v>7.9299999999999995E-2</v>
      </c>
    </row>
    <row r="486" spans="1:6" ht="12" thickBot="1">
      <c r="A486" s="216">
        <v>38425</v>
      </c>
      <c r="B486" s="217">
        <v>38431</v>
      </c>
      <c r="C486" s="218">
        <v>7.3400000000000007E-2</v>
      </c>
      <c r="D486" s="218">
        <v>7.9799999999999996E-2</v>
      </c>
      <c r="E486" s="218">
        <v>8.3199999999999996E-2</v>
      </c>
      <c r="F486" s="219">
        <v>7.9600000000000004E-2</v>
      </c>
    </row>
    <row r="487" spans="1:6" ht="12" thickBot="1">
      <c r="A487" s="216">
        <v>38418</v>
      </c>
      <c r="B487" s="217">
        <v>38424</v>
      </c>
      <c r="C487" s="218">
        <v>7.3700000000000002E-2</v>
      </c>
      <c r="D487" s="218">
        <v>7.9299999999999995E-2</v>
      </c>
      <c r="E487" s="218">
        <v>8.5199999999999998E-2</v>
      </c>
      <c r="F487" s="219">
        <v>7.8899999999999998E-2</v>
      </c>
    </row>
    <row r="488" spans="1:6" ht="12" thickBot="1">
      <c r="A488" s="216">
        <v>38411</v>
      </c>
      <c r="B488" s="217">
        <v>38417</v>
      </c>
      <c r="C488" s="218">
        <v>7.4200000000000002E-2</v>
      </c>
      <c r="D488" s="218">
        <v>7.9500000000000001E-2</v>
      </c>
      <c r="E488" s="218">
        <v>8.6900000000000005E-2</v>
      </c>
      <c r="F488" s="219">
        <v>7.9200000000000007E-2</v>
      </c>
    </row>
    <row r="489" spans="1:6" ht="12" thickBot="1">
      <c r="A489" s="216">
        <v>38404</v>
      </c>
      <c r="B489" s="217">
        <v>38410</v>
      </c>
      <c r="C489" s="218">
        <v>7.3800000000000004E-2</v>
      </c>
      <c r="D489" s="218">
        <v>8.0100000000000005E-2</v>
      </c>
      <c r="E489" s="218">
        <v>8.5000000000000006E-2</v>
      </c>
      <c r="F489" s="219">
        <v>7.9699999999999993E-2</v>
      </c>
    </row>
    <row r="490" spans="1:6" ht="12" thickBot="1">
      <c r="A490" s="216">
        <v>38397</v>
      </c>
      <c r="B490" s="217">
        <v>38403</v>
      </c>
      <c r="C490" s="218">
        <v>7.3800000000000004E-2</v>
      </c>
      <c r="D490" s="218">
        <v>0.08</v>
      </c>
      <c r="E490" s="218">
        <v>8.72E-2</v>
      </c>
      <c r="F490" s="219">
        <v>7.8E-2</v>
      </c>
    </row>
    <row r="491" spans="1:6" ht="12" thickBot="1">
      <c r="A491" s="216">
        <v>38390</v>
      </c>
      <c r="B491" s="217">
        <v>38396</v>
      </c>
      <c r="C491" s="218">
        <v>7.4999999999999997E-2</v>
      </c>
      <c r="D491" s="218">
        <v>8.09E-2</v>
      </c>
      <c r="E491" s="218">
        <v>8.5500000000000007E-2</v>
      </c>
      <c r="F491" s="219">
        <v>7.9000000000000001E-2</v>
      </c>
    </row>
    <row r="492" spans="1:6" ht="12" thickBot="1">
      <c r="A492" s="216">
        <v>38383</v>
      </c>
      <c r="B492" s="217">
        <v>38389</v>
      </c>
      <c r="C492" s="218">
        <v>7.6399999999999996E-2</v>
      </c>
      <c r="D492" s="218">
        <v>8.2699999999999996E-2</v>
      </c>
      <c r="E492" s="218">
        <v>8.9399999999999993E-2</v>
      </c>
      <c r="F492" s="219">
        <v>7.9000000000000001E-2</v>
      </c>
    </row>
    <row r="493" spans="1:6" ht="12" thickBot="1">
      <c r="A493" s="216">
        <v>38376</v>
      </c>
      <c r="B493" s="217">
        <v>38382</v>
      </c>
      <c r="C493" s="218">
        <v>7.6399999999999996E-2</v>
      </c>
      <c r="D493" s="218">
        <v>8.1600000000000006E-2</v>
      </c>
      <c r="E493" s="218">
        <v>8.4500000000000006E-2</v>
      </c>
      <c r="F493" s="219">
        <v>8.1500000000000003E-2</v>
      </c>
    </row>
    <row r="494" spans="1:6" ht="12" thickBot="1">
      <c r="A494" s="216">
        <v>38369</v>
      </c>
      <c r="B494" s="217">
        <v>38375</v>
      </c>
      <c r="C494" s="218">
        <v>7.7899999999999997E-2</v>
      </c>
      <c r="D494" s="218">
        <v>8.3799999999999999E-2</v>
      </c>
      <c r="E494" s="218">
        <v>8.9599999999999999E-2</v>
      </c>
      <c r="F494" s="219">
        <v>8.2299999999999998E-2</v>
      </c>
    </row>
    <row r="495" spans="1:6" ht="12" thickBot="1">
      <c r="A495" s="216">
        <v>38362</v>
      </c>
      <c r="B495" s="217">
        <v>38368</v>
      </c>
      <c r="C495" s="218">
        <v>7.6999999999999999E-2</v>
      </c>
      <c r="D495" s="218">
        <v>8.2600000000000007E-2</v>
      </c>
      <c r="E495" s="218">
        <v>8.4400000000000003E-2</v>
      </c>
      <c r="F495" s="219">
        <v>8.1799999999999998E-2</v>
      </c>
    </row>
    <row r="496" spans="1:6" ht="12" thickBot="1">
      <c r="A496" s="216">
        <v>38355</v>
      </c>
      <c r="B496" s="217">
        <v>38361</v>
      </c>
      <c r="C496" s="218">
        <v>7.7299999999999994E-2</v>
      </c>
      <c r="D496" s="218">
        <v>8.4500000000000006E-2</v>
      </c>
      <c r="E496" s="218">
        <v>8.6099999999999996E-2</v>
      </c>
      <c r="F496" s="219">
        <v>8.1100000000000005E-2</v>
      </c>
    </row>
    <row r="497" spans="1:6" ht="12" thickBot="1">
      <c r="A497" s="216">
        <v>38348</v>
      </c>
      <c r="B497" s="217">
        <v>38354</v>
      </c>
      <c r="C497" s="218">
        <v>7.7100000000000002E-2</v>
      </c>
      <c r="D497" s="218">
        <v>8.4500000000000006E-2</v>
      </c>
      <c r="E497" s="218">
        <v>8.8999999999999996E-2</v>
      </c>
      <c r="F497" s="219">
        <v>8.1299999999999997E-2</v>
      </c>
    </row>
    <row r="498" spans="1:6" ht="12" thickBot="1">
      <c r="A498" s="216">
        <v>38341</v>
      </c>
      <c r="B498" s="217">
        <v>38347</v>
      </c>
      <c r="C498" s="218">
        <v>7.7299999999999994E-2</v>
      </c>
      <c r="D498" s="218">
        <v>8.5199999999999998E-2</v>
      </c>
      <c r="E498" s="218">
        <v>8.8800000000000004E-2</v>
      </c>
      <c r="F498" s="219">
        <v>8.3699999999999997E-2</v>
      </c>
    </row>
    <row r="499" spans="1:6" ht="12" thickBot="1">
      <c r="A499" s="216">
        <v>38334</v>
      </c>
      <c r="B499" s="217">
        <v>38340</v>
      </c>
      <c r="C499" s="218">
        <v>7.7899999999999997E-2</v>
      </c>
      <c r="D499" s="218">
        <v>8.3900000000000002E-2</v>
      </c>
      <c r="E499" s="218">
        <v>8.7900000000000006E-2</v>
      </c>
      <c r="F499" s="219">
        <v>8.4900000000000003E-2</v>
      </c>
    </row>
    <row r="500" spans="1:6" ht="12" thickBot="1">
      <c r="A500" s="216">
        <v>38327</v>
      </c>
      <c r="B500" s="217">
        <v>38333</v>
      </c>
      <c r="C500" s="218">
        <v>7.7600000000000002E-2</v>
      </c>
      <c r="D500" s="218">
        <v>8.4199999999999997E-2</v>
      </c>
      <c r="E500" s="218">
        <v>8.8099999999999998E-2</v>
      </c>
      <c r="F500" s="219">
        <v>8.4199999999999997E-2</v>
      </c>
    </row>
    <row r="501" spans="1:6" ht="12" thickBot="1">
      <c r="A501" s="216">
        <v>38320</v>
      </c>
      <c r="B501" s="217">
        <v>38326</v>
      </c>
      <c r="C501" s="218">
        <v>7.6799999999999993E-2</v>
      </c>
      <c r="D501" s="218">
        <v>8.48E-2</v>
      </c>
      <c r="E501" s="218">
        <v>9.1999999999999998E-2</v>
      </c>
      <c r="F501" s="219">
        <v>8.3799999999999999E-2</v>
      </c>
    </row>
    <row r="502" spans="1:6" ht="12" thickBot="1">
      <c r="A502" s="216">
        <v>38313</v>
      </c>
      <c r="B502" s="217">
        <v>38319</v>
      </c>
      <c r="C502" s="218">
        <v>7.6799999999999993E-2</v>
      </c>
      <c r="D502" s="218">
        <v>8.5099999999999995E-2</v>
      </c>
      <c r="E502" s="218">
        <v>8.2900000000000001E-2</v>
      </c>
      <c r="F502" s="219">
        <v>8.1799999999999998E-2</v>
      </c>
    </row>
    <row r="503" spans="1:6" ht="12" thickBot="1">
      <c r="A503" s="216">
        <v>38306</v>
      </c>
      <c r="B503" s="217">
        <v>38312</v>
      </c>
      <c r="C503" s="218">
        <v>7.6899999999999996E-2</v>
      </c>
      <c r="D503" s="218">
        <v>8.2900000000000001E-2</v>
      </c>
      <c r="E503" s="218">
        <v>8.0199999999999994E-2</v>
      </c>
      <c r="F503" s="219">
        <v>8.3299999999999999E-2</v>
      </c>
    </row>
    <row r="504" spans="1:6" ht="12" thickBot="1">
      <c r="A504" s="216">
        <v>38299</v>
      </c>
      <c r="B504" s="217">
        <v>38305</v>
      </c>
      <c r="C504" s="218">
        <v>7.6700000000000004E-2</v>
      </c>
      <c r="D504" s="218">
        <v>8.43E-2</v>
      </c>
      <c r="E504" s="218">
        <v>8.2900000000000001E-2</v>
      </c>
      <c r="F504" s="219">
        <v>8.2299999999999998E-2</v>
      </c>
    </row>
    <row r="505" spans="1:6" ht="12" thickBot="1">
      <c r="A505" s="216">
        <v>38292</v>
      </c>
      <c r="B505" s="217">
        <v>38298</v>
      </c>
      <c r="C505" s="218">
        <v>7.6799999999999993E-2</v>
      </c>
      <c r="D505" s="218">
        <v>8.4099999999999994E-2</v>
      </c>
      <c r="E505" s="218">
        <v>7.4499999999999997E-2</v>
      </c>
      <c r="F505" s="219">
        <v>8.2900000000000001E-2</v>
      </c>
    </row>
    <row r="506" spans="1:6" ht="12" thickBot="1">
      <c r="A506" s="216">
        <v>38285</v>
      </c>
      <c r="B506" s="217">
        <v>38291</v>
      </c>
      <c r="C506" s="218">
        <v>7.7200000000000005E-2</v>
      </c>
      <c r="D506" s="218">
        <v>8.4500000000000006E-2</v>
      </c>
      <c r="E506" s="218">
        <v>7.1400000000000005E-2</v>
      </c>
      <c r="F506" s="219">
        <v>8.2400000000000001E-2</v>
      </c>
    </row>
    <row r="507" spans="1:6" ht="12" thickBot="1">
      <c r="A507" s="216">
        <v>38278</v>
      </c>
      <c r="B507" s="217">
        <v>38284</v>
      </c>
      <c r="C507" s="218">
        <v>7.6999999999999999E-2</v>
      </c>
      <c r="D507" s="218">
        <v>8.3199999999999996E-2</v>
      </c>
      <c r="E507" s="218">
        <v>7.4399999999999994E-2</v>
      </c>
      <c r="F507" s="219">
        <v>8.2299999999999998E-2</v>
      </c>
    </row>
    <row r="508" spans="1:6" ht="12" thickBot="1">
      <c r="A508" s="216">
        <v>38271</v>
      </c>
      <c r="B508" s="217">
        <v>38277</v>
      </c>
      <c r="C508" s="218">
        <v>7.6100000000000001E-2</v>
      </c>
      <c r="D508" s="218">
        <v>8.3900000000000002E-2</v>
      </c>
      <c r="E508" s="218">
        <v>7.6999999999999999E-2</v>
      </c>
      <c r="F508" s="219">
        <v>8.3099999999999993E-2</v>
      </c>
    </row>
    <row r="509" spans="1:6" ht="12" thickBot="1">
      <c r="A509" s="216">
        <v>38264</v>
      </c>
      <c r="B509" s="217">
        <v>38270</v>
      </c>
      <c r="C509" s="218">
        <v>7.6600000000000001E-2</v>
      </c>
      <c r="D509" s="218">
        <v>8.3099999999999993E-2</v>
      </c>
      <c r="E509" s="218">
        <v>8.5000000000000006E-2</v>
      </c>
      <c r="F509" s="219">
        <v>8.5199999999999998E-2</v>
      </c>
    </row>
    <row r="510" spans="1:6" ht="12" thickBot="1">
      <c r="A510" s="216">
        <v>38257</v>
      </c>
      <c r="B510" s="217">
        <v>38263</v>
      </c>
      <c r="C510" s="218">
        <v>7.7200000000000005E-2</v>
      </c>
      <c r="D510" s="218">
        <v>8.3000000000000004E-2</v>
      </c>
      <c r="E510" s="218">
        <v>8.3500000000000005E-2</v>
      </c>
      <c r="F510" s="219">
        <v>8.3400000000000002E-2</v>
      </c>
    </row>
    <row r="511" spans="1:6" ht="12" thickBot="1">
      <c r="A511" s="216">
        <v>38250</v>
      </c>
      <c r="B511" s="217">
        <v>38256</v>
      </c>
      <c r="C511" s="218">
        <v>7.7200000000000005E-2</v>
      </c>
      <c r="D511" s="218">
        <v>8.3699999999999997E-2</v>
      </c>
      <c r="E511" s="218">
        <v>8.5199999999999998E-2</v>
      </c>
      <c r="F511" s="219">
        <v>8.3299999999999999E-2</v>
      </c>
    </row>
    <row r="512" spans="1:6" ht="12" thickBot="1">
      <c r="A512" s="216">
        <v>38243</v>
      </c>
      <c r="B512" s="217">
        <v>38249</v>
      </c>
      <c r="C512" s="218">
        <v>7.7700000000000005E-2</v>
      </c>
      <c r="D512" s="218">
        <v>8.3599999999999994E-2</v>
      </c>
      <c r="E512" s="218">
        <v>8.8499999999999995E-2</v>
      </c>
      <c r="F512" s="219">
        <v>8.4199999999999997E-2</v>
      </c>
    </row>
    <row r="513" spans="1:6" ht="12" thickBot="1">
      <c r="A513" s="216">
        <v>38236</v>
      </c>
      <c r="B513" s="217">
        <v>38242</v>
      </c>
      <c r="C513" s="218">
        <v>7.8E-2</v>
      </c>
      <c r="D513" s="218">
        <v>8.1500000000000003E-2</v>
      </c>
      <c r="E513" s="218">
        <v>8.7599999999999997E-2</v>
      </c>
      <c r="F513" s="219">
        <v>8.4000000000000005E-2</v>
      </c>
    </row>
    <row r="514" spans="1:6" ht="12" thickBot="1">
      <c r="A514" s="216">
        <v>38229</v>
      </c>
      <c r="B514" s="217">
        <v>38235</v>
      </c>
      <c r="C514" s="218">
        <v>7.8E-2</v>
      </c>
      <c r="D514" s="218">
        <v>8.3699999999999997E-2</v>
      </c>
      <c r="E514" s="218">
        <v>8.5199999999999998E-2</v>
      </c>
      <c r="F514" s="219">
        <v>8.4400000000000003E-2</v>
      </c>
    </row>
    <row r="515" spans="1:6" ht="12" thickBot="1">
      <c r="A515" s="216">
        <v>38222</v>
      </c>
      <c r="B515" s="217">
        <v>38228</v>
      </c>
      <c r="C515" s="218">
        <v>7.7799999999999994E-2</v>
      </c>
      <c r="D515" s="218">
        <v>8.2600000000000007E-2</v>
      </c>
      <c r="E515" s="218">
        <v>8.5000000000000006E-2</v>
      </c>
      <c r="F515" s="219">
        <v>8.3000000000000004E-2</v>
      </c>
    </row>
    <row r="516" spans="1:6" ht="12" thickBot="1">
      <c r="A516" s="216">
        <v>38215</v>
      </c>
      <c r="B516" s="217">
        <v>38221</v>
      </c>
      <c r="C516" s="218">
        <v>7.7499999999999999E-2</v>
      </c>
      <c r="D516" s="218">
        <v>8.2799999999999999E-2</v>
      </c>
      <c r="E516" s="218">
        <v>8.43E-2</v>
      </c>
      <c r="F516" s="219">
        <v>8.4099999999999994E-2</v>
      </c>
    </row>
    <row r="517" spans="1:6" ht="12" thickBot="1">
      <c r="A517" s="216">
        <v>38208</v>
      </c>
      <c r="B517" s="217">
        <v>38214</v>
      </c>
      <c r="C517" s="218">
        <v>7.7299999999999994E-2</v>
      </c>
      <c r="D517" s="218">
        <v>8.2299999999999998E-2</v>
      </c>
      <c r="E517" s="218">
        <v>8.9399999999999993E-2</v>
      </c>
      <c r="F517" s="219">
        <v>8.4199999999999997E-2</v>
      </c>
    </row>
    <row r="518" spans="1:6" ht="12" thickBot="1">
      <c r="A518" s="216">
        <v>38201</v>
      </c>
      <c r="B518" s="217">
        <v>38207</v>
      </c>
      <c r="C518" s="218">
        <v>7.8700000000000006E-2</v>
      </c>
      <c r="D518" s="218">
        <v>8.3099999999999993E-2</v>
      </c>
      <c r="E518" s="218">
        <v>7.9500000000000001E-2</v>
      </c>
      <c r="F518" s="219">
        <v>8.5900000000000004E-2</v>
      </c>
    </row>
    <row r="519" spans="1:6" ht="12" thickBot="1">
      <c r="A519" s="216">
        <v>38194</v>
      </c>
      <c r="B519" s="217">
        <v>38200</v>
      </c>
      <c r="C519" s="218">
        <v>7.7899999999999997E-2</v>
      </c>
      <c r="D519" s="218">
        <v>8.4400000000000003E-2</v>
      </c>
      <c r="E519" s="218">
        <v>7.3300000000000004E-2</v>
      </c>
      <c r="F519" s="219">
        <v>8.5000000000000006E-2</v>
      </c>
    </row>
    <row r="520" spans="1:6" ht="12" thickBot="1">
      <c r="A520" s="216">
        <v>38187</v>
      </c>
      <c r="B520" s="217">
        <v>38193</v>
      </c>
      <c r="C520" s="218">
        <v>7.9100000000000004E-2</v>
      </c>
      <c r="D520" s="218">
        <v>8.2699999999999996E-2</v>
      </c>
      <c r="E520" s="218">
        <v>7.1400000000000005E-2</v>
      </c>
      <c r="F520" s="219">
        <v>8.7900000000000006E-2</v>
      </c>
    </row>
    <row r="521" spans="1:6" ht="12" thickBot="1">
      <c r="A521" s="216">
        <v>38180</v>
      </c>
      <c r="B521" s="217">
        <v>38186</v>
      </c>
      <c r="C521" s="218">
        <v>7.7600000000000002E-2</v>
      </c>
      <c r="D521" s="218">
        <v>8.5000000000000006E-2</v>
      </c>
      <c r="E521" s="218">
        <v>7.8299999999999995E-2</v>
      </c>
      <c r="F521" s="219">
        <v>8.5300000000000001E-2</v>
      </c>
    </row>
    <row r="522" spans="1:6" ht="12" thickBot="1">
      <c r="A522" s="216">
        <v>38173</v>
      </c>
      <c r="B522" s="217">
        <v>38179</v>
      </c>
      <c r="C522" s="218">
        <v>7.8899999999999998E-2</v>
      </c>
      <c r="D522" s="218">
        <v>8.3599999999999994E-2</v>
      </c>
      <c r="E522" s="218">
        <v>6.7100000000000007E-2</v>
      </c>
      <c r="F522" s="219">
        <v>8.7300000000000003E-2</v>
      </c>
    </row>
    <row r="523" spans="1:6" ht="12" thickBot="1">
      <c r="A523" s="216">
        <v>38166</v>
      </c>
      <c r="B523" s="217">
        <v>38172</v>
      </c>
      <c r="C523" s="218">
        <v>7.8100000000000003E-2</v>
      </c>
      <c r="D523" s="218">
        <v>8.3599999999999994E-2</v>
      </c>
      <c r="E523" s="218">
        <v>7.9500000000000001E-2</v>
      </c>
      <c r="F523" s="219">
        <v>8.5500000000000007E-2</v>
      </c>
    </row>
    <row r="524" spans="1:6" ht="12" thickBot="1">
      <c r="A524" s="216">
        <v>38159</v>
      </c>
      <c r="B524" s="217">
        <v>38165</v>
      </c>
      <c r="C524" s="218">
        <v>7.9000000000000001E-2</v>
      </c>
      <c r="D524" s="218">
        <v>8.6199999999999999E-2</v>
      </c>
      <c r="E524" s="218">
        <v>7.6600000000000001E-2</v>
      </c>
      <c r="F524" s="219">
        <v>8.6199999999999999E-2</v>
      </c>
    </row>
    <row r="525" spans="1:6" ht="12" thickBot="1">
      <c r="A525" s="216">
        <v>38152</v>
      </c>
      <c r="B525" s="217">
        <v>38158</v>
      </c>
      <c r="C525" s="218">
        <v>7.8399999999999997E-2</v>
      </c>
      <c r="D525" s="218">
        <v>8.4699999999999998E-2</v>
      </c>
      <c r="E525" s="218">
        <v>6.8400000000000002E-2</v>
      </c>
      <c r="F525" s="219">
        <v>8.4599999999999995E-2</v>
      </c>
    </row>
    <row r="526" spans="1:6" ht="12" thickBot="1">
      <c r="A526" s="216">
        <v>38145</v>
      </c>
      <c r="B526" s="217">
        <v>38151</v>
      </c>
      <c r="C526" s="218">
        <v>7.7299999999999994E-2</v>
      </c>
      <c r="D526" s="218">
        <v>8.5099999999999995E-2</v>
      </c>
      <c r="E526" s="218">
        <v>7.9000000000000001E-2</v>
      </c>
      <c r="F526" s="219">
        <v>8.5099999999999995E-2</v>
      </c>
    </row>
    <row r="527" spans="1:6" ht="12" thickBot="1">
      <c r="A527" s="216">
        <v>38138</v>
      </c>
      <c r="B527" s="217">
        <v>38144</v>
      </c>
      <c r="C527" s="218">
        <v>7.8899999999999998E-2</v>
      </c>
      <c r="D527" s="218">
        <v>8.5500000000000007E-2</v>
      </c>
      <c r="E527" s="218">
        <v>9.0899999999999995E-2</v>
      </c>
      <c r="F527" s="219">
        <v>8.6300000000000002E-2</v>
      </c>
    </row>
    <row r="528" spans="1:6" ht="12" thickBot="1">
      <c r="A528" s="216">
        <v>38131</v>
      </c>
      <c r="B528" s="217">
        <v>38137</v>
      </c>
      <c r="C528" s="218">
        <v>7.8E-2</v>
      </c>
      <c r="D528" s="218">
        <v>8.5800000000000001E-2</v>
      </c>
      <c r="E528" s="218">
        <v>8.5400000000000004E-2</v>
      </c>
      <c r="F528" s="219">
        <v>8.43E-2</v>
      </c>
    </row>
    <row r="529" spans="1:6" ht="12" thickBot="1">
      <c r="A529" s="216">
        <v>38124</v>
      </c>
      <c r="B529" s="217">
        <v>38130</v>
      </c>
      <c r="C529" s="218">
        <v>7.7600000000000002E-2</v>
      </c>
      <c r="D529" s="218">
        <v>8.4900000000000003E-2</v>
      </c>
      <c r="E529" s="218">
        <v>8.9200000000000002E-2</v>
      </c>
      <c r="F529" s="219">
        <v>8.6099999999999996E-2</v>
      </c>
    </row>
    <row r="530" spans="1:6" ht="12" thickBot="1">
      <c r="A530" s="216">
        <v>38117</v>
      </c>
      <c r="B530" s="217">
        <v>38123</v>
      </c>
      <c r="C530" s="218">
        <v>7.8700000000000006E-2</v>
      </c>
      <c r="D530" s="218">
        <v>8.5300000000000001E-2</v>
      </c>
      <c r="E530" s="218">
        <v>8.5000000000000006E-2</v>
      </c>
      <c r="F530" s="219">
        <v>8.6199999999999999E-2</v>
      </c>
    </row>
    <row r="531" spans="1:6" ht="12" thickBot="1">
      <c r="A531" s="216">
        <v>38110</v>
      </c>
      <c r="B531" s="217">
        <v>38116</v>
      </c>
      <c r="C531" s="218">
        <v>7.8899999999999998E-2</v>
      </c>
      <c r="D531" s="218">
        <v>8.5000000000000006E-2</v>
      </c>
      <c r="E531" s="218">
        <v>8.6999999999999994E-2</v>
      </c>
      <c r="F531" s="219">
        <v>8.5599999999999996E-2</v>
      </c>
    </row>
    <row r="532" spans="1:6" ht="12" thickBot="1">
      <c r="A532" s="216">
        <v>38103</v>
      </c>
      <c r="B532" s="217">
        <v>38109</v>
      </c>
      <c r="C532" s="218">
        <v>7.7499999999999999E-2</v>
      </c>
      <c r="D532" s="218">
        <v>8.4400000000000003E-2</v>
      </c>
      <c r="E532" s="218">
        <v>8.7599999999999997E-2</v>
      </c>
      <c r="F532" s="219">
        <v>8.6499999999999994E-2</v>
      </c>
    </row>
    <row r="533" spans="1:6" ht="12" thickBot="1">
      <c r="A533" s="216">
        <v>38096</v>
      </c>
      <c r="B533" s="217">
        <v>38102</v>
      </c>
      <c r="C533" s="218">
        <v>7.85E-2</v>
      </c>
      <c r="D533" s="218">
        <v>8.5599999999999996E-2</v>
      </c>
      <c r="E533" s="218">
        <v>8.5599999999999996E-2</v>
      </c>
      <c r="F533" s="219">
        <v>8.4400000000000003E-2</v>
      </c>
    </row>
    <row r="534" spans="1:6" ht="12" thickBot="1">
      <c r="A534" s="216">
        <v>38089</v>
      </c>
      <c r="B534" s="217">
        <v>38095</v>
      </c>
      <c r="C534" s="218">
        <v>7.7700000000000005E-2</v>
      </c>
      <c r="D534" s="218">
        <v>8.4500000000000006E-2</v>
      </c>
      <c r="E534" s="218">
        <v>8.3799999999999999E-2</v>
      </c>
      <c r="F534" s="219">
        <v>8.3900000000000002E-2</v>
      </c>
    </row>
    <row r="535" spans="1:6" ht="12" thickBot="1">
      <c r="A535" s="216">
        <v>38082</v>
      </c>
      <c r="B535" s="217">
        <v>38088</v>
      </c>
      <c r="C535" s="218">
        <v>7.6899999999999996E-2</v>
      </c>
      <c r="D535" s="218">
        <v>8.3699999999999997E-2</v>
      </c>
      <c r="E535" s="218">
        <v>8.6099999999999996E-2</v>
      </c>
      <c r="F535" s="219">
        <v>8.4599999999999995E-2</v>
      </c>
    </row>
    <row r="536" spans="1:6" ht="12" thickBot="1">
      <c r="A536" s="216">
        <v>38075</v>
      </c>
      <c r="B536" s="217">
        <v>38081</v>
      </c>
      <c r="C536" s="218">
        <v>7.8100000000000003E-2</v>
      </c>
      <c r="D536" s="218">
        <v>8.3099999999999993E-2</v>
      </c>
      <c r="E536" s="218">
        <v>8.48E-2</v>
      </c>
      <c r="F536" s="219">
        <v>8.5999999999999993E-2</v>
      </c>
    </row>
    <row r="537" spans="1:6" ht="12" thickBot="1">
      <c r="A537" s="216">
        <v>38068</v>
      </c>
      <c r="B537" s="217">
        <v>38074</v>
      </c>
      <c r="C537" s="218">
        <v>7.6700000000000004E-2</v>
      </c>
      <c r="D537" s="218">
        <v>8.43E-2</v>
      </c>
      <c r="E537" s="218">
        <v>8.8599999999999998E-2</v>
      </c>
      <c r="F537" s="219">
        <v>8.4500000000000006E-2</v>
      </c>
    </row>
    <row r="538" spans="1:6" ht="12" thickBot="1">
      <c r="A538" s="216">
        <v>38061</v>
      </c>
      <c r="B538" s="217">
        <v>38067</v>
      </c>
      <c r="C538" s="218">
        <v>7.7100000000000002E-2</v>
      </c>
      <c r="D538" s="218">
        <v>8.3699999999999997E-2</v>
      </c>
      <c r="E538" s="218">
        <v>8.5900000000000004E-2</v>
      </c>
      <c r="F538" s="219">
        <v>8.3500000000000005E-2</v>
      </c>
    </row>
    <row r="539" spans="1:6" ht="12" thickBot="1">
      <c r="A539" s="216">
        <v>38054</v>
      </c>
      <c r="B539" s="217">
        <v>38060</v>
      </c>
      <c r="C539" s="218">
        <v>8.0199999999999994E-2</v>
      </c>
      <c r="D539" s="218">
        <v>8.5400000000000004E-2</v>
      </c>
      <c r="E539" s="218">
        <v>8.6499999999999994E-2</v>
      </c>
      <c r="F539" s="219">
        <v>8.8599999999999998E-2</v>
      </c>
    </row>
    <row r="540" spans="1:6" ht="12" thickBot="1">
      <c r="A540" s="216">
        <v>38047</v>
      </c>
      <c r="B540" s="217">
        <v>38053</v>
      </c>
      <c r="C540" s="218">
        <v>7.6999999999999999E-2</v>
      </c>
      <c r="D540" s="218">
        <v>8.6099999999999996E-2</v>
      </c>
      <c r="E540" s="218">
        <v>0.09</v>
      </c>
      <c r="F540" s="219">
        <v>8.5199999999999998E-2</v>
      </c>
    </row>
    <row r="541" spans="1:6" ht="12" thickBot="1">
      <c r="A541" s="216">
        <v>38040</v>
      </c>
      <c r="B541" s="217">
        <v>38046</v>
      </c>
      <c r="C541" s="218">
        <v>7.7600000000000002E-2</v>
      </c>
      <c r="D541" s="218">
        <v>8.5000000000000006E-2</v>
      </c>
      <c r="E541" s="218">
        <v>8.8800000000000004E-2</v>
      </c>
      <c r="F541" s="219">
        <v>8.6099999999999996E-2</v>
      </c>
    </row>
    <row r="542" spans="1:6" ht="12" thickBot="1">
      <c r="A542" s="216">
        <v>38033</v>
      </c>
      <c r="B542" s="217">
        <v>38039</v>
      </c>
      <c r="C542" s="218">
        <v>7.9799999999999996E-2</v>
      </c>
      <c r="D542" s="218">
        <v>8.5500000000000007E-2</v>
      </c>
      <c r="E542" s="218">
        <v>8.9399999999999993E-2</v>
      </c>
      <c r="F542" s="219">
        <v>8.7800000000000003E-2</v>
      </c>
    </row>
    <row r="543" spans="1:6" ht="12" thickBot="1">
      <c r="A543" s="216">
        <v>38026</v>
      </c>
      <c r="B543" s="217">
        <v>38032</v>
      </c>
      <c r="C543" s="218">
        <v>7.9299999999999995E-2</v>
      </c>
      <c r="D543" s="218">
        <v>8.5699999999999998E-2</v>
      </c>
      <c r="E543" s="218">
        <v>8.8599999999999998E-2</v>
      </c>
      <c r="F543" s="219">
        <v>8.7999999999999995E-2</v>
      </c>
    </row>
    <row r="544" spans="1:6" ht="12" thickBot="1">
      <c r="A544" s="216">
        <v>38019</v>
      </c>
      <c r="B544" s="217">
        <v>38025</v>
      </c>
      <c r="C544" s="218">
        <v>8.0100000000000005E-2</v>
      </c>
      <c r="D544" s="218">
        <v>8.77E-2</v>
      </c>
      <c r="E544" s="218">
        <v>8.9099999999999999E-2</v>
      </c>
      <c r="F544" s="219">
        <v>8.6199999999999999E-2</v>
      </c>
    </row>
    <row r="545" spans="1:6" ht="12" thickBot="1">
      <c r="A545" s="216">
        <v>38012</v>
      </c>
      <c r="B545" s="217">
        <v>38018</v>
      </c>
      <c r="C545" s="218">
        <v>7.9899999999999999E-2</v>
      </c>
      <c r="D545" s="218">
        <v>8.5300000000000001E-2</v>
      </c>
      <c r="E545" s="218">
        <v>8.8300000000000003E-2</v>
      </c>
      <c r="F545" s="219">
        <v>8.8099999999999998E-2</v>
      </c>
    </row>
    <row r="546" spans="1:6" ht="12" thickBot="1">
      <c r="A546" s="216">
        <v>38005</v>
      </c>
      <c r="B546" s="217">
        <v>38011</v>
      </c>
      <c r="C546" s="218">
        <v>7.9000000000000001E-2</v>
      </c>
      <c r="D546" s="218">
        <v>8.6599999999999996E-2</v>
      </c>
      <c r="E546" s="218">
        <v>9.1200000000000003E-2</v>
      </c>
      <c r="F546" s="219">
        <v>8.6199999999999999E-2</v>
      </c>
    </row>
    <row r="547" spans="1:6" ht="12" thickBot="1">
      <c r="A547" s="216">
        <v>37998</v>
      </c>
      <c r="B547" s="217">
        <v>38004</v>
      </c>
      <c r="C547" s="218">
        <v>7.9899999999999999E-2</v>
      </c>
      <c r="D547" s="218">
        <v>8.6800000000000002E-2</v>
      </c>
      <c r="E547" s="218">
        <v>9.9400000000000002E-2</v>
      </c>
      <c r="F547" s="219">
        <v>8.5300000000000001E-2</v>
      </c>
    </row>
    <row r="548" spans="1:6" ht="12" thickBot="1">
      <c r="A548" s="216">
        <v>37991</v>
      </c>
      <c r="B548" s="217">
        <v>37997</v>
      </c>
      <c r="C548" s="218">
        <v>7.9600000000000004E-2</v>
      </c>
      <c r="D548" s="218">
        <v>8.5099999999999995E-2</v>
      </c>
      <c r="E548" s="218">
        <v>8.77E-2</v>
      </c>
      <c r="F548" s="219">
        <v>8.5099999999999995E-2</v>
      </c>
    </row>
    <row r="549" spans="1:6" ht="12" thickBot="1">
      <c r="A549" s="216">
        <v>37984</v>
      </c>
      <c r="B549" s="217">
        <v>37990</v>
      </c>
      <c r="C549" s="218">
        <v>7.9200000000000007E-2</v>
      </c>
      <c r="D549" s="218">
        <v>8.5900000000000004E-2</v>
      </c>
      <c r="E549" s="218">
        <v>9.0200000000000002E-2</v>
      </c>
      <c r="F549" s="219">
        <v>8.6999999999999994E-2</v>
      </c>
    </row>
    <row r="550" spans="1:6" ht="12" thickBot="1">
      <c r="A550" s="216">
        <v>37977</v>
      </c>
      <c r="B550" s="217">
        <v>37983</v>
      </c>
      <c r="C550" s="218">
        <v>7.8799999999999995E-2</v>
      </c>
      <c r="D550" s="218">
        <v>8.6900000000000005E-2</v>
      </c>
      <c r="E550" s="218">
        <v>9.01E-2</v>
      </c>
      <c r="F550" s="219">
        <v>8.7099999999999997E-2</v>
      </c>
    </row>
    <row r="551" spans="1:6" ht="12" thickBot="1">
      <c r="A551" s="216">
        <v>37970</v>
      </c>
      <c r="B551" s="217">
        <v>37976</v>
      </c>
      <c r="C551" s="218">
        <v>7.9299999999999995E-2</v>
      </c>
      <c r="D551" s="218">
        <v>8.7099999999999997E-2</v>
      </c>
      <c r="E551" s="218">
        <v>8.7800000000000003E-2</v>
      </c>
      <c r="F551" s="219">
        <v>8.5699999999999998E-2</v>
      </c>
    </row>
    <row r="552" spans="1:6" ht="12" thickBot="1">
      <c r="A552" s="216">
        <v>37963</v>
      </c>
      <c r="B552" s="217">
        <v>37969</v>
      </c>
      <c r="C552" s="218">
        <v>8.0100000000000005E-2</v>
      </c>
      <c r="D552" s="218">
        <v>8.7499999999999994E-2</v>
      </c>
      <c r="E552" s="218">
        <v>8.8700000000000001E-2</v>
      </c>
      <c r="F552" s="219">
        <v>8.7599999999999997E-2</v>
      </c>
    </row>
    <row r="553" spans="1:6" ht="12" thickBot="1">
      <c r="A553" s="216">
        <v>37956</v>
      </c>
      <c r="B553" s="217">
        <v>37962</v>
      </c>
      <c r="C553" s="218">
        <v>7.9399999999999998E-2</v>
      </c>
      <c r="D553" s="218">
        <v>8.5500000000000007E-2</v>
      </c>
      <c r="E553" s="218">
        <v>8.9899999999999994E-2</v>
      </c>
      <c r="F553" s="219">
        <v>8.6099999999999996E-2</v>
      </c>
    </row>
    <row r="554" spans="1:6" ht="12" thickBot="1">
      <c r="A554" s="216">
        <v>37949</v>
      </c>
      <c r="B554" s="217">
        <v>37955</v>
      </c>
      <c r="C554" s="218">
        <v>7.85E-2</v>
      </c>
      <c r="D554" s="218">
        <v>8.6499999999999994E-2</v>
      </c>
      <c r="E554" s="218">
        <v>8.8800000000000004E-2</v>
      </c>
      <c r="F554" s="219">
        <v>8.6400000000000005E-2</v>
      </c>
    </row>
    <row r="555" spans="1:6" ht="12" thickBot="1">
      <c r="A555" s="216">
        <v>37942</v>
      </c>
      <c r="B555" s="217">
        <v>37948</v>
      </c>
      <c r="C555" s="218">
        <v>7.9500000000000001E-2</v>
      </c>
      <c r="D555" s="218">
        <v>8.5999999999999993E-2</v>
      </c>
      <c r="E555" s="218">
        <v>8.5999999999999993E-2</v>
      </c>
      <c r="F555" s="219">
        <v>8.6599999999999996E-2</v>
      </c>
    </row>
    <row r="556" spans="1:6" ht="12" thickBot="1">
      <c r="A556" s="216">
        <v>37935</v>
      </c>
      <c r="B556" s="217">
        <v>37941</v>
      </c>
      <c r="C556" s="218">
        <v>7.9600000000000004E-2</v>
      </c>
      <c r="D556" s="218">
        <v>8.6199999999999999E-2</v>
      </c>
      <c r="E556" s="218">
        <v>7.3099999999999998E-2</v>
      </c>
      <c r="F556" s="219">
        <v>8.6900000000000005E-2</v>
      </c>
    </row>
    <row r="557" spans="1:6" ht="12" thickBot="1">
      <c r="A557" s="216">
        <v>37928</v>
      </c>
      <c r="B557" s="217">
        <v>37934</v>
      </c>
      <c r="C557" s="218">
        <v>7.9100000000000004E-2</v>
      </c>
      <c r="D557" s="218">
        <v>8.5800000000000001E-2</v>
      </c>
      <c r="E557" s="218">
        <v>7.6600000000000001E-2</v>
      </c>
      <c r="F557" s="219">
        <v>8.5500000000000007E-2</v>
      </c>
    </row>
    <row r="558" spans="1:6" ht="12" thickBot="1">
      <c r="A558" s="216">
        <v>37921</v>
      </c>
      <c r="B558" s="217">
        <v>37927</v>
      </c>
      <c r="C558" s="218">
        <v>7.8200000000000006E-2</v>
      </c>
      <c r="D558" s="218">
        <v>8.5900000000000004E-2</v>
      </c>
      <c r="E558" s="218">
        <v>8.43E-2</v>
      </c>
      <c r="F558" s="219">
        <v>8.6400000000000005E-2</v>
      </c>
    </row>
    <row r="559" spans="1:6" ht="12" thickBot="1">
      <c r="A559" s="216">
        <v>37914</v>
      </c>
      <c r="B559" s="217">
        <v>37920</v>
      </c>
      <c r="C559" s="218">
        <v>7.8399999999999997E-2</v>
      </c>
      <c r="D559" s="218">
        <v>8.6300000000000002E-2</v>
      </c>
      <c r="E559" s="218">
        <v>6.6000000000000003E-2</v>
      </c>
      <c r="F559" s="219">
        <v>8.5300000000000001E-2</v>
      </c>
    </row>
    <row r="560" spans="1:6" ht="12" thickBot="1">
      <c r="A560" s="216">
        <v>37907</v>
      </c>
      <c r="B560" s="217">
        <v>37913</v>
      </c>
      <c r="C560" s="218">
        <v>7.7499999999999999E-2</v>
      </c>
      <c r="D560" s="218">
        <v>8.3599999999999994E-2</v>
      </c>
      <c r="E560" s="218">
        <v>8.14E-2</v>
      </c>
      <c r="F560" s="219">
        <v>8.3699999999999997E-2</v>
      </c>
    </row>
    <row r="561" spans="1:6" ht="12" thickBot="1">
      <c r="A561" s="216">
        <v>37900</v>
      </c>
      <c r="B561" s="217">
        <v>37906</v>
      </c>
      <c r="C561" s="218">
        <v>7.6799999999999993E-2</v>
      </c>
      <c r="D561" s="218">
        <v>8.5000000000000006E-2</v>
      </c>
      <c r="E561" s="218">
        <v>7.6600000000000001E-2</v>
      </c>
      <c r="F561" s="219">
        <v>8.2000000000000003E-2</v>
      </c>
    </row>
    <row r="562" spans="1:6" ht="12" thickBot="1">
      <c r="A562" s="216">
        <v>37893</v>
      </c>
      <c r="B562" s="217">
        <v>37899</v>
      </c>
      <c r="C562" s="218">
        <v>7.7700000000000005E-2</v>
      </c>
      <c r="D562" s="218">
        <v>8.3799999999999999E-2</v>
      </c>
      <c r="E562" s="218">
        <v>8.5599999999999996E-2</v>
      </c>
      <c r="F562" s="219">
        <v>8.43E-2</v>
      </c>
    </row>
    <row r="563" spans="1:6" ht="12" thickBot="1">
      <c r="A563" s="216">
        <v>37886</v>
      </c>
      <c r="B563" s="217">
        <v>37892</v>
      </c>
      <c r="C563" s="218">
        <v>7.8299999999999995E-2</v>
      </c>
      <c r="D563" s="218">
        <v>8.5199999999999998E-2</v>
      </c>
      <c r="E563" s="218">
        <v>8.9099999999999999E-2</v>
      </c>
      <c r="F563" s="219">
        <v>8.4599999999999995E-2</v>
      </c>
    </row>
    <row r="564" spans="1:6" ht="12" thickBot="1">
      <c r="A564" s="216">
        <v>37879</v>
      </c>
      <c r="B564" s="217">
        <v>37885</v>
      </c>
      <c r="C564" s="218">
        <v>7.7799999999999994E-2</v>
      </c>
      <c r="D564" s="218">
        <v>8.5300000000000001E-2</v>
      </c>
      <c r="E564" s="218">
        <v>9.3399999999999997E-2</v>
      </c>
      <c r="F564" s="219">
        <v>8.4699999999999998E-2</v>
      </c>
    </row>
    <row r="565" spans="1:6" ht="12" thickBot="1">
      <c r="A565" s="216">
        <v>37872</v>
      </c>
      <c r="B565" s="217">
        <v>37878</v>
      </c>
      <c r="C565" s="218">
        <v>7.7899999999999997E-2</v>
      </c>
      <c r="D565" s="218">
        <v>8.4199999999999997E-2</v>
      </c>
      <c r="E565" s="218">
        <v>8.3799999999999999E-2</v>
      </c>
      <c r="F565" s="219">
        <v>8.5400000000000004E-2</v>
      </c>
    </row>
    <row r="566" spans="1:6" ht="12" thickBot="1">
      <c r="A566" s="216">
        <v>37865</v>
      </c>
      <c r="B566" s="217">
        <v>37871</v>
      </c>
      <c r="C566" s="218">
        <v>7.7600000000000002E-2</v>
      </c>
      <c r="D566" s="218">
        <v>8.3099999999999993E-2</v>
      </c>
      <c r="E566" s="218">
        <v>8.5400000000000004E-2</v>
      </c>
      <c r="F566" s="219">
        <v>8.4599999999999995E-2</v>
      </c>
    </row>
    <row r="567" spans="1:6" ht="12" thickBot="1">
      <c r="A567" s="216">
        <v>37858</v>
      </c>
      <c r="B567" s="217">
        <v>37864</v>
      </c>
      <c r="C567" s="218">
        <v>7.8799999999999995E-2</v>
      </c>
      <c r="D567" s="218">
        <v>8.5199999999999998E-2</v>
      </c>
      <c r="E567" s="218">
        <v>8.7599999999999997E-2</v>
      </c>
      <c r="F567" s="219">
        <v>8.5500000000000007E-2</v>
      </c>
    </row>
    <row r="568" spans="1:6" ht="12" thickBot="1">
      <c r="A568" s="216">
        <v>37851</v>
      </c>
      <c r="B568" s="217">
        <v>37857</v>
      </c>
      <c r="C568" s="218">
        <v>7.8700000000000006E-2</v>
      </c>
      <c r="D568" s="218">
        <v>8.3699999999999997E-2</v>
      </c>
      <c r="E568" s="218">
        <v>9.2499999999999999E-2</v>
      </c>
      <c r="F568" s="219">
        <v>8.4900000000000003E-2</v>
      </c>
    </row>
    <row r="569" spans="1:6" ht="12" thickBot="1">
      <c r="A569" s="216">
        <v>37844</v>
      </c>
      <c r="B569" s="217">
        <v>37850</v>
      </c>
      <c r="C569" s="218">
        <v>7.85E-2</v>
      </c>
      <c r="D569" s="218">
        <v>8.4400000000000003E-2</v>
      </c>
      <c r="E569" s="218">
        <v>8.5199999999999998E-2</v>
      </c>
      <c r="F569" s="219">
        <v>8.4000000000000005E-2</v>
      </c>
    </row>
    <row r="570" spans="1:6" ht="12" thickBot="1">
      <c r="A570" s="216">
        <v>37837</v>
      </c>
      <c r="B570" s="217">
        <v>37843</v>
      </c>
      <c r="C570" s="218">
        <v>7.8700000000000006E-2</v>
      </c>
      <c r="D570" s="218">
        <v>8.4599999999999995E-2</v>
      </c>
      <c r="E570" s="218">
        <v>7.9299999999999995E-2</v>
      </c>
      <c r="F570" s="219">
        <v>8.4900000000000003E-2</v>
      </c>
    </row>
    <row r="571" spans="1:6" ht="12" thickBot="1">
      <c r="A571" s="216">
        <v>37830</v>
      </c>
      <c r="B571" s="217">
        <v>37836</v>
      </c>
      <c r="C571" s="218">
        <v>7.8299999999999995E-2</v>
      </c>
      <c r="D571" s="218">
        <v>8.2900000000000001E-2</v>
      </c>
      <c r="E571" s="218">
        <v>8.0500000000000002E-2</v>
      </c>
      <c r="F571" s="219">
        <v>8.3199999999999996E-2</v>
      </c>
    </row>
    <row r="572" spans="1:6" ht="12" thickBot="1">
      <c r="A572" s="216">
        <v>37823</v>
      </c>
      <c r="B572" s="217">
        <v>37829</v>
      </c>
      <c r="C572" s="218">
        <v>7.8100000000000003E-2</v>
      </c>
      <c r="D572" s="218">
        <v>8.3400000000000002E-2</v>
      </c>
      <c r="E572" s="218">
        <v>8.0299999999999996E-2</v>
      </c>
      <c r="F572" s="219">
        <v>8.4599999999999995E-2</v>
      </c>
    </row>
    <row r="573" spans="1:6" ht="12" thickBot="1">
      <c r="A573" s="216">
        <v>37816</v>
      </c>
      <c r="B573" s="217">
        <v>37822</v>
      </c>
      <c r="C573" s="218">
        <v>7.7399999999999997E-2</v>
      </c>
      <c r="D573" s="218">
        <v>8.3599999999999994E-2</v>
      </c>
      <c r="E573" s="218">
        <v>7.8700000000000006E-2</v>
      </c>
      <c r="F573" s="219">
        <v>8.3099999999999993E-2</v>
      </c>
    </row>
    <row r="574" spans="1:6" ht="12" thickBot="1">
      <c r="A574" s="216">
        <v>37809</v>
      </c>
      <c r="B574" s="217">
        <v>37815</v>
      </c>
      <c r="C574" s="218">
        <v>7.8E-2</v>
      </c>
      <c r="D574" s="218">
        <v>8.1299999999999997E-2</v>
      </c>
      <c r="E574" s="218">
        <v>7.4800000000000005E-2</v>
      </c>
      <c r="F574" s="219">
        <v>8.43E-2</v>
      </c>
    </row>
    <row r="575" spans="1:6" ht="12" thickBot="1">
      <c r="A575" s="216">
        <v>37802</v>
      </c>
      <c r="B575" s="217">
        <v>37808</v>
      </c>
      <c r="C575" s="218">
        <v>7.8100000000000003E-2</v>
      </c>
      <c r="D575" s="218">
        <v>8.3699999999999997E-2</v>
      </c>
      <c r="E575" s="218">
        <v>7.5499999999999998E-2</v>
      </c>
      <c r="F575" s="219">
        <v>8.2799999999999999E-2</v>
      </c>
    </row>
    <row r="576" spans="1:6" ht="12" thickBot="1">
      <c r="A576" s="216">
        <v>37795</v>
      </c>
      <c r="B576" s="217">
        <v>37801</v>
      </c>
      <c r="C576" s="218">
        <v>7.7799999999999994E-2</v>
      </c>
      <c r="D576" s="218">
        <v>8.3000000000000004E-2</v>
      </c>
      <c r="E576" s="218">
        <v>7.5700000000000003E-2</v>
      </c>
      <c r="F576" s="219">
        <v>8.4000000000000005E-2</v>
      </c>
    </row>
    <row r="577" spans="1:6" ht="12" thickBot="1">
      <c r="A577" s="216">
        <v>37788</v>
      </c>
      <c r="B577" s="217">
        <v>37794</v>
      </c>
      <c r="C577" s="218">
        <v>7.7700000000000005E-2</v>
      </c>
      <c r="D577" s="218">
        <v>8.4099999999999994E-2</v>
      </c>
      <c r="E577" s="218">
        <v>8.6900000000000005E-2</v>
      </c>
      <c r="F577" s="219">
        <v>8.4199999999999997E-2</v>
      </c>
    </row>
    <row r="578" spans="1:6" ht="12" thickBot="1">
      <c r="A578" s="216">
        <v>37781</v>
      </c>
      <c r="B578" s="217">
        <v>37787</v>
      </c>
      <c r="C578" s="218">
        <v>7.7499999999999999E-2</v>
      </c>
      <c r="D578" s="218">
        <v>8.4099999999999994E-2</v>
      </c>
      <c r="E578" s="218">
        <v>8.2400000000000001E-2</v>
      </c>
      <c r="F578" s="219">
        <v>8.4699999999999998E-2</v>
      </c>
    </row>
    <row r="579" spans="1:6" ht="12" thickBot="1">
      <c r="A579" s="216">
        <v>37774</v>
      </c>
      <c r="B579" s="217">
        <v>37780</v>
      </c>
      <c r="C579" s="218">
        <v>7.7600000000000002E-2</v>
      </c>
      <c r="D579" s="218">
        <v>8.3400000000000002E-2</v>
      </c>
      <c r="E579" s="218">
        <v>8.5000000000000006E-2</v>
      </c>
      <c r="F579" s="219">
        <v>8.4599999999999995E-2</v>
      </c>
    </row>
    <row r="580" spans="1:6" ht="12" thickBot="1">
      <c r="A580" s="216">
        <v>37767</v>
      </c>
      <c r="B580" s="217">
        <v>37773</v>
      </c>
      <c r="C580" s="218">
        <v>7.8100000000000003E-2</v>
      </c>
      <c r="D580" s="218">
        <v>8.3299999999999999E-2</v>
      </c>
      <c r="E580" s="218">
        <v>8.5800000000000001E-2</v>
      </c>
      <c r="F580" s="219">
        <v>8.4699999999999998E-2</v>
      </c>
    </row>
    <row r="581" spans="1:6" ht="12" thickBot="1">
      <c r="A581" s="216">
        <v>37760</v>
      </c>
      <c r="B581" s="217">
        <v>37766</v>
      </c>
      <c r="C581" s="218">
        <v>7.8100000000000003E-2</v>
      </c>
      <c r="D581" s="218">
        <v>8.2600000000000007E-2</v>
      </c>
      <c r="E581" s="218">
        <v>8.5199999999999998E-2</v>
      </c>
      <c r="F581" s="219">
        <v>8.3500000000000005E-2</v>
      </c>
    </row>
    <row r="582" spans="1:6" ht="12" thickBot="1">
      <c r="A582" s="216">
        <v>37753</v>
      </c>
      <c r="B582" s="217">
        <v>37759</v>
      </c>
      <c r="C582" s="218">
        <v>7.7899999999999997E-2</v>
      </c>
      <c r="D582" s="218">
        <v>8.3299999999999999E-2</v>
      </c>
      <c r="E582" s="218">
        <v>9.1800000000000007E-2</v>
      </c>
      <c r="F582" s="219">
        <v>8.3500000000000005E-2</v>
      </c>
    </row>
    <row r="583" spans="1:6" ht="12" thickBot="1">
      <c r="A583" s="216">
        <v>37746</v>
      </c>
      <c r="B583" s="217">
        <v>37752</v>
      </c>
      <c r="C583" s="218">
        <v>7.7600000000000002E-2</v>
      </c>
      <c r="D583" s="218">
        <v>8.3900000000000002E-2</v>
      </c>
      <c r="E583" s="218">
        <v>0.1013</v>
      </c>
      <c r="F583" s="219">
        <v>8.1100000000000005E-2</v>
      </c>
    </row>
    <row r="584" spans="1:6" ht="12" thickBot="1">
      <c r="A584" s="216">
        <v>37739</v>
      </c>
      <c r="B584" s="217">
        <v>37745</v>
      </c>
      <c r="C584" s="218">
        <v>7.7100000000000002E-2</v>
      </c>
      <c r="D584" s="218">
        <v>8.3699999999999997E-2</v>
      </c>
      <c r="E584" s="218">
        <v>8.6300000000000002E-2</v>
      </c>
      <c r="F584" s="219">
        <v>8.1699999999999995E-2</v>
      </c>
    </row>
    <row r="585" spans="1:6" ht="12" thickBot="1">
      <c r="A585" s="216">
        <v>37732</v>
      </c>
      <c r="B585" s="217">
        <v>37738</v>
      </c>
      <c r="C585" s="218">
        <v>7.7200000000000005E-2</v>
      </c>
      <c r="D585" s="218">
        <v>8.3699999999999997E-2</v>
      </c>
      <c r="E585" s="218">
        <v>8.6400000000000005E-2</v>
      </c>
      <c r="F585" s="219">
        <v>8.3299999999999999E-2</v>
      </c>
    </row>
    <row r="586" spans="1:6" ht="12" thickBot="1">
      <c r="A586" s="216">
        <v>37725</v>
      </c>
      <c r="B586" s="217">
        <v>37731</v>
      </c>
      <c r="C586" s="218">
        <v>7.6799999999999993E-2</v>
      </c>
      <c r="D586" s="218">
        <v>8.2799999999999999E-2</v>
      </c>
      <c r="E586" s="218">
        <v>9.4899999999999998E-2</v>
      </c>
      <c r="F586" s="219">
        <v>8.1199999999999994E-2</v>
      </c>
    </row>
    <row r="587" spans="1:6" ht="12" thickBot="1">
      <c r="A587" s="216">
        <v>37718</v>
      </c>
      <c r="B587" s="217">
        <v>37724</v>
      </c>
      <c r="C587" s="218">
        <v>7.6799999999999993E-2</v>
      </c>
      <c r="D587" s="218">
        <v>8.3000000000000004E-2</v>
      </c>
      <c r="E587" s="218">
        <v>8.9099999999999999E-2</v>
      </c>
      <c r="F587" s="219">
        <v>8.2699999999999996E-2</v>
      </c>
    </row>
    <row r="588" spans="1:6" ht="12" thickBot="1">
      <c r="A588" s="216">
        <v>37711</v>
      </c>
      <c r="B588" s="217">
        <v>37717</v>
      </c>
      <c r="C588" s="218">
        <v>7.6799999999999993E-2</v>
      </c>
      <c r="D588" s="218">
        <v>8.1799999999999998E-2</v>
      </c>
      <c r="E588" s="218">
        <v>8.3299999999999999E-2</v>
      </c>
      <c r="F588" s="219">
        <v>8.0500000000000002E-2</v>
      </c>
    </row>
    <row r="589" spans="1:6" ht="12" thickBot="1">
      <c r="A589" s="216">
        <v>37704</v>
      </c>
      <c r="B589" s="217">
        <v>37710</v>
      </c>
      <c r="C589" s="218">
        <v>7.8E-2</v>
      </c>
      <c r="D589" s="218">
        <v>8.2000000000000003E-2</v>
      </c>
      <c r="E589" s="218">
        <v>7.85E-2</v>
      </c>
      <c r="F589" s="219">
        <v>8.0600000000000005E-2</v>
      </c>
    </row>
    <row r="590" spans="1:6" ht="12" thickBot="1">
      <c r="A590" s="216">
        <v>37697</v>
      </c>
      <c r="B590" s="217">
        <v>37703</v>
      </c>
      <c r="C590" s="218">
        <v>7.7499999999999999E-2</v>
      </c>
      <c r="D590" s="218">
        <v>8.1600000000000006E-2</v>
      </c>
      <c r="E590" s="218">
        <v>8.5400000000000004E-2</v>
      </c>
      <c r="F590" s="219">
        <v>8.2500000000000004E-2</v>
      </c>
    </row>
    <row r="591" spans="1:6" ht="12" thickBot="1">
      <c r="A591" s="216">
        <v>37690</v>
      </c>
      <c r="B591" s="217">
        <v>37696</v>
      </c>
      <c r="C591" s="218">
        <v>7.8399999999999997E-2</v>
      </c>
      <c r="D591" s="218">
        <v>8.3400000000000002E-2</v>
      </c>
      <c r="E591" s="218">
        <v>8.6699999999999999E-2</v>
      </c>
      <c r="F591" s="219">
        <v>8.3299999999999999E-2</v>
      </c>
    </row>
    <row r="592" spans="1:6" ht="12" thickBot="1">
      <c r="A592" s="216">
        <v>37683</v>
      </c>
      <c r="B592" s="217">
        <v>37689</v>
      </c>
      <c r="C592" s="218">
        <v>7.7700000000000005E-2</v>
      </c>
      <c r="D592" s="218">
        <v>8.2799999999999999E-2</v>
      </c>
      <c r="E592" s="218">
        <v>9.5399999999999999E-2</v>
      </c>
      <c r="F592" s="219">
        <v>8.1900000000000001E-2</v>
      </c>
    </row>
    <row r="593" spans="1:6" ht="12" thickBot="1">
      <c r="A593" s="216">
        <v>37676</v>
      </c>
      <c r="B593" s="217">
        <v>37682</v>
      </c>
      <c r="C593" s="218">
        <v>7.8200000000000006E-2</v>
      </c>
      <c r="D593" s="218">
        <v>8.2400000000000001E-2</v>
      </c>
      <c r="E593" s="218">
        <v>8.4699999999999998E-2</v>
      </c>
      <c r="F593" s="219">
        <v>8.3000000000000004E-2</v>
      </c>
    </row>
    <row r="594" spans="1:6" ht="12" thickBot="1">
      <c r="A594" s="216">
        <v>37669</v>
      </c>
      <c r="B594" s="217">
        <v>37675</v>
      </c>
      <c r="C594" s="218">
        <v>7.6899999999999996E-2</v>
      </c>
      <c r="D594" s="218">
        <v>8.1500000000000003E-2</v>
      </c>
      <c r="E594" s="218">
        <v>0.1149</v>
      </c>
      <c r="F594" s="219">
        <v>0.08</v>
      </c>
    </row>
    <row r="595" spans="1:6" ht="12" thickBot="1">
      <c r="A595" s="216">
        <v>37662</v>
      </c>
      <c r="B595" s="217">
        <v>37668</v>
      </c>
      <c r="C595" s="218">
        <v>7.7499999999999999E-2</v>
      </c>
      <c r="D595" s="218">
        <v>8.2500000000000004E-2</v>
      </c>
      <c r="E595" s="218">
        <v>8.43E-2</v>
      </c>
      <c r="F595" s="219">
        <v>8.2799999999999999E-2</v>
      </c>
    </row>
    <row r="596" spans="1:6" ht="12" thickBot="1">
      <c r="A596" s="216">
        <v>37655</v>
      </c>
      <c r="B596" s="217">
        <v>37661</v>
      </c>
      <c r="C596" s="218">
        <v>7.7799999999999994E-2</v>
      </c>
      <c r="D596" s="218">
        <v>8.3500000000000005E-2</v>
      </c>
      <c r="E596" s="218">
        <v>8.0699999999999994E-2</v>
      </c>
      <c r="F596" s="219">
        <v>8.2600000000000007E-2</v>
      </c>
    </row>
    <row r="597" spans="1:6" ht="12" thickBot="1">
      <c r="A597" s="216">
        <v>37648</v>
      </c>
      <c r="B597" s="217">
        <v>37654</v>
      </c>
      <c r="C597" s="218">
        <v>7.6499999999999999E-2</v>
      </c>
      <c r="D597" s="218">
        <v>8.2199999999999995E-2</v>
      </c>
      <c r="E597" s="218">
        <v>9.3399999999999997E-2</v>
      </c>
      <c r="F597" s="219">
        <v>8.2500000000000004E-2</v>
      </c>
    </row>
    <row r="598" spans="1:6" ht="12" thickBot="1">
      <c r="A598" s="216">
        <v>37641</v>
      </c>
      <c r="B598" s="217">
        <v>37647</v>
      </c>
      <c r="C598" s="218">
        <v>7.5999999999999998E-2</v>
      </c>
      <c r="D598" s="218">
        <v>8.3000000000000004E-2</v>
      </c>
      <c r="E598" s="218">
        <v>8.4099999999999994E-2</v>
      </c>
      <c r="F598" s="219">
        <v>8.1600000000000006E-2</v>
      </c>
    </row>
    <row r="599" spans="1:6" ht="12" thickBot="1">
      <c r="A599" s="216">
        <v>37634</v>
      </c>
      <c r="B599" s="217">
        <v>37640</v>
      </c>
      <c r="C599" s="218">
        <v>7.6200000000000004E-2</v>
      </c>
      <c r="D599" s="218">
        <v>8.4099999999999994E-2</v>
      </c>
      <c r="E599" s="218">
        <v>8.7599999999999997E-2</v>
      </c>
      <c r="F599" s="219">
        <v>7.8700000000000006E-2</v>
      </c>
    </row>
    <row r="600" spans="1:6" ht="12" thickBot="1">
      <c r="A600" s="216">
        <v>37627</v>
      </c>
      <c r="B600" s="217">
        <v>37633</v>
      </c>
      <c r="C600" s="218">
        <v>7.6999999999999999E-2</v>
      </c>
      <c r="D600" s="218">
        <v>8.3299999999999999E-2</v>
      </c>
      <c r="E600" s="218">
        <v>8.5500000000000007E-2</v>
      </c>
      <c r="F600" s="219">
        <v>8.1799999999999998E-2</v>
      </c>
    </row>
    <row r="601" spans="1:6" ht="12" thickBot="1">
      <c r="A601" s="216">
        <v>37620</v>
      </c>
      <c r="B601" s="217">
        <v>37626</v>
      </c>
      <c r="C601" s="218">
        <v>7.6999999999999999E-2</v>
      </c>
      <c r="D601" s="218">
        <v>8.5300000000000001E-2</v>
      </c>
      <c r="E601" s="218">
        <v>8.1900000000000001E-2</v>
      </c>
      <c r="F601" s="219">
        <v>8.2400000000000001E-2</v>
      </c>
    </row>
    <row r="602" spans="1:6" ht="12" thickBot="1">
      <c r="A602" s="216">
        <v>37613</v>
      </c>
      <c r="B602" s="217">
        <v>37619</v>
      </c>
      <c r="C602" s="218">
        <v>7.7299999999999994E-2</v>
      </c>
      <c r="D602" s="218">
        <v>8.4699999999999998E-2</v>
      </c>
      <c r="E602" s="218">
        <v>8.3299999999999999E-2</v>
      </c>
      <c r="F602" s="219">
        <v>8.2799999999999999E-2</v>
      </c>
    </row>
    <row r="603" spans="1:6" ht="12" thickBot="1">
      <c r="A603" s="216">
        <v>37606</v>
      </c>
      <c r="B603" s="217">
        <v>37612</v>
      </c>
      <c r="C603" s="218">
        <v>7.7600000000000002E-2</v>
      </c>
      <c r="D603" s="218">
        <v>8.5000000000000006E-2</v>
      </c>
      <c r="E603" s="218">
        <v>8.09E-2</v>
      </c>
      <c r="F603" s="219">
        <v>8.3699999999999997E-2</v>
      </c>
    </row>
    <row r="604" spans="1:6" ht="12" thickBot="1">
      <c r="A604" s="216">
        <v>37599</v>
      </c>
      <c r="B604" s="217">
        <v>37605</v>
      </c>
      <c r="C604" s="218">
        <v>7.7200000000000005E-2</v>
      </c>
      <c r="D604" s="218">
        <v>8.5000000000000006E-2</v>
      </c>
      <c r="E604" s="218">
        <v>8.2400000000000001E-2</v>
      </c>
      <c r="F604" s="219">
        <v>8.2699999999999996E-2</v>
      </c>
    </row>
    <row r="605" spans="1:6" ht="12" thickBot="1">
      <c r="A605" s="216">
        <v>37592</v>
      </c>
      <c r="B605" s="217">
        <v>37598</v>
      </c>
      <c r="C605" s="218">
        <v>7.85E-2</v>
      </c>
      <c r="D605" s="218">
        <v>8.6099999999999996E-2</v>
      </c>
      <c r="E605" s="218">
        <v>8.8499999999999995E-2</v>
      </c>
      <c r="F605" s="219">
        <v>8.1600000000000006E-2</v>
      </c>
    </row>
    <row r="606" spans="1:6" ht="12" thickBot="1">
      <c r="A606" s="216">
        <v>37585</v>
      </c>
      <c r="B606" s="217">
        <v>37591</v>
      </c>
      <c r="C606" s="218">
        <v>7.9100000000000004E-2</v>
      </c>
      <c r="D606" s="218">
        <v>8.5500000000000007E-2</v>
      </c>
      <c r="E606" s="218">
        <v>8.1100000000000005E-2</v>
      </c>
      <c r="F606" s="219">
        <v>8.5300000000000001E-2</v>
      </c>
    </row>
    <row r="607" spans="1:6" ht="12" thickBot="1">
      <c r="A607" s="216">
        <v>37578</v>
      </c>
      <c r="B607" s="217">
        <v>37584</v>
      </c>
      <c r="C607" s="218">
        <v>7.9299999999999995E-2</v>
      </c>
      <c r="D607" s="218">
        <v>8.6199999999999999E-2</v>
      </c>
      <c r="E607" s="218">
        <v>7.8799999999999995E-2</v>
      </c>
      <c r="F607" s="219">
        <v>8.2600000000000007E-2</v>
      </c>
    </row>
    <row r="608" spans="1:6" ht="12" thickBot="1">
      <c r="A608" s="216">
        <v>37571</v>
      </c>
      <c r="B608" s="217">
        <v>37577</v>
      </c>
      <c r="C608" s="218">
        <v>7.9100000000000004E-2</v>
      </c>
      <c r="D608" s="218">
        <v>8.5800000000000001E-2</v>
      </c>
      <c r="E608" s="218">
        <v>7.9799999999999996E-2</v>
      </c>
      <c r="F608" s="219">
        <v>8.3599999999999994E-2</v>
      </c>
    </row>
    <row r="609" spans="1:6" ht="12" thickBot="1">
      <c r="A609" s="216">
        <v>37564</v>
      </c>
      <c r="B609" s="217">
        <v>37570</v>
      </c>
      <c r="C609" s="218">
        <v>7.9100000000000004E-2</v>
      </c>
      <c r="D609" s="218">
        <v>8.6099999999999996E-2</v>
      </c>
      <c r="E609" s="218">
        <v>7.2800000000000004E-2</v>
      </c>
      <c r="F609" s="219">
        <v>8.2699999999999996E-2</v>
      </c>
    </row>
    <row r="610" spans="1:6" ht="12" thickBot="1">
      <c r="A610" s="216">
        <v>37557</v>
      </c>
      <c r="B610" s="217">
        <v>37563</v>
      </c>
      <c r="C610" s="218">
        <v>7.9000000000000001E-2</v>
      </c>
      <c r="D610" s="218">
        <v>8.6400000000000005E-2</v>
      </c>
      <c r="E610" s="218">
        <v>7.7200000000000005E-2</v>
      </c>
      <c r="F610" s="219">
        <v>8.1900000000000001E-2</v>
      </c>
    </row>
    <row r="611" spans="1:6" ht="12" thickBot="1">
      <c r="A611" s="216">
        <v>37550</v>
      </c>
      <c r="B611" s="217">
        <v>37556</v>
      </c>
      <c r="C611" s="218">
        <v>7.9699999999999993E-2</v>
      </c>
      <c r="D611" s="218">
        <v>8.6699999999999999E-2</v>
      </c>
      <c r="E611" s="218">
        <v>7.4300000000000005E-2</v>
      </c>
      <c r="F611" s="219">
        <v>8.2000000000000003E-2</v>
      </c>
    </row>
    <row r="612" spans="1:6" ht="12" thickBot="1">
      <c r="A612" s="216">
        <v>37543</v>
      </c>
      <c r="B612" s="217">
        <v>37549</v>
      </c>
      <c r="C612" s="218">
        <v>7.8399999999999997E-2</v>
      </c>
      <c r="D612" s="218">
        <v>8.6199999999999999E-2</v>
      </c>
      <c r="E612" s="218">
        <v>7.7799999999999994E-2</v>
      </c>
      <c r="F612" s="219">
        <v>8.2600000000000007E-2</v>
      </c>
    </row>
    <row r="613" spans="1:6" ht="12" thickBot="1">
      <c r="A613" s="216">
        <v>37536</v>
      </c>
      <c r="B613" s="217">
        <v>37542</v>
      </c>
      <c r="C613" s="218">
        <v>7.7700000000000005E-2</v>
      </c>
      <c r="D613" s="218">
        <v>8.77E-2</v>
      </c>
      <c r="E613" s="218">
        <v>8.5900000000000004E-2</v>
      </c>
      <c r="F613" s="219">
        <v>8.2400000000000001E-2</v>
      </c>
    </row>
    <row r="614" spans="1:6" ht="12" thickBot="1">
      <c r="A614" s="216">
        <v>37529</v>
      </c>
      <c r="B614" s="217">
        <v>37535</v>
      </c>
      <c r="C614" s="218">
        <v>7.9100000000000004E-2</v>
      </c>
      <c r="D614" s="218">
        <v>8.8200000000000001E-2</v>
      </c>
      <c r="E614" s="218">
        <v>8.9099999999999999E-2</v>
      </c>
      <c r="F614" s="219">
        <v>8.3599999999999994E-2</v>
      </c>
    </row>
    <row r="615" spans="1:6" ht="12" thickBot="1">
      <c r="A615" s="216">
        <v>37522</v>
      </c>
      <c r="B615" s="217">
        <v>37528</v>
      </c>
      <c r="C615" s="218">
        <v>7.9299999999999995E-2</v>
      </c>
      <c r="D615" s="218">
        <v>8.6400000000000005E-2</v>
      </c>
      <c r="E615" s="218">
        <v>8.8599999999999998E-2</v>
      </c>
      <c r="F615" s="219">
        <v>8.2900000000000001E-2</v>
      </c>
    </row>
    <row r="616" spans="1:6" ht="12" thickBot="1">
      <c r="A616" s="216">
        <v>37515</v>
      </c>
      <c r="B616" s="217">
        <v>37521</v>
      </c>
      <c r="C616" s="218">
        <v>7.9600000000000004E-2</v>
      </c>
      <c r="D616" s="218">
        <v>8.7099999999999997E-2</v>
      </c>
      <c r="E616" s="218">
        <v>8.7300000000000003E-2</v>
      </c>
      <c r="F616" s="219">
        <v>8.48E-2</v>
      </c>
    </row>
    <row r="617" spans="1:6" ht="12" thickBot="1">
      <c r="A617" s="216">
        <v>37508</v>
      </c>
      <c r="B617" s="217">
        <v>37514</v>
      </c>
      <c r="C617" s="218">
        <v>7.9600000000000004E-2</v>
      </c>
      <c r="D617" s="218">
        <v>8.5999999999999993E-2</v>
      </c>
      <c r="E617" s="218">
        <v>8.7300000000000003E-2</v>
      </c>
      <c r="F617" s="219">
        <v>8.4699999999999998E-2</v>
      </c>
    </row>
    <row r="618" spans="1:6" ht="12" thickBot="1">
      <c r="A618" s="216">
        <v>37501</v>
      </c>
      <c r="B618" s="217">
        <v>37507</v>
      </c>
      <c r="C618" s="218">
        <v>7.9399999999999998E-2</v>
      </c>
      <c r="D618" s="218">
        <v>8.5699999999999998E-2</v>
      </c>
      <c r="E618" s="218">
        <v>9.0200000000000002E-2</v>
      </c>
      <c r="F618" s="219">
        <v>8.4099999999999994E-2</v>
      </c>
    </row>
    <row r="619" spans="1:6" ht="12" thickBot="1">
      <c r="A619" s="216">
        <v>37494</v>
      </c>
      <c r="B619" s="217">
        <v>37500</v>
      </c>
      <c r="C619" s="218">
        <v>0.08</v>
      </c>
      <c r="D619" s="218">
        <v>8.5599999999999996E-2</v>
      </c>
      <c r="E619" s="218">
        <v>8.8400000000000006E-2</v>
      </c>
      <c r="F619" s="219">
        <v>8.4599999999999995E-2</v>
      </c>
    </row>
    <row r="620" spans="1:6" ht="12" thickBot="1">
      <c r="A620" s="216">
        <v>37487</v>
      </c>
      <c r="B620" s="217">
        <v>37493</v>
      </c>
      <c r="C620" s="218">
        <v>7.8200000000000006E-2</v>
      </c>
      <c r="D620" s="218">
        <v>8.4400000000000003E-2</v>
      </c>
      <c r="E620" s="218">
        <v>8.7900000000000006E-2</v>
      </c>
      <c r="F620" s="219">
        <v>8.1500000000000003E-2</v>
      </c>
    </row>
    <row r="621" spans="1:6" ht="12" thickBot="1">
      <c r="A621" s="216">
        <v>37480</v>
      </c>
      <c r="B621" s="217">
        <v>37486</v>
      </c>
      <c r="C621" s="218">
        <v>7.8799999999999995E-2</v>
      </c>
      <c r="D621" s="218">
        <v>8.3799999999999999E-2</v>
      </c>
      <c r="E621" s="218">
        <v>8.77E-2</v>
      </c>
      <c r="F621" s="219">
        <v>8.3500000000000005E-2</v>
      </c>
    </row>
    <row r="622" spans="1:6" ht="12" thickBot="1">
      <c r="A622" s="216">
        <v>37473</v>
      </c>
      <c r="B622" s="217">
        <v>37479</v>
      </c>
      <c r="C622" s="218">
        <v>7.7299999999999994E-2</v>
      </c>
      <c r="D622" s="218">
        <v>8.3599999999999994E-2</v>
      </c>
      <c r="E622" s="218">
        <v>9.35E-2</v>
      </c>
      <c r="F622" s="219">
        <v>8.0699999999999994E-2</v>
      </c>
    </row>
    <row r="623" spans="1:6" ht="12" thickBot="1">
      <c r="A623" s="216">
        <v>37466</v>
      </c>
      <c r="B623" s="217">
        <v>37472</v>
      </c>
      <c r="C623" s="218">
        <v>7.7399999999999997E-2</v>
      </c>
      <c r="D623" s="218">
        <v>8.5099999999999995E-2</v>
      </c>
      <c r="E623" s="218">
        <v>8.8200000000000001E-2</v>
      </c>
      <c r="F623" s="219">
        <v>8.2500000000000004E-2</v>
      </c>
    </row>
    <row r="624" spans="1:6" ht="12" thickBot="1">
      <c r="A624" s="216">
        <v>37459</v>
      </c>
      <c r="B624" s="217">
        <v>37465</v>
      </c>
      <c r="C624" s="218">
        <v>7.7399999999999997E-2</v>
      </c>
      <c r="D624" s="218">
        <v>8.4199999999999997E-2</v>
      </c>
      <c r="E624" s="218">
        <v>8.6900000000000005E-2</v>
      </c>
      <c r="F624" s="219">
        <v>8.2199999999999995E-2</v>
      </c>
    </row>
    <row r="625" spans="1:6" ht="12" thickBot="1">
      <c r="A625" s="216">
        <v>37452</v>
      </c>
      <c r="B625" s="217">
        <v>37458</v>
      </c>
      <c r="C625" s="218">
        <v>7.9899999999999999E-2</v>
      </c>
      <c r="D625" s="218">
        <v>8.4599999999999995E-2</v>
      </c>
      <c r="E625" s="218">
        <v>9.2200000000000004E-2</v>
      </c>
      <c r="F625" s="219">
        <v>8.4000000000000005E-2</v>
      </c>
    </row>
    <row r="626" spans="1:6" ht="12" thickBot="1">
      <c r="A626" s="216">
        <v>37445</v>
      </c>
      <c r="B626" s="217">
        <v>37451</v>
      </c>
      <c r="C626" s="218">
        <v>8.1600000000000006E-2</v>
      </c>
      <c r="D626" s="218">
        <v>8.4699999999999998E-2</v>
      </c>
      <c r="E626" s="218">
        <v>9.0399999999999994E-2</v>
      </c>
      <c r="F626" s="219">
        <v>8.6199999999999999E-2</v>
      </c>
    </row>
    <row r="627" spans="1:6" ht="12" thickBot="1">
      <c r="A627" s="216">
        <v>37438</v>
      </c>
      <c r="B627" s="217">
        <v>37444</v>
      </c>
      <c r="C627" s="218">
        <v>8.1900000000000001E-2</v>
      </c>
      <c r="D627" s="218">
        <v>8.5900000000000004E-2</v>
      </c>
      <c r="E627" s="218">
        <v>9.2200000000000004E-2</v>
      </c>
      <c r="F627" s="219">
        <v>8.72E-2</v>
      </c>
    </row>
    <row r="628" spans="1:6" ht="12" thickBot="1">
      <c r="A628" s="216">
        <v>37431</v>
      </c>
      <c r="B628" s="217">
        <v>37437</v>
      </c>
      <c r="C628" s="218">
        <v>8.2100000000000006E-2</v>
      </c>
      <c r="D628" s="218">
        <v>8.8599999999999998E-2</v>
      </c>
      <c r="E628" s="218">
        <v>9.5799999999999996E-2</v>
      </c>
      <c r="F628" s="219">
        <v>9.5799999999999996E-2</v>
      </c>
    </row>
    <row r="629" spans="1:6" ht="12" thickBot="1">
      <c r="A629" s="216">
        <v>37424</v>
      </c>
      <c r="B629" s="217">
        <v>37430</v>
      </c>
      <c r="C629" s="218">
        <v>8.5400000000000004E-2</v>
      </c>
      <c r="D629" s="218">
        <v>8.9200000000000002E-2</v>
      </c>
      <c r="E629" s="218">
        <v>9.5399999999999999E-2</v>
      </c>
      <c r="F629" s="219">
        <v>8.9800000000000005E-2</v>
      </c>
    </row>
    <row r="630" spans="1:6" ht="12" thickBot="1">
      <c r="A630" s="216">
        <v>37417</v>
      </c>
      <c r="B630" s="217">
        <v>37423</v>
      </c>
      <c r="C630" s="218">
        <v>8.6900000000000005E-2</v>
      </c>
      <c r="D630" s="218">
        <v>9.1200000000000003E-2</v>
      </c>
      <c r="E630" s="218">
        <v>9.5200000000000007E-2</v>
      </c>
      <c r="F630" s="219">
        <v>9.3299999999999994E-2</v>
      </c>
    </row>
    <row r="631" spans="1:6" ht="12" thickBot="1">
      <c r="A631" s="216">
        <v>37410</v>
      </c>
      <c r="B631" s="217">
        <v>37416</v>
      </c>
      <c r="C631" s="218">
        <v>8.8200000000000001E-2</v>
      </c>
      <c r="D631" s="218">
        <v>9.0499999999999997E-2</v>
      </c>
      <c r="E631" s="218">
        <v>9.9000000000000005E-2</v>
      </c>
      <c r="F631" s="219">
        <v>9.3100000000000002E-2</v>
      </c>
    </row>
    <row r="632" spans="1:6" ht="12" thickBot="1">
      <c r="A632" s="216">
        <v>37403</v>
      </c>
      <c r="B632" s="217">
        <v>37409</v>
      </c>
      <c r="C632" s="218">
        <v>9.01E-2</v>
      </c>
      <c r="D632" s="218">
        <v>9.3299999999999994E-2</v>
      </c>
      <c r="E632" s="218">
        <v>9.7500000000000003E-2</v>
      </c>
      <c r="F632" s="219">
        <v>9.2399999999999996E-2</v>
      </c>
    </row>
    <row r="633" spans="1:6" ht="12" thickBot="1">
      <c r="A633" s="216">
        <v>37396</v>
      </c>
      <c r="B633" s="217">
        <v>37402</v>
      </c>
      <c r="C633" s="218">
        <v>9.1200000000000003E-2</v>
      </c>
      <c r="D633" s="218">
        <v>9.4600000000000004E-2</v>
      </c>
      <c r="E633" s="218">
        <v>9.8400000000000001E-2</v>
      </c>
      <c r="F633" s="219">
        <v>9.5299999999999996E-2</v>
      </c>
    </row>
    <row r="634" spans="1:6" ht="12" thickBot="1">
      <c r="A634" s="216">
        <v>37389</v>
      </c>
      <c r="B634" s="217">
        <v>37395</v>
      </c>
      <c r="C634" s="218">
        <v>9.2399999999999996E-2</v>
      </c>
      <c r="D634" s="218">
        <v>9.64E-2</v>
      </c>
      <c r="E634" s="218">
        <v>0.1051</v>
      </c>
      <c r="F634" s="219">
        <v>9.6500000000000002E-2</v>
      </c>
    </row>
    <row r="635" spans="1:6" ht="12" thickBot="1">
      <c r="A635" s="216">
        <v>37382</v>
      </c>
      <c r="B635" s="217">
        <v>37388</v>
      </c>
      <c r="C635" s="218">
        <v>9.5600000000000004E-2</v>
      </c>
      <c r="D635" s="218">
        <v>9.9699999999999997E-2</v>
      </c>
      <c r="E635" s="218">
        <v>0.1077</v>
      </c>
      <c r="F635" s="219">
        <v>0.10009999999999999</v>
      </c>
    </row>
    <row r="636" spans="1:6" ht="12" thickBot="1">
      <c r="A636" s="216">
        <v>37375</v>
      </c>
      <c r="B636" s="217">
        <v>37381</v>
      </c>
      <c r="C636" s="218">
        <v>9.7500000000000003E-2</v>
      </c>
      <c r="D636" s="218">
        <v>0.1028</v>
      </c>
      <c r="E636" s="218">
        <v>0.1048</v>
      </c>
      <c r="F636" s="219">
        <v>0.10349999999999999</v>
      </c>
    </row>
    <row r="637" spans="1:6" ht="12" thickBot="1">
      <c r="A637" s="216">
        <v>37368</v>
      </c>
      <c r="B637" s="217">
        <v>37374</v>
      </c>
      <c r="C637" s="218">
        <v>0.1002</v>
      </c>
      <c r="D637" s="218">
        <v>0.10489999999999999</v>
      </c>
      <c r="E637" s="218">
        <v>0.109</v>
      </c>
      <c r="F637" s="219">
        <v>0.1075</v>
      </c>
    </row>
    <row r="638" spans="1:6" ht="12" thickBot="1">
      <c r="A638" s="216">
        <v>37361</v>
      </c>
      <c r="B638" s="217">
        <v>37367</v>
      </c>
      <c r="C638" s="218">
        <v>0.1027</v>
      </c>
      <c r="D638" s="218">
        <v>0.1071</v>
      </c>
      <c r="E638" s="218">
        <v>0.113</v>
      </c>
      <c r="F638" s="219">
        <v>0.1082</v>
      </c>
    </row>
    <row r="639" spans="1:6" ht="12" thickBot="1">
      <c r="A639" s="216">
        <v>37354</v>
      </c>
      <c r="B639" s="217">
        <v>37360</v>
      </c>
      <c r="C639" s="218">
        <v>0.10390000000000001</v>
      </c>
      <c r="D639" s="218">
        <v>0.10979999999999999</v>
      </c>
      <c r="E639" s="218">
        <v>0.1111</v>
      </c>
      <c r="F639" s="219">
        <v>0.1091</v>
      </c>
    </row>
    <row r="640" spans="1:6" ht="12" thickBot="1">
      <c r="A640" s="216">
        <v>37347</v>
      </c>
      <c r="B640" s="217">
        <v>37353</v>
      </c>
      <c r="C640" s="218">
        <v>0.1041</v>
      </c>
      <c r="D640" s="218">
        <v>0.1105</v>
      </c>
      <c r="E640" s="218">
        <v>0.11459999999999999</v>
      </c>
      <c r="F640" s="219">
        <v>0.1085</v>
      </c>
    </row>
    <row r="641" spans="1:6" ht="12" thickBot="1">
      <c r="A641" s="216">
        <v>37340</v>
      </c>
      <c r="B641" s="217">
        <v>37346</v>
      </c>
      <c r="C641" s="218">
        <v>0.1055</v>
      </c>
      <c r="D641" s="218">
        <v>0.1106</v>
      </c>
      <c r="E641" s="218">
        <v>0.114</v>
      </c>
      <c r="F641" s="219">
        <v>0.111</v>
      </c>
    </row>
    <row r="642" spans="1:6" ht="12" thickBot="1">
      <c r="A642" s="216">
        <v>37333</v>
      </c>
      <c r="B642" s="217">
        <v>37339</v>
      </c>
      <c r="C642" s="218">
        <v>0.1062</v>
      </c>
      <c r="D642" s="218">
        <v>0.11020000000000001</v>
      </c>
      <c r="E642" s="218">
        <v>0.1149</v>
      </c>
      <c r="F642" s="219">
        <v>0.1128</v>
      </c>
    </row>
    <row r="643" spans="1:6" ht="12" thickBot="1">
      <c r="A643" s="216">
        <v>37326</v>
      </c>
      <c r="B643" s="217">
        <v>37332</v>
      </c>
      <c r="C643" s="218">
        <v>0.1075</v>
      </c>
      <c r="D643" s="218">
        <v>0.1119</v>
      </c>
      <c r="E643" s="218">
        <v>0.1142</v>
      </c>
      <c r="F643" s="219">
        <v>0.1152</v>
      </c>
    </row>
    <row r="644" spans="1:6" ht="12" thickBot="1">
      <c r="A644" s="216">
        <v>37319</v>
      </c>
      <c r="B644" s="217">
        <v>37325</v>
      </c>
      <c r="C644" s="218">
        <v>0.1079</v>
      </c>
      <c r="D644" s="218">
        <v>0.1139</v>
      </c>
      <c r="E644" s="218">
        <v>0.11169999999999999</v>
      </c>
      <c r="F644" s="219">
        <v>0.1135</v>
      </c>
    </row>
    <row r="645" spans="1:6" ht="12" thickBot="1">
      <c r="A645" s="216">
        <v>37312</v>
      </c>
      <c r="B645" s="217">
        <v>37318</v>
      </c>
      <c r="C645" s="218">
        <v>0.1067</v>
      </c>
      <c r="D645" s="218">
        <v>0.1115</v>
      </c>
      <c r="E645" s="218">
        <v>0.1142</v>
      </c>
      <c r="F645" s="219">
        <v>0.11219999999999999</v>
      </c>
    </row>
    <row r="646" spans="1:6" ht="12" thickBot="1">
      <c r="A646" s="216">
        <v>37305</v>
      </c>
      <c r="B646" s="217">
        <v>37311</v>
      </c>
      <c r="C646" s="218">
        <v>0.1082</v>
      </c>
      <c r="D646" s="218">
        <v>0.1123</v>
      </c>
      <c r="E646" s="218">
        <v>0.11509999999999999</v>
      </c>
      <c r="F646" s="219">
        <v>0.11119999999999999</v>
      </c>
    </row>
    <row r="647" spans="1:6" ht="12" thickBot="1">
      <c r="A647" s="216">
        <v>37298</v>
      </c>
      <c r="B647" s="217">
        <v>37304</v>
      </c>
      <c r="C647" s="218">
        <v>0.107</v>
      </c>
      <c r="D647" s="218">
        <v>0.1152</v>
      </c>
      <c r="E647" s="218">
        <v>0.11849999999999999</v>
      </c>
      <c r="F647" s="219">
        <v>0.10970000000000001</v>
      </c>
    </row>
    <row r="648" spans="1:6" ht="12" thickBot="1">
      <c r="A648" s="216">
        <v>37291</v>
      </c>
      <c r="B648" s="217">
        <v>37297</v>
      </c>
      <c r="C648" s="218">
        <v>0.1087</v>
      </c>
      <c r="D648" s="218">
        <v>0.1158</v>
      </c>
      <c r="E648" s="218">
        <v>0.1191</v>
      </c>
      <c r="F648" s="219">
        <v>0.11509999999999999</v>
      </c>
    </row>
    <row r="649" spans="1:6" ht="12" thickBot="1">
      <c r="A649" s="216">
        <v>37284</v>
      </c>
      <c r="B649" s="217">
        <v>37290</v>
      </c>
      <c r="C649" s="218">
        <v>0.1115</v>
      </c>
      <c r="D649" s="218">
        <v>0.1166</v>
      </c>
      <c r="E649" s="218">
        <v>0.1193</v>
      </c>
      <c r="F649" s="219">
        <v>0.1176</v>
      </c>
    </row>
    <row r="650" spans="1:6" ht="12" thickBot="1">
      <c r="A650" s="216">
        <v>37277</v>
      </c>
      <c r="B650" s="217">
        <v>37283</v>
      </c>
      <c r="C650" s="218">
        <v>0.113</v>
      </c>
      <c r="D650" s="218">
        <v>0.1162</v>
      </c>
      <c r="E650" s="218">
        <v>0.1191</v>
      </c>
      <c r="F650" s="219">
        <v>0.11849999999999999</v>
      </c>
    </row>
    <row r="651" spans="1:6" ht="12" thickBot="1">
      <c r="A651" s="216">
        <v>37270</v>
      </c>
      <c r="B651" s="217">
        <v>37276</v>
      </c>
      <c r="C651" s="218">
        <v>0.113</v>
      </c>
      <c r="D651" s="218">
        <v>0.11899999999999999</v>
      </c>
      <c r="E651" s="218">
        <v>0.1187</v>
      </c>
      <c r="F651" s="219">
        <v>0.11890000000000001</v>
      </c>
    </row>
    <row r="652" spans="1:6" ht="12" thickBot="1">
      <c r="A652" s="216">
        <v>37263</v>
      </c>
      <c r="B652" s="217">
        <v>37269</v>
      </c>
      <c r="C652" s="218">
        <v>0.1147</v>
      </c>
      <c r="D652" s="218">
        <v>0.11849999999999999</v>
      </c>
      <c r="E652" s="218">
        <v>0.11990000000000001</v>
      </c>
      <c r="F652" s="219">
        <v>0.1212</v>
      </c>
    </row>
    <row r="653" spans="1:6" ht="12" thickBot="1">
      <c r="A653" s="216">
        <v>37256</v>
      </c>
      <c r="B653" s="217">
        <v>37262</v>
      </c>
      <c r="C653" s="218">
        <v>0.11509999999999999</v>
      </c>
      <c r="D653" s="218">
        <v>0.1186</v>
      </c>
      <c r="E653" s="218">
        <v>0.11799999999999999</v>
      </c>
      <c r="F653" s="219">
        <v>0.12189999999999999</v>
      </c>
    </row>
    <row r="654" spans="1:6" ht="12" thickBot="1">
      <c r="A654" s="216">
        <v>37249</v>
      </c>
      <c r="B654" s="217">
        <v>37255</v>
      </c>
      <c r="C654" s="218">
        <v>0.11360000000000001</v>
      </c>
      <c r="D654" s="218">
        <v>0.1207</v>
      </c>
      <c r="E654" s="218">
        <v>0.12280000000000001</v>
      </c>
      <c r="F654" s="219">
        <v>0.1206</v>
      </c>
    </row>
    <row r="655" spans="1:6" ht="12" thickBot="1">
      <c r="A655" s="216">
        <v>37242</v>
      </c>
      <c r="B655" s="217">
        <v>37248</v>
      </c>
      <c r="C655" s="218">
        <v>0.11310000000000001</v>
      </c>
      <c r="D655" s="218">
        <v>0.1196</v>
      </c>
      <c r="E655" s="218">
        <v>0.1226</v>
      </c>
      <c r="F655" s="219">
        <v>0.1192</v>
      </c>
    </row>
    <row r="656" spans="1:6" ht="12" thickBot="1">
      <c r="A656" s="216">
        <v>37235</v>
      </c>
      <c r="B656" s="217">
        <v>37241</v>
      </c>
      <c r="C656" s="218">
        <v>0.1148</v>
      </c>
      <c r="D656" s="218">
        <v>0.12</v>
      </c>
      <c r="E656" s="218">
        <v>0.1222</v>
      </c>
      <c r="F656" s="219">
        <v>0.1239</v>
      </c>
    </row>
    <row r="657" spans="1:6" ht="12" thickBot="1">
      <c r="A657" s="216">
        <v>37228</v>
      </c>
      <c r="B657" s="217">
        <v>37234</v>
      </c>
      <c r="C657" s="218">
        <v>0.11509999999999999</v>
      </c>
      <c r="D657" s="218">
        <v>0.1197</v>
      </c>
      <c r="E657" s="218">
        <v>0.1237</v>
      </c>
      <c r="F657" s="219">
        <v>0.1236</v>
      </c>
    </row>
    <row r="658" spans="1:6" ht="12" thickBot="1">
      <c r="A658" s="216">
        <v>37221</v>
      </c>
      <c r="B658" s="217">
        <v>37227</v>
      </c>
      <c r="C658" s="218">
        <v>0.1144</v>
      </c>
      <c r="D658" s="218">
        <v>0.1191</v>
      </c>
      <c r="E658" s="218">
        <v>0.1229</v>
      </c>
      <c r="F658" s="219">
        <v>0.1195</v>
      </c>
    </row>
    <row r="659" spans="1:6" ht="12" thickBot="1">
      <c r="A659" s="216">
        <v>37214</v>
      </c>
      <c r="B659" s="217">
        <v>37220</v>
      </c>
      <c r="C659" s="218">
        <v>0.1138</v>
      </c>
      <c r="D659" s="218">
        <v>0.1201</v>
      </c>
      <c r="E659" s="218">
        <v>0.11990000000000001</v>
      </c>
      <c r="F659" s="219">
        <v>0.11749999999999999</v>
      </c>
    </row>
    <row r="660" spans="1:6" ht="12" thickBot="1">
      <c r="A660" s="216">
        <v>37207</v>
      </c>
      <c r="B660" s="217">
        <v>37213</v>
      </c>
      <c r="C660" s="218">
        <v>0.1158</v>
      </c>
      <c r="D660" s="218">
        <v>0.11990000000000001</v>
      </c>
      <c r="E660" s="218">
        <v>0.12180000000000001</v>
      </c>
      <c r="F660" s="219">
        <v>0.1198</v>
      </c>
    </row>
    <row r="661" spans="1:6" ht="12" thickBot="1">
      <c r="A661" s="216">
        <v>37200</v>
      </c>
      <c r="B661" s="217">
        <v>37206</v>
      </c>
      <c r="C661" s="218">
        <v>0.1144</v>
      </c>
      <c r="D661" s="218">
        <v>0.1201</v>
      </c>
      <c r="E661" s="218">
        <v>0.1221</v>
      </c>
      <c r="F661" s="219">
        <v>0.11700000000000001</v>
      </c>
    </row>
    <row r="662" spans="1:6" ht="12" thickBot="1">
      <c r="A662" s="216">
        <v>37193</v>
      </c>
      <c r="B662" s="217">
        <v>37199</v>
      </c>
      <c r="C662" s="218">
        <v>0.1138</v>
      </c>
      <c r="D662" s="218">
        <v>0.1208</v>
      </c>
      <c r="E662" s="218">
        <v>0.12590000000000001</v>
      </c>
      <c r="F662" s="219">
        <v>0.11849999999999999</v>
      </c>
    </row>
    <row r="663" spans="1:6" ht="12" thickBot="1">
      <c r="A663" s="216">
        <v>37186</v>
      </c>
      <c r="B663" s="217">
        <v>37192</v>
      </c>
      <c r="C663" s="218">
        <v>0.11459999999999999</v>
      </c>
      <c r="D663" s="218">
        <v>0.12239999999999999</v>
      </c>
      <c r="E663" s="218">
        <v>0.1245</v>
      </c>
      <c r="F663" s="219">
        <v>0.1206</v>
      </c>
    </row>
    <row r="664" spans="1:6" ht="12" thickBot="1">
      <c r="A664" s="216">
        <v>37179</v>
      </c>
      <c r="B664" s="217">
        <v>37185</v>
      </c>
      <c r="C664" s="218">
        <v>0.1154</v>
      </c>
      <c r="D664" s="218">
        <v>0.12089999999999999</v>
      </c>
      <c r="E664" s="218">
        <v>0.1235</v>
      </c>
      <c r="F664" s="219">
        <v>0.1221</v>
      </c>
    </row>
    <row r="665" spans="1:6" ht="12" thickBot="1">
      <c r="A665" s="216">
        <v>37172</v>
      </c>
      <c r="B665" s="217">
        <v>37178</v>
      </c>
      <c r="C665" s="218">
        <v>0.1154</v>
      </c>
      <c r="D665" s="218">
        <v>0.12470000000000001</v>
      </c>
      <c r="E665" s="218">
        <v>0.12139999999999999</v>
      </c>
      <c r="F665" s="219">
        <v>0.1212</v>
      </c>
    </row>
    <row r="666" spans="1:6" ht="12" thickBot="1">
      <c r="A666" s="216">
        <v>37165</v>
      </c>
      <c r="B666" s="217">
        <v>37171</v>
      </c>
      <c r="C666" s="218">
        <v>0.11559999999999999</v>
      </c>
      <c r="D666" s="218">
        <v>0.12139999999999999</v>
      </c>
      <c r="E666" s="218">
        <v>0.12939999999999999</v>
      </c>
      <c r="F666" s="219">
        <v>0.12509999999999999</v>
      </c>
    </row>
    <row r="667" spans="1:6" ht="12" thickBot="1">
      <c r="A667" s="216">
        <v>37158</v>
      </c>
      <c r="B667" s="217">
        <v>37164</v>
      </c>
      <c r="C667" s="218">
        <v>0.11890000000000001</v>
      </c>
      <c r="D667" s="218">
        <v>0.12559999999999999</v>
      </c>
      <c r="E667" s="218">
        <v>0.12909999999999999</v>
      </c>
      <c r="F667" s="219">
        <v>0.1249</v>
      </c>
    </row>
    <row r="668" spans="1:6" ht="12" thickBot="1">
      <c r="A668" s="216">
        <v>37151</v>
      </c>
      <c r="B668" s="217">
        <v>37157</v>
      </c>
      <c r="C668" s="218">
        <v>0.1196</v>
      </c>
      <c r="D668" s="218">
        <v>0.12479999999999999</v>
      </c>
      <c r="E668" s="218">
        <v>0.12590000000000001</v>
      </c>
      <c r="F668" s="219">
        <v>0.1249</v>
      </c>
    </row>
    <row r="669" spans="1:6" ht="12" thickBot="1">
      <c r="A669" s="216">
        <v>37144</v>
      </c>
      <c r="B669" s="217">
        <v>37150</v>
      </c>
      <c r="C669" s="218">
        <v>0.1205</v>
      </c>
      <c r="D669" s="218">
        <v>0.12820000000000001</v>
      </c>
      <c r="E669" s="218">
        <v>0.1268</v>
      </c>
      <c r="F669" s="219">
        <v>0.12959999999999999</v>
      </c>
    </row>
    <row r="670" spans="1:6" ht="12" thickBot="1">
      <c r="A670" s="216">
        <v>37137</v>
      </c>
      <c r="B670" s="217">
        <v>37143</v>
      </c>
      <c r="C670" s="218">
        <v>0.1207</v>
      </c>
      <c r="D670" s="218">
        <v>0.12740000000000001</v>
      </c>
      <c r="E670" s="218">
        <v>0.13039999999999999</v>
      </c>
      <c r="F670" s="219">
        <v>0.12839999999999999</v>
      </c>
    </row>
    <row r="671" spans="1:6" ht="12" thickBot="1">
      <c r="A671" s="216">
        <v>37130</v>
      </c>
      <c r="B671" s="217">
        <v>37136</v>
      </c>
      <c r="C671" s="218">
        <v>0.1229</v>
      </c>
      <c r="D671" s="218">
        <v>0.12790000000000001</v>
      </c>
      <c r="E671" s="218">
        <v>0.13059999999999999</v>
      </c>
      <c r="F671" s="219">
        <v>0.1303</v>
      </c>
    </row>
    <row r="672" spans="1:6" ht="12" thickBot="1">
      <c r="A672" s="216">
        <v>37123</v>
      </c>
      <c r="B672" s="217">
        <v>37129</v>
      </c>
      <c r="C672" s="218">
        <v>0.1246</v>
      </c>
      <c r="D672" s="218">
        <v>0.12920000000000001</v>
      </c>
      <c r="E672" s="218">
        <v>0.1336</v>
      </c>
      <c r="F672" s="219">
        <v>0.12770000000000001</v>
      </c>
    </row>
    <row r="673" spans="1:6" ht="12" thickBot="1">
      <c r="A673" s="216">
        <v>37116</v>
      </c>
      <c r="B673" s="217">
        <v>37122</v>
      </c>
      <c r="C673" s="218">
        <v>0.1246</v>
      </c>
      <c r="D673" s="218">
        <v>0.1293</v>
      </c>
      <c r="E673" s="218">
        <v>0.13220000000000001</v>
      </c>
      <c r="F673" s="219">
        <v>0.12839999999999999</v>
      </c>
    </row>
    <row r="674" spans="1:6" ht="12" thickBot="1">
      <c r="A674" s="216">
        <v>37109</v>
      </c>
      <c r="B674" s="217">
        <v>37115</v>
      </c>
      <c r="C674" s="218">
        <v>0.12529999999999999</v>
      </c>
      <c r="D674" s="218">
        <v>0.13009999999999999</v>
      </c>
      <c r="E674" s="218">
        <v>0.13930000000000001</v>
      </c>
      <c r="F674" s="219">
        <v>0.13039999999999999</v>
      </c>
    </row>
    <row r="675" spans="1:6" ht="12" thickBot="1">
      <c r="A675" s="216">
        <v>37102</v>
      </c>
      <c r="B675" s="217">
        <v>37108</v>
      </c>
      <c r="C675" s="218">
        <v>0.12659999999999999</v>
      </c>
      <c r="D675" s="218">
        <v>0.13009999999999999</v>
      </c>
      <c r="E675" s="218">
        <v>0.13750000000000001</v>
      </c>
      <c r="F675" s="219">
        <v>0.13100000000000001</v>
      </c>
    </row>
    <row r="676" spans="1:6" ht="12" thickBot="1">
      <c r="A676" s="216">
        <v>37095</v>
      </c>
      <c r="B676" s="217">
        <v>37101</v>
      </c>
      <c r="C676" s="218">
        <v>0.12759999999999999</v>
      </c>
      <c r="D676" s="218">
        <v>0.13039999999999999</v>
      </c>
      <c r="E676" s="218">
        <v>0.14030000000000001</v>
      </c>
      <c r="F676" s="219">
        <v>0.13389999999999999</v>
      </c>
    </row>
    <row r="677" spans="1:6" ht="12" thickBot="1">
      <c r="A677" s="216">
        <v>37088</v>
      </c>
      <c r="B677" s="217">
        <v>37094</v>
      </c>
      <c r="C677" s="218">
        <v>0.12640000000000001</v>
      </c>
      <c r="D677" s="218">
        <v>0.1298</v>
      </c>
      <c r="E677" s="218">
        <v>0.1384</v>
      </c>
      <c r="F677" s="219">
        <v>0.13489999999999999</v>
      </c>
    </row>
    <row r="678" spans="1:6" ht="12" thickBot="1">
      <c r="A678" s="216">
        <v>37081</v>
      </c>
      <c r="B678" s="217">
        <v>37087</v>
      </c>
      <c r="C678" s="218">
        <v>0.12659999999999999</v>
      </c>
      <c r="D678" s="218">
        <v>0.13</v>
      </c>
      <c r="E678" s="218">
        <v>0.1361</v>
      </c>
      <c r="F678" s="219">
        <v>0.13070000000000001</v>
      </c>
    </row>
    <row r="679" spans="1:6" ht="12" thickBot="1">
      <c r="A679" s="216">
        <v>37074</v>
      </c>
      <c r="B679" s="217">
        <v>37080</v>
      </c>
      <c r="C679" s="218">
        <v>0.1275</v>
      </c>
      <c r="D679" s="218">
        <v>0.12939999999999999</v>
      </c>
      <c r="E679" s="218">
        <v>0.1414</v>
      </c>
      <c r="F679" s="219">
        <v>0.1308</v>
      </c>
    </row>
    <row r="680" spans="1:6" ht="12" thickBot="1">
      <c r="A680" s="216">
        <v>37067</v>
      </c>
      <c r="B680" s="217">
        <v>37073</v>
      </c>
      <c r="C680" s="218">
        <v>0.1275</v>
      </c>
      <c r="D680" s="218">
        <v>0.13089999999999999</v>
      </c>
      <c r="E680" s="218">
        <v>0.14180000000000001</v>
      </c>
      <c r="F680" s="219">
        <v>0.13189999999999999</v>
      </c>
    </row>
    <row r="681" spans="1:6" ht="12" thickBot="1">
      <c r="A681" s="216">
        <v>37060</v>
      </c>
      <c r="B681" s="217">
        <v>37066</v>
      </c>
      <c r="C681" s="218">
        <v>0.1265</v>
      </c>
      <c r="D681" s="218">
        <v>0.13159999999999999</v>
      </c>
      <c r="E681" s="218">
        <v>0.14710000000000001</v>
      </c>
      <c r="F681" s="219">
        <v>0.13089999999999999</v>
      </c>
    </row>
    <row r="682" spans="1:6" ht="12" thickBot="1">
      <c r="A682" s="216">
        <v>37053</v>
      </c>
      <c r="B682" s="217">
        <v>37059</v>
      </c>
      <c r="C682" s="218">
        <v>0.12640000000000001</v>
      </c>
      <c r="D682" s="218">
        <v>0.13239999999999999</v>
      </c>
      <c r="E682" s="218">
        <v>0.1474</v>
      </c>
      <c r="F682" s="219">
        <v>0.1303</v>
      </c>
    </row>
    <row r="683" spans="1:6" ht="12" thickBot="1">
      <c r="A683" s="216">
        <v>37046</v>
      </c>
      <c r="B683" s="217">
        <v>37052</v>
      </c>
      <c r="C683" s="218">
        <v>0.12720000000000001</v>
      </c>
      <c r="D683" s="218">
        <v>0.13200000000000001</v>
      </c>
      <c r="E683" s="218">
        <v>0.13869999999999999</v>
      </c>
      <c r="F683" s="219">
        <v>0.1321</v>
      </c>
    </row>
    <row r="684" spans="1:6" ht="12" thickBot="1">
      <c r="A684" s="216">
        <v>37039</v>
      </c>
      <c r="B684" s="217">
        <v>37045</v>
      </c>
      <c r="C684" s="218">
        <v>0.1273</v>
      </c>
      <c r="D684" s="218">
        <v>0.1321</v>
      </c>
      <c r="E684" s="218">
        <v>0.13919999999999999</v>
      </c>
      <c r="F684" s="219">
        <v>0.1371</v>
      </c>
    </row>
    <row r="685" spans="1:6" ht="12" thickBot="1">
      <c r="A685" s="216">
        <v>37032</v>
      </c>
      <c r="B685" s="217">
        <v>37038</v>
      </c>
      <c r="C685" s="218">
        <v>0.12690000000000001</v>
      </c>
      <c r="D685" s="218">
        <v>0.12970000000000001</v>
      </c>
      <c r="E685" s="218">
        <v>0.13950000000000001</v>
      </c>
      <c r="F685" s="219">
        <v>0.12959999999999999</v>
      </c>
    </row>
    <row r="686" spans="1:6" ht="12" thickBot="1">
      <c r="A686" s="216">
        <v>37025</v>
      </c>
      <c r="B686" s="217">
        <v>37031</v>
      </c>
      <c r="C686" s="218">
        <v>0.12740000000000001</v>
      </c>
      <c r="D686" s="218">
        <v>0.12970000000000001</v>
      </c>
      <c r="E686" s="218">
        <v>0.13650000000000001</v>
      </c>
      <c r="F686" s="219">
        <v>0.1298</v>
      </c>
    </row>
    <row r="687" spans="1:6" ht="12" thickBot="1">
      <c r="A687" s="216">
        <v>37018</v>
      </c>
      <c r="B687" s="217">
        <v>37024</v>
      </c>
      <c r="C687" s="218">
        <v>0.12670000000000001</v>
      </c>
      <c r="D687" s="218">
        <v>0.13039999999999999</v>
      </c>
      <c r="E687" s="218">
        <v>0.14849999999999999</v>
      </c>
      <c r="F687" s="219">
        <v>0.1318</v>
      </c>
    </row>
    <row r="688" spans="1:6" ht="12" thickBot="1">
      <c r="A688" s="216">
        <v>37011</v>
      </c>
      <c r="B688" s="217">
        <v>37017</v>
      </c>
      <c r="C688" s="218">
        <v>0.12709999999999999</v>
      </c>
      <c r="D688" s="218">
        <v>0.1288</v>
      </c>
      <c r="E688" s="218">
        <v>0.13930000000000001</v>
      </c>
      <c r="F688" s="219">
        <v>0.13150000000000001</v>
      </c>
    </row>
    <row r="689" spans="1:6" ht="12" thickBot="1">
      <c r="A689" s="216">
        <v>37004</v>
      </c>
      <c r="B689" s="217">
        <v>37010</v>
      </c>
      <c r="C689" s="218">
        <v>0.1275</v>
      </c>
      <c r="D689" s="218">
        <v>0.13200000000000001</v>
      </c>
      <c r="E689" s="218">
        <v>0.14000000000000001</v>
      </c>
      <c r="F689" s="219">
        <v>0.1333</v>
      </c>
    </row>
    <row r="690" spans="1:6" ht="12" thickBot="1">
      <c r="A690" s="216">
        <v>36997</v>
      </c>
      <c r="B690" s="217">
        <v>37003</v>
      </c>
      <c r="C690" s="218">
        <v>0.12820000000000001</v>
      </c>
      <c r="D690" s="218">
        <v>0.1338</v>
      </c>
      <c r="E690" s="218">
        <v>0.1401</v>
      </c>
      <c r="F690" s="219">
        <v>0.13350000000000001</v>
      </c>
    </row>
    <row r="691" spans="1:6" ht="12" thickBot="1">
      <c r="A691" s="216">
        <v>36990</v>
      </c>
      <c r="B691" s="217">
        <v>36996</v>
      </c>
      <c r="C691" s="218">
        <v>0.12770000000000001</v>
      </c>
      <c r="D691" s="218">
        <v>0.1368</v>
      </c>
      <c r="E691" s="218">
        <v>0.1401</v>
      </c>
      <c r="F691" s="219">
        <v>0.1353</v>
      </c>
    </row>
    <row r="692" spans="1:6" ht="12" thickBot="1">
      <c r="A692" s="216">
        <v>36983</v>
      </c>
      <c r="B692" s="217">
        <v>36989</v>
      </c>
      <c r="C692" s="218">
        <v>0.1293</v>
      </c>
      <c r="D692" s="218">
        <v>0.13469999999999999</v>
      </c>
      <c r="E692" s="218">
        <v>0.14080000000000001</v>
      </c>
      <c r="F692" s="219">
        <v>0.14050000000000001</v>
      </c>
    </row>
    <row r="693" spans="1:6" ht="12" thickBot="1">
      <c r="A693" s="216">
        <v>36976</v>
      </c>
      <c r="B693" s="217">
        <v>36982</v>
      </c>
      <c r="C693" s="218">
        <v>0.12959999999999999</v>
      </c>
      <c r="D693" s="218">
        <v>0.13389999999999999</v>
      </c>
      <c r="E693" s="218">
        <v>0.14230000000000001</v>
      </c>
      <c r="F693" s="219">
        <v>0.13450000000000001</v>
      </c>
    </row>
    <row r="694" spans="1:6" ht="12" thickBot="1">
      <c r="A694" s="216">
        <v>36969</v>
      </c>
      <c r="B694" s="217">
        <v>36975</v>
      </c>
      <c r="C694" s="218">
        <v>0.12959999999999999</v>
      </c>
      <c r="D694" s="218">
        <v>0.1381</v>
      </c>
      <c r="E694" s="218">
        <v>0.14599999999999999</v>
      </c>
      <c r="F694" s="219">
        <v>0.13550000000000001</v>
      </c>
    </row>
    <row r="695" spans="1:6" ht="12" thickBot="1">
      <c r="A695" s="216">
        <v>36962</v>
      </c>
      <c r="B695" s="217">
        <v>36968</v>
      </c>
      <c r="C695" s="218">
        <v>0.1318</v>
      </c>
      <c r="D695" s="218">
        <v>0.13769999999999999</v>
      </c>
      <c r="E695" s="218">
        <v>0.1515</v>
      </c>
      <c r="F695" s="219">
        <v>0.13700000000000001</v>
      </c>
    </row>
    <row r="696" spans="1:6" ht="12" thickBot="1">
      <c r="A696" s="216">
        <v>36955</v>
      </c>
      <c r="B696" s="217">
        <v>36961</v>
      </c>
      <c r="C696" s="218">
        <v>0.13100000000000001</v>
      </c>
      <c r="D696" s="218">
        <v>0.1366</v>
      </c>
      <c r="E696" s="218">
        <v>0.14230000000000001</v>
      </c>
      <c r="F696" s="219">
        <v>0.13550000000000001</v>
      </c>
    </row>
    <row r="697" spans="1:6" ht="12" thickBot="1">
      <c r="A697" s="216">
        <v>36948</v>
      </c>
      <c r="B697" s="217">
        <v>36954</v>
      </c>
      <c r="C697" s="218">
        <v>0.13289999999999999</v>
      </c>
      <c r="D697" s="218">
        <v>0.1371</v>
      </c>
      <c r="E697" s="218">
        <v>0.14630000000000001</v>
      </c>
      <c r="F697" s="219">
        <v>0.13750000000000001</v>
      </c>
    </row>
    <row r="698" spans="1:6" ht="12" thickBot="1">
      <c r="A698" s="216">
        <v>36941</v>
      </c>
      <c r="B698" s="217">
        <v>36947</v>
      </c>
      <c r="C698" s="218">
        <v>0.1343</v>
      </c>
      <c r="D698" s="218">
        <v>0.13600000000000001</v>
      </c>
      <c r="E698" s="218">
        <v>0.1462</v>
      </c>
      <c r="F698" s="219">
        <v>0.13639999999999999</v>
      </c>
    </row>
    <row r="699" spans="1:6" ht="12" thickBot="1">
      <c r="A699" s="216">
        <v>36934</v>
      </c>
      <c r="B699" s="217">
        <v>36940</v>
      </c>
      <c r="C699" s="218">
        <v>0.1346</v>
      </c>
      <c r="D699" s="218">
        <v>0.1389</v>
      </c>
      <c r="E699" s="218">
        <v>0.15110000000000001</v>
      </c>
      <c r="F699" s="219">
        <v>0.13769999999999999</v>
      </c>
    </row>
    <row r="700" spans="1:6" ht="12" thickBot="1">
      <c r="A700" s="216">
        <v>36927</v>
      </c>
      <c r="B700" s="217">
        <v>36933</v>
      </c>
      <c r="C700" s="218">
        <v>0.13370000000000001</v>
      </c>
      <c r="D700" s="218">
        <v>0.13830000000000001</v>
      </c>
      <c r="E700" s="218">
        <v>0.14729999999999999</v>
      </c>
      <c r="F700" s="219">
        <v>0.13539999999999999</v>
      </c>
    </row>
    <row r="701" spans="1:6" ht="12" thickBot="1">
      <c r="A701" s="216">
        <v>36920</v>
      </c>
      <c r="B701" s="217">
        <v>36926</v>
      </c>
      <c r="C701" s="218">
        <v>0.13539999999999999</v>
      </c>
      <c r="D701" s="218">
        <v>0.1391</v>
      </c>
      <c r="E701" s="218">
        <v>0.15110000000000001</v>
      </c>
      <c r="F701" s="219">
        <v>0.13880000000000001</v>
      </c>
    </row>
    <row r="702" spans="1:6" ht="12" thickBot="1">
      <c r="A702" s="216">
        <v>36913</v>
      </c>
      <c r="B702" s="217">
        <v>36919</v>
      </c>
      <c r="C702" s="218">
        <v>0.13389999999999999</v>
      </c>
      <c r="D702" s="218">
        <v>0.13769999999999999</v>
      </c>
      <c r="E702" s="218">
        <v>0.1547</v>
      </c>
      <c r="F702" s="219">
        <v>0.13819999999999999</v>
      </c>
    </row>
    <row r="703" spans="1:6" ht="12" thickBot="1">
      <c r="A703" s="216">
        <v>36906</v>
      </c>
      <c r="B703" s="217">
        <v>36912</v>
      </c>
      <c r="C703" s="218">
        <v>0.1353</v>
      </c>
      <c r="D703" s="218">
        <v>0.13500000000000001</v>
      </c>
      <c r="E703" s="218">
        <v>0.151</v>
      </c>
      <c r="F703" s="219">
        <v>0.13930000000000001</v>
      </c>
    </row>
    <row r="704" spans="1:6" ht="12" thickBot="1">
      <c r="A704" s="216">
        <v>36899</v>
      </c>
      <c r="B704" s="217">
        <v>36905</v>
      </c>
      <c r="C704" s="218">
        <v>0.13539999999999999</v>
      </c>
      <c r="D704" s="218">
        <v>0.13950000000000001</v>
      </c>
      <c r="E704" s="218">
        <v>0.1414</v>
      </c>
      <c r="F704" s="219">
        <v>0.14419999999999999</v>
      </c>
    </row>
    <row r="705" spans="1:6" ht="12" thickBot="1">
      <c r="A705" s="216">
        <v>36892</v>
      </c>
      <c r="B705" s="217">
        <v>36898</v>
      </c>
      <c r="C705" s="218">
        <v>0.1333</v>
      </c>
      <c r="D705" s="218">
        <v>0.13830000000000001</v>
      </c>
      <c r="E705" s="218">
        <v>0.14710000000000001</v>
      </c>
      <c r="F705" s="219">
        <v>0.13880000000000001</v>
      </c>
    </row>
    <row r="706" spans="1:6" ht="12" thickBot="1">
      <c r="A706" s="216">
        <v>36885</v>
      </c>
      <c r="B706" s="217">
        <v>36891</v>
      </c>
      <c r="C706" s="218">
        <v>0.13350000000000001</v>
      </c>
      <c r="D706" s="218">
        <v>0.14299999999999999</v>
      </c>
      <c r="E706" s="218">
        <v>0.14510000000000001</v>
      </c>
      <c r="F706" s="219">
        <v>0.13800000000000001</v>
      </c>
    </row>
    <row r="707" spans="1:6" ht="12" thickBot="1">
      <c r="A707" s="216">
        <v>36878</v>
      </c>
      <c r="B707" s="217">
        <v>36884</v>
      </c>
      <c r="C707" s="218">
        <v>0.13250000000000001</v>
      </c>
      <c r="D707" s="218">
        <v>0.1421</v>
      </c>
      <c r="E707" s="218">
        <v>0.14580000000000001</v>
      </c>
      <c r="F707" s="219">
        <v>0.13500000000000001</v>
      </c>
    </row>
    <row r="708" spans="1:6" ht="12" thickBot="1">
      <c r="A708" s="216">
        <v>36871</v>
      </c>
      <c r="B708" s="217">
        <v>36877</v>
      </c>
      <c r="C708" s="218">
        <v>0.1323</v>
      </c>
      <c r="D708" s="218">
        <v>0.1399</v>
      </c>
      <c r="E708" s="218">
        <v>0.14660000000000001</v>
      </c>
      <c r="F708" s="219">
        <v>0.13930000000000001</v>
      </c>
    </row>
    <row r="709" spans="1:6" ht="12" thickBot="1">
      <c r="A709" s="216">
        <v>36864</v>
      </c>
      <c r="B709" s="217">
        <v>36870</v>
      </c>
      <c r="C709" s="218">
        <v>0.13100000000000001</v>
      </c>
      <c r="D709" s="218">
        <v>0.13669999999999999</v>
      </c>
      <c r="E709" s="218">
        <v>0.1489</v>
      </c>
      <c r="F709" s="219">
        <v>0.13539999999999999</v>
      </c>
    </row>
    <row r="710" spans="1:6" ht="12" thickBot="1">
      <c r="A710" s="216">
        <v>36857</v>
      </c>
      <c r="B710" s="217">
        <v>36863</v>
      </c>
      <c r="C710" s="218">
        <v>0.13100000000000001</v>
      </c>
      <c r="D710" s="218">
        <v>0.13650000000000001</v>
      </c>
      <c r="E710" s="218">
        <v>0.14410000000000001</v>
      </c>
      <c r="F710" s="219">
        <v>0.1351</v>
      </c>
    </row>
    <row r="711" spans="1:6" ht="12" thickBot="1">
      <c r="A711" s="216">
        <v>36850</v>
      </c>
      <c r="B711" s="217">
        <v>36856</v>
      </c>
      <c r="C711" s="218">
        <v>0.13</v>
      </c>
      <c r="D711" s="218">
        <v>0.1376</v>
      </c>
      <c r="E711" s="218">
        <v>0.14610000000000001</v>
      </c>
      <c r="F711" s="219">
        <v>0.13420000000000001</v>
      </c>
    </row>
    <row r="712" spans="1:6" ht="12" thickBot="1">
      <c r="A712" s="216">
        <v>36843</v>
      </c>
      <c r="B712" s="217">
        <v>36849</v>
      </c>
      <c r="C712" s="218">
        <v>0.13</v>
      </c>
      <c r="D712" s="218">
        <v>0.13389999999999999</v>
      </c>
      <c r="E712" s="218">
        <v>0.1487</v>
      </c>
      <c r="F712" s="219">
        <v>0.13220000000000001</v>
      </c>
    </row>
    <row r="713" spans="1:6" ht="12" thickBot="1">
      <c r="A713" s="216">
        <v>36836</v>
      </c>
      <c r="B713" s="217">
        <v>36842</v>
      </c>
      <c r="C713" s="218">
        <v>0.13270000000000001</v>
      </c>
      <c r="D713" s="218">
        <v>0.1336</v>
      </c>
      <c r="E713" s="218">
        <v>0.1444</v>
      </c>
      <c r="F713" s="219">
        <v>0.1341</v>
      </c>
    </row>
    <row r="714" spans="1:6" ht="12" thickBot="1">
      <c r="A714" s="216">
        <v>36829</v>
      </c>
      <c r="B714" s="217">
        <v>36835</v>
      </c>
      <c r="C714" s="218">
        <v>0.1295</v>
      </c>
      <c r="D714" s="218">
        <v>0.13420000000000001</v>
      </c>
      <c r="E714" s="218">
        <v>0.14080000000000001</v>
      </c>
      <c r="F714" s="219">
        <v>0.1333</v>
      </c>
    </row>
    <row r="715" spans="1:6" ht="12" thickBot="1">
      <c r="A715" s="216">
        <v>36822</v>
      </c>
      <c r="B715" s="217">
        <v>36828</v>
      </c>
      <c r="C715" s="218">
        <v>0.1283</v>
      </c>
      <c r="D715" s="218">
        <v>0.1363</v>
      </c>
      <c r="E715" s="218">
        <v>0.14549999999999999</v>
      </c>
      <c r="F715" s="219">
        <v>0.13300000000000001</v>
      </c>
    </row>
    <row r="716" spans="1:6" ht="12" thickBot="1">
      <c r="A716" s="216">
        <v>36815</v>
      </c>
      <c r="B716" s="217">
        <v>36821</v>
      </c>
      <c r="C716" s="218">
        <v>0.1285</v>
      </c>
      <c r="D716" s="218">
        <v>0.13600000000000001</v>
      </c>
      <c r="E716" s="218">
        <v>0.1416</v>
      </c>
      <c r="F716" s="219">
        <v>0.13270000000000001</v>
      </c>
    </row>
    <row r="717" spans="1:6" ht="12" thickBot="1">
      <c r="A717" s="216">
        <v>36808</v>
      </c>
      <c r="B717" s="217">
        <v>36814</v>
      </c>
      <c r="C717" s="218">
        <v>0.12970000000000001</v>
      </c>
      <c r="D717" s="218">
        <v>0.13539999999999999</v>
      </c>
      <c r="E717" s="218">
        <v>0.15179999999999999</v>
      </c>
      <c r="F717" s="219">
        <v>0.13589999999999999</v>
      </c>
    </row>
    <row r="718" spans="1:6" ht="12" thickBot="1">
      <c r="A718" s="216">
        <v>36801</v>
      </c>
      <c r="B718" s="217">
        <v>36807</v>
      </c>
      <c r="C718" s="218">
        <v>0.12870000000000001</v>
      </c>
      <c r="D718" s="218">
        <v>0.13370000000000001</v>
      </c>
      <c r="E718" s="218">
        <v>0.15090000000000001</v>
      </c>
      <c r="F718" s="219">
        <v>0.13420000000000001</v>
      </c>
    </row>
    <row r="719" spans="1:6" ht="12" thickBot="1">
      <c r="A719" s="216">
        <v>36794</v>
      </c>
      <c r="B719" s="217">
        <v>36800</v>
      </c>
      <c r="C719" s="218">
        <v>0.1295</v>
      </c>
      <c r="D719" s="218">
        <v>0.13300000000000001</v>
      </c>
      <c r="E719" s="218">
        <v>0.14599999999999999</v>
      </c>
      <c r="F719" s="219">
        <v>0.13519999999999999</v>
      </c>
    </row>
    <row r="720" spans="1:6" ht="12" thickBot="1">
      <c r="A720" s="216">
        <v>36787</v>
      </c>
      <c r="B720" s="217">
        <v>36793</v>
      </c>
      <c r="C720" s="218">
        <v>0.13009999999999999</v>
      </c>
      <c r="D720" s="218">
        <v>0.13300000000000001</v>
      </c>
      <c r="E720" s="218">
        <v>0.1502</v>
      </c>
      <c r="F720" s="219">
        <v>0.1351</v>
      </c>
    </row>
    <row r="721" spans="1:6" ht="12" thickBot="1">
      <c r="A721" s="216">
        <v>36780</v>
      </c>
      <c r="B721" s="217">
        <v>36786</v>
      </c>
      <c r="C721" s="218">
        <v>0.12920000000000001</v>
      </c>
      <c r="D721" s="218">
        <v>0.13320000000000001</v>
      </c>
      <c r="E721" s="218">
        <v>0.14949999999999999</v>
      </c>
      <c r="F721" s="219">
        <v>0.12959999999999999</v>
      </c>
    </row>
    <row r="722" spans="1:6" ht="12" thickBot="1">
      <c r="A722" s="216">
        <v>36773</v>
      </c>
      <c r="B722" s="217">
        <v>36779</v>
      </c>
      <c r="C722" s="218">
        <v>0.12640000000000001</v>
      </c>
      <c r="D722" s="218">
        <v>0.12959999999999999</v>
      </c>
      <c r="E722" s="218">
        <v>0.13830000000000001</v>
      </c>
      <c r="F722" s="219">
        <v>0.13</v>
      </c>
    </row>
    <row r="723" spans="1:6" ht="12" thickBot="1">
      <c r="A723" s="216">
        <v>36766</v>
      </c>
      <c r="B723" s="217">
        <v>36772</v>
      </c>
      <c r="C723" s="218">
        <v>0.1258</v>
      </c>
      <c r="D723" s="218">
        <v>0.13020000000000001</v>
      </c>
      <c r="E723" s="218">
        <v>0.13800000000000001</v>
      </c>
      <c r="F723" s="219">
        <v>0.1336</v>
      </c>
    </row>
    <row r="724" spans="1:6" ht="12" thickBot="1">
      <c r="A724" s="216">
        <v>36759</v>
      </c>
      <c r="B724" s="217">
        <v>36765</v>
      </c>
      <c r="C724" s="218">
        <v>0.12479999999999999</v>
      </c>
      <c r="D724" s="218">
        <v>0.1323</v>
      </c>
      <c r="E724" s="218">
        <v>0.13880000000000001</v>
      </c>
      <c r="F724" s="219">
        <v>0.12809999999999999</v>
      </c>
    </row>
    <row r="725" spans="1:6" ht="12" thickBot="1">
      <c r="A725" s="216">
        <v>36752</v>
      </c>
      <c r="B725" s="217">
        <v>36758</v>
      </c>
      <c r="C725" s="218">
        <v>0.1231</v>
      </c>
      <c r="D725" s="218">
        <v>0.13159999999999999</v>
      </c>
      <c r="E725" s="218">
        <v>0.13389999999999999</v>
      </c>
      <c r="F725" s="219">
        <v>0.1295</v>
      </c>
    </row>
    <row r="726" spans="1:6" ht="12" thickBot="1">
      <c r="A726" s="216">
        <v>36745</v>
      </c>
      <c r="B726" s="217">
        <v>36751</v>
      </c>
      <c r="C726" s="218">
        <v>0.1229</v>
      </c>
      <c r="D726" s="218">
        <v>0.12909999999999999</v>
      </c>
      <c r="E726" s="218">
        <v>0.14000000000000001</v>
      </c>
      <c r="F726" s="219">
        <v>0.1275</v>
      </c>
    </row>
    <row r="727" spans="1:6" ht="12" thickBot="1">
      <c r="A727" s="216">
        <v>36738</v>
      </c>
      <c r="B727" s="217">
        <v>36744</v>
      </c>
      <c r="C727" s="218">
        <v>0.123</v>
      </c>
      <c r="D727" s="218">
        <v>0.13020000000000001</v>
      </c>
      <c r="E727" s="218">
        <v>0.14230000000000001</v>
      </c>
      <c r="F727" s="219">
        <v>0.12839999999999999</v>
      </c>
    </row>
    <row r="728" spans="1:6" ht="12" thickBot="1">
      <c r="A728" s="216">
        <v>36731</v>
      </c>
      <c r="B728" s="217">
        <v>36737</v>
      </c>
      <c r="C728" s="218">
        <v>0.123</v>
      </c>
      <c r="D728" s="218">
        <v>0.12870000000000001</v>
      </c>
      <c r="E728" s="218">
        <v>0.13700000000000001</v>
      </c>
      <c r="F728" s="219">
        <v>0.1265</v>
      </c>
    </row>
    <row r="729" spans="1:6" ht="12" thickBot="1">
      <c r="A729" s="216">
        <v>36724</v>
      </c>
      <c r="B729" s="217">
        <v>36730</v>
      </c>
      <c r="C729" s="218">
        <v>0.1198</v>
      </c>
      <c r="D729" s="218">
        <v>0.12620000000000001</v>
      </c>
      <c r="E729" s="218">
        <v>0.1419</v>
      </c>
      <c r="F729" s="219">
        <v>0.12709999999999999</v>
      </c>
    </row>
    <row r="730" spans="1:6" ht="12" thickBot="1">
      <c r="A730" s="216">
        <v>36717</v>
      </c>
      <c r="B730" s="217">
        <v>36723</v>
      </c>
      <c r="C730" s="218">
        <v>0.1227</v>
      </c>
      <c r="D730" s="218">
        <v>0.128</v>
      </c>
      <c r="E730" s="218">
        <v>0.1336</v>
      </c>
      <c r="F730" s="219">
        <v>0.12529999999999999</v>
      </c>
    </row>
    <row r="731" spans="1:6" ht="12" thickBot="1">
      <c r="A731" s="216">
        <v>36710</v>
      </c>
      <c r="B731" s="217">
        <v>36716</v>
      </c>
      <c r="C731" s="218">
        <v>0.1202</v>
      </c>
      <c r="D731" s="218">
        <v>0.1263</v>
      </c>
      <c r="E731" s="218">
        <v>0.13350000000000001</v>
      </c>
      <c r="F731" s="219">
        <v>0.12180000000000001</v>
      </c>
    </row>
    <row r="732" spans="1:6" ht="12" thickBot="1">
      <c r="A732" s="216">
        <v>36703</v>
      </c>
      <c r="B732" s="217">
        <v>36709</v>
      </c>
      <c r="C732" s="218">
        <v>0.1197</v>
      </c>
      <c r="D732" s="218">
        <v>0.12659999999999999</v>
      </c>
      <c r="E732" s="218">
        <v>0.1283</v>
      </c>
      <c r="F732" s="219">
        <v>0.1234</v>
      </c>
    </row>
    <row r="733" spans="1:6" ht="12" thickBot="1">
      <c r="A733" s="216">
        <v>36696</v>
      </c>
      <c r="B733" s="217">
        <v>36702</v>
      </c>
      <c r="C733" s="218">
        <v>0.1198</v>
      </c>
      <c r="D733" s="218">
        <v>0.1265</v>
      </c>
      <c r="E733" s="218">
        <v>0.13739999999999999</v>
      </c>
      <c r="F733" s="219">
        <v>0.1222</v>
      </c>
    </row>
    <row r="734" spans="1:6" ht="12" thickBot="1">
      <c r="A734" s="216">
        <v>36689</v>
      </c>
      <c r="B734" s="217">
        <v>36695</v>
      </c>
      <c r="C734" s="218">
        <v>0.11990000000000001</v>
      </c>
      <c r="D734" s="218">
        <v>0.12709999999999999</v>
      </c>
      <c r="E734" s="218">
        <v>0.1305</v>
      </c>
      <c r="F734" s="219">
        <v>0.12180000000000001</v>
      </c>
    </row>
    <row r="735" spans="1:6" ht="12" thickBot="1">
      <c r="A735" s="216">
        <v>36682</v>
      </c>
      <c r="B735" s="217">
        <v>36688</v>
      </c>
      <c r="C735" s="218">
        <v>0.1181</v>
      </c>
      <c r="D735" s="218">
        <v>0.1273</v>
      </c>
      <c r="E735" s="218">
        <v>0.12509999999999999</v>
      </c>
      <c r="F735" s="219">
        <v>0.12139999999999999</v>
      </c>
    </row>
    <row r="736" spans="1:6" ht="12" thickBot="1">
      <c r="A736" s="216">
        <v>36675</v>
      </c>
      <c r="B736" s="217">
        <v>36681</v>
      </c>
      <c r="C736" s="218">
        <v>0.1182</v>
      </c>
      <c r="D736" s="218">
        <v>0.12690000000000001</v>
      </c>
      <c r="E736" s="218">
        <v>0.12809999999999999</v>
      </c>
      <c r="F736" s="219">
        <v>0.12570000000000001</v>
      </c>
    </row>
    <row r="737" spans="1:6" ht="12" thickBot="1">
      <c r="A737" s="216">
        <v>36668</v>
      </c>
      <c r="B737" s="217">
        <v>36674</v>
      </c>
      <c r="C737" s="218">
        <v>0.1174</v>
      </c>
      <c r="D737" s="218">
        <v>0.1263</v>
      </c>
      <c r="E737" s="218">
        <v>0.13020000000000001</v>
      </c>
      <c r="F737" s="219">
        <v>0.12039999999999999</v>
      </c>
    </row>
    <row r="738" spans="1:6" ht="12" thickBot="1">
      <c r="A738" s="216">
        <v>36661</v>
      </c>
      <c r="B738" s="217">
        <v>36667</v>
      </c>
      <c r="C738" s="218">
        <v>0.1167</v>
      </c>
      <c r="D738" s="218">
        <v>0.1244</v>
      </c>
      <c r="E738" s="218">
        <v>0.12659999999999999</v>
      </c>
      <c r="F738" s="219">
        <v>0.1226</v>
      </c>
    </row>
    <row r="739" spans="1:6" ht="12" thickBot="1">
      <c r="A739" s="216">
        <v>36654</v>
      </c>
      <c r="B739" s="217">
        <v>36660</v>
      </c>
      <c r="C739" s="218">
        <v>0.1158</v>
      </c>
      <c r="D739" s="218">
        <v>0.1232</v>
      </c>
      <c r="E739" s="218">
        <v>0.1221</v>
      </c>
      <c r="F739" s="219">
        <v>0.1208</v>
      </c>
    </row>
    <row r="740" spans="1:6" ht="12" thickBot="1">
      <c r="A740" s="216">
        <v>36647</v>
      </c>
      <c r="B740" s="217">
        <v>36653</v>
      </c>
      <c r="C740" s="218">
        <v>0.1153</v>
      </c>
      <c r="D740" s="218">
        <v>0.12470000000000001</v>
      </c>
      <c r="E740" s="218">
        <v>0.13059999999999999</v>
      </c>
      <c r="F740" s="219">
        <v>0.1191</v>
      </c>
    </row>
    <row r="741" spans="1:6" ht="12" thickBot="1">
      <c r="A741" s="216">
        <v>36640</v>
      </c>
      <c r="B741" s="217">
        <v>36646</v>
      </c>
      <c r="C741" s="218">
        <v>0.1147</v>
      </c>
      <c r="D741" s="218">
        <v>0.12470000000000001</v>
      </c>
      <c r="E741" s="218">
        <v>0.12280000000000001</v>
      </c>
      <c r="F741" s="219">
        <v>0.1177</v>
      </c>
    </row>
    <row r="742" spans="1:6" ht="12" thickBot="1">
      <c r="A742" s="216">
        <v>36633</v>
      </c>
      <c r="B742" s="217">
        <v>36639</v>
      </c>
      <c r="C742" s="218">
        <v>0.1128</v>
      </c>
      <c r="D742" s="218">
        <v>0.12429999999999999</v>
      </c>
      <c r="E742" s="218">
        <v>0.12520000000000001</v>
      </c>
      <c r="F742" s="219">
        <v>0.1173</v>
      </c>
    </row>
    <row r="743" spans="1:6" ht="12" thickBot="1">
      <c r="A743" s="216">
        <v>36626</v>
      </c>
      <c r="B743" s="217">
        <v>36632</v>
      </c>
      <c r="C743" s="218">
        <v>0.113</v>
      </c>
      <c r="D743" s="218">
        <v>0.12379999999999999</v>
      </c>
      <c r="E743" s="218">
        <v>0.125</v>
      </c>
      <c r="F743" s="219">
        <v>0.11700000000000001</v>
      </c>
    </row>
    <row r="744" spans="1:6" ht="12" thickBot="1">
      <c r="A744" s="216">
        <v>36619</v>
      </c>
      <c r="B744" s="217">
        <v>36625</v>
      </c>
      <c r="C744" s="218">
        <v>0.1129</v>
      </c>
      <c r="D744" s="218">
        <v>0.12670000000000001</v>
      </c>
      <c r="E744" s="218">
        <v>0.1293</v>
      </c>
      <c r="F744" s="219">
        <v>0.11609999999999999</v>
      </c>
    </row>
    <row r="745" spans="1:6" ht="12" thickBot="1">
      <c r="A745" s="216">
        <v>36612</v>
      </c>
      <c r="B745" s="217">
        <v>36618</v>
      </c>
      <c r="C745" s="218">
        <v>0.10979999999999999</v>
      </c>
      <c r="D745" s="218">
        <v>0.1192</v>
      </c>
      <c r="E745" s="218">
        <v>0.12839999999999999</v>
      </c>
      <c r="F745" s="219">
        <v>0.1162</v>
      </c>
    </row>
    <row r="746" spans="1:6" ht="12" thickBot="1">
      <c r="A746" s="216">
        <v>36605</v>
      </c>
      <c r="B746" s="217">
        <v>36611</v>
      </c>
      <c r="C746" s="218">
        <v>0.1086</v>
      </c>
      <c r="D746" s="218">
        <v>0.12039999999999999</v>
      </c>
      <c r="E746" s="218">
        <v>0.1197</v>
      </c>
      <c r="F746" s="219">
        <v>0.1124</v>
      </c>
    </row>
    <row r="747" spans="1:6" ht="12" thickBot="1">
      <c r="A747" s="216">
        <v>36598</v>
      </c>
      <c r="B747" s="217">
        <v>36604</v>
      </c>
      <c r="C747" s="218">
        <v>0.10780000000000001</v>
      </c>
      <c r="D747" s="218">
        <v>0.1216</v>
      </c>
      <c r="E747" s="218">
        <v>0.1236</v>
      </c>
      <c r="F747" s="219">
        <v>0.115</v>
      </c>
    </row>
    <row r="748" spans="1:6" ht="12" thickBot="1">
      <c r="A748" s="216">
        <v>36591</v>
      </c>
      <c r="B748" s="217">
        <v>36597</v>
      </c>
      <c r="C748" s="218">
        <v>0.1043</v>
      </c>
      <c r="D748" s="218">
        <v>0.1134</v>
      </c>
      <c r="E748" s="218">
        <v>0.12130000000000001</v>
      </c>
      <c r="F748" s="219">
        <v>0.10979999999999999</v>
      </c>
    </row>
    <row r="749" spans="1:6" ht="12" thickBot="1">
      <c r="A749" s="216">
        <v>36584</v>
      </c>
      <c r="B749" s="217">
        <v>36590</v>
      </c>
      <c r="C749" s="218">
        <v>0.1037</v>
      </c>
      <c r="D749" s="218">
        <v>0.1119</v>
      </c>
      <c r="E749" s="218">
        <v>0.12239999999999999</v>
      </c>
      <c r="F749" s="219">
        <v>0.10639999999999999</v>
      </c>
    </row>
    <row r="750" spans="1:6" ht="12" thickBot="1">
      <c r="A750" s="216">
        <v>36577</v>
      </c>
      <c r="B750" s="217">
        <v>36583</v>
      </c>
      <c r="C750" s="218">
        <v>0.1003</v>
      </c>
      <c r="D750" s="218">
        <v>0.1193</v>
      </c>
      <c r="E750" s="218">
        <v>0.1094</v>
      </c>
      <c r="F750" s="219">
        <v>0.1077</v>
      </c>
    </row>
    <row r="751" spans="1:6" ht="12" thickBot="1">
      <c r="A751" s="216">
        <v>36570</v>
      </c>
      <c r="B751" s="217">
        <v>36576</v>
      </c>
      <c r="C751" s="218">
        <v>0.1</v>
      </c>
      <c r="D751" s="218">
        <v>0.1116</v>
      </c>
      <c r="E751" s="218">
        <v>0.1153</v>
      </c>
      <c r="F751" s="219">
        <v>0.10780000000000001</v>
      </c>
    </row>
    <row r="752" spans="1:6" ht="12" thickBot="1">
      <c r="A752" s="216">
        <v>36563</v>
      </c>
      <c r="B752" s="217">
        <v>36569</v>
      </c>
      <c r="C752" s="218">
        <v>0.10589999999999999</v>
      </c>
      <c r="D752" s="218">
        <v>0.1166</v>
      </c>
      <c r="E752" s="218">
        <v>0.1205</v>
      </c>
      <c r="F752" s="219">
        <v>0.1138</v>
      </c>
    </row>
    <row r="753" spans="1:6" ht="12" thickBot="1">
      <c r="A753" s="216">
        <v>36556</v>
      </c>
      <c r="B753" s="217">
        <v>36562</v>
      </c>
      <c r="C753" s="218">
        <v>0.10920000000000001</v>
      </c>
      <c r="D753" s="218">
        <v>0.1221</v>
      </c>
      <c r="E753" s="218">
        <v>0.12909999999999999</v>
      </c>
      <c r="F753" s="219">
        <v>0.1139</v>
      </c>
    </row>
    <row r="754" spans="1:6" ht="12" thickBot="1">
      <c r="A754" s="216">
        <v>36549</v>
      </c>
      <c r="B754" s="217">
        <v>36555</v>
      </c>
      <c r="C754" s="218">
        <v>0.1215</v>
      </c>
      <c r="D754" s="218">
        <v>0.1303</v>
      </c>
      <c r="E754" s="218">
        <v>0.1409</v>
      </c>
      <c r="F754" s="219">
        <v>0.1288</v>
      </c>
    </row>
    <row r="755" spans="1:6" ht="12" thickBot="1">
      <c r="A755" s="216">
        <v>36542</v>
      </c>
      <c r="B755" s="217">
        <v>36548</v>
      </c>
      <c r="C755" s="218">
        <v>0.1351</v>
      </c>
      <c r="D755" s="218">
        <v>0.14349999999999999</v>
      </c>
      <c r="E755" s="218">
        <v>0.1545</v>
      </c>
      <c r="F755" s="219">
        <v>0.1452</v>
      </c>
    </row>
    <row r="756" spans="1:6" ht="12" thickBot="1">
      <c r="A756" s="216">
        <v>36535</v>
      </c>
      <c r="B756" s="217">
        <v>36541</v>
      </c>
      <c r="C756" s="218">
        <v>0.14599999999999999</v>
      </c>
      <c r="D756" s="218">
        <v>0.15440000000000001</v>
      </c>
      <c r="E756" s="218">
        <v>0.1603</v>
      </c>
      <c r="F756" s="219">
        <v>0.15620000000000001</v>
      </c>
    </row>
    <row r="757" spans="1:6" ht="12" thickBot="1">
      <c r="A757" s="216">
        <v>36528</v>
      </c>
      <c r="B757" s="217">
        <v>36534</v>
      </c>
      <c r="C757" s="218">
        <v>0.15390000000000001</v>
      </c>
      <c r="D757" s="218">
        <v>0.16189999999999999</v>
      </c>
      <c r="E757" s="218">
        <v>0.16520000000000001</v>
      </c>
      <c r="F757" s="219">
        <v>0.157</v>
      </c>
    </row>
    <row r="758" spans="1:6" ht="12" thickBot="1">
      <c r="A758" s="216">
        <v>36521</v>
      </c>
      <c r="B758" s="217">
        <v>36527</v>
      </c>
      <c r="C758" s="218">
        <v>0.1575</v>
      </c>
      <c r="D758" s="218">
        <v>0.1681</v>
      </c>
      <c r="E758" s="218">
        <v>0.17030000000000001</v>
      </c>
      <c r="F758" s="219">
        <v>0.16830000000000001</v>
      </c>
    </row>
    <row r="759" spans="1:6" ht="12" thickBot="1">
      <c r="A759" s="216">
        <v>36514</v>
      </c>
      <c r="B759" s="217">
        <v>36520</v>
      </c>
      <c r="C759" s="218">
        <v>0.1605</v>
      </c>
      <c r="D759" s="218">
        <v>0.1704</v>
      </c>
      <c r="E759" s="218">
        <v>0.18529999999999999</v>
      </c>
      <c r="F759" s="219">
        <v>0.1676</v>
      </c>
    </row>
    <row r="760" spans="1:6" ht="12" thickBot="1">
      <c r="A760" s="216">
        <v>36507</v>
      </c>
      <c r="B760" s="217">
        <v>36513</v>
      </c>
      <c r="C760" s="218">
        <v>0.1671</v>
      </c>
      <c r="D760" s="218">
        <v>0.18140000000000001</v>
      </c>
      <c r="E760" s="218">
        <v>0.18429999999999999</v>
      </c>
      <c r="F760" s="219">
        <v>0.17169999999999999</v>
      </c>
    </row>
    <row r="761" spans="1:6" ht="12" thickBot="1">
      <c r="A761" s="216">
        <v>36500</v>
      </c>
      <c r="B761" s="217">
        <v>36506</v>
      </c>
      <c r="C761" s="218">
        <v>0.17069999999999999</v>
      </c>
      <c r="D761" s="218">
        <v>0.18329999999999999</v>
      </c>
      <c r="E761" s="218">
        <v>0.18779999999999999</v>
      </c>
      <c r="F761" s="219">
        <v>0.17899999999999999</v>
      </c>
    </row>
    <row r="762" spans="1:6" ht="12" thickBot="1">
      <c r="A762" s="216">
        <v>36493</v>
      </c>
      <c r="B762" s="217">
        <v>36499</v>
      </c>
      <c r="C762" s="218">
        <v>0.17469999999999999</v>
      </c>
      <c r="D762" s="218">
        <v>0.1837</v>
      </c>
      <c r="E762" s="218">
        <v>0.19259999999999999</v>
      </c>
      <c r="F762" s="219">
        <v>0.17680000000000001</v>
      </c>
    </row>
    <row r="763" spans="1:6" ht="12" thickBot="1">
      <c r="A763" s="216">
        <v>36486</v>
      </c>
      <c r="B763" s="217">
        <v>36492</v>
      </c>
      <c r="C763" s="218">
        <v>0.1794</v>
      </c>
      <c r="D763" s="218">
        <v>0.18340000000000001</v>
      </c>
      <c r="E763" s="218">
        <v>0.19120000000000001</v>
      </c>
      <c r="F763" s="219">
        <v>0.18179999999999999</v>
      </c>
    </row>
    <row r="764" spans="1:6" ht="12" thickBot="1">
      <c r="A764" s="216">
        <v>36479</v>
      </c>
      <c r="B764" s="217">
        <v>36485</v>
      </c>
      <c r="C764" s="218">
        <v>0.18229999999999999</v>
      </c>
      <c r="D764" s="218">
        <v>0.19109999999999999</v>
      </c>
      <c r="E764" s="218">
        <v>0.20200000000000001</v>
      </c>
      <c r="F764" s="219">
        <v>0.1875</v>
      </c>
    </row>
    <row r="765" spans="1:6" ht="12" thickBot="1">
      <c r="A765" s="216">
        <v>36472</v>
      </c>
      <c r="B765" s="217">
        <v>36478</v>
      </c>
      <c r="C765" s="218">
        <v>0.18240000000000001</v>
      </c>
      <c r="D765" s="218">
        <v>0.19189999999999999</v>
      </c>
      <c r="E765" s="218">
        <v>0.20669999999999999</v>
      </c>
      <c r="F765" s="219">
        <v>0.18709999999999999</v>
      </c>
    </row>
    <row r="766" spans="1:6" ht="12" thickBot="1">
      <c r="A766" s="216">
        <v>36465</v>
      </c>
      <c r="B766" s="217">
        <v>36471</v>
      </c>
      <c r="C766" s="218">
        <v>0.18099999999999999</v>
      </c>
      <c r="D766" s="218">
        <v>0.19400000000000001</v>
      </c>
      <c r="E766" s="218">
        <v>0.2069</v>
      </c>
      <c r="F766" s="219">
        <v>0.18629999999999999</v>
      </c>
    </row>
    <row r="767" spans="1:6" ht="12" thickBot="1">
      <c r="A767" s="216">
        <v>36458</v>
      </c>
      <c r="B767" s="217">
        <v>36464</v>
      </c>
      <c r="C767" s="218">
        <v>0.18229999999999999</v>
      </c>
      <c r="D767" s="218">
        <v>0.19939999999999999</v>
      </c>
      <c r="E767" s="218">
        <v>0.21279999999999999</v>
      </c>
      <c r="F767" s="219">
        <v>0.186</v>
      </c>
    </row>
    <row r="768" spans="1:6" ht="12" thickBot="1">
      <c r="A768" s="216">
        <v>36451</v>
      </c>
      <c r="B768" s="217">
        <v>36457</v>
      </c>
      <c r="C768" s="218">
        <v>0.1812</v>
      </c>
      <c r="D768" s="218">
        <v>0.19889999999999999</v>
      </c>
      <c r="E768" s="218">
        <v>0.2044</v>
      </c>
      <c r="F768" s="219">
        <v>0.18479999999999999</v>
      </c>
    </row>
    <row r="769" spans="1:6" ht="12" thickBot="1">
      <c r="A769" s="216">
        <v>36444</v>
      </c>
      <c r="B769" s="217">
        <v>36450</v>
      </c>
      <c r="C769" s="218">
        <v>0.1825</v>
      </c>
      <c r="D769" s="218">
        <v>0.1938</v>
      </c>
      <c r="E769" s="218">
        <v>0.19059999999999999</v>
      </c>
      <c r="F769" s="219">
        <v>0.1822</v>
      </c>
    </row>
    <row r="770" spans="1:6" ht="12" thickBot="1">
      <c r="A770" s="216">
        <v>36437</v>
      </c>
      <c r="B770" s="217">
        <v>36443</v>
      </c>
      <c r="C770" s="218">
        <v>0.18029999999999999</v>
      </c>
      <c r="D770" s="218">
        <v>0.19819999999999999</v>
      </c>
      <c r="E770" s="218">
        <v>0.1847</v>
      </c>
      <c r="F770" s="219">
        <v>0.1822</v>
      </c>
    </row>
    <row r="771" spans="1:6" ht="12" thickBot="1">
      <c r="A771" s="216">
        <v>36430</v>
      </c>
      <c r="B771" s="217">
        <v>36436</v>
      </c>
      <c r="C771" s="218">
        <v>0.17949999999999999</v>
      </c>
      <c r="D771" s="218">
        <v>0.1996</v>
      </c>
      <c r="E771" s="218">
        <v>0.20330000000000001</v>
      </c>
      <c r="F771" s="219">
        <v>0.17580000000000001</v>
      </c>
    </row>
    <row r="772" spans="1:6" ht="12" thickBot="1">
      <c r="A772" s="216">
        <v>36423</v>
      </c>
      <c r="B772" s="217">
        <v>36429</v>
      </c>
      <c r="C772" s="218">
        <v>0.18079999999999999</v>
      </c>
      <c r="D772" s="218">
        <v>0.1918</v>
      </c>
      <c r="E772" s="218">
        <v>0.20669999999999999</v>
      </c>
      <c r="F772" s="219">
        <v>0.1792</v>
      </c>
    </row>
    <row r="773" spans="1:6" ht="12" thickBot="1">
      <c r="A773" s="216">
        <v>36416</v>
      </c>
      <c r="B773" s="217">
        <v>36422</v>
      </c>
      <c r="C773" s="218">
        <v>0.18029999999999999</v>
      </c>
      <c r="D773" s="218">
        <v>0.1966</v>
      </c>
      <c r="E773" s="218">
        <v>0.21079999999999999</v>
      </c>
      <c r="F773" s="219">
        <v>0.1804</v>
      </c>
    </row>
    <row r="774" spans="1:6" ht="12" thickBot="1">
      <c r="A774" s="216">
        <v>36409</v>
      </c>
      <c r="B774" s="217">
        <v>36415</v>
      </c>
      <c r="C774" s="218">
        <v>0.1822</v>
      </c>
      <c r="D774" s="218">
        <v>0.19489999999999999</v>
      </c>
      <c r="E774" s="218">
        <v>0.1971</v>
      </c>
      <c r="F774" s="219">
        <v>0.17979999999999999</v>
      </c>
    </row>
    <row r="775" spans="1:6" ht="12" thickBot="1">
      <c r="A775" s="216">
        <v>36402</v>
      </c>
      <c r="B775" s="217">
        <v>36408</v>
      </c>
      <c r="C775" s="218">
        <v>0.18390000000000001</v>
      </c>
      <c r="D775" s="218">
        <v>0.19950000000000001</v>
      </c>
      <c r="E775" s="218">
        <v>0.2006</v>
      </c>
      <c r="F775" s="219">
        <v>0.18079999999999999</v>
      </c>
    </row>
    <row r="776" spans="1:6" ht="12" thickBot="1">
      <c r="A776" s="216">
        <v>36395</v>
      </c>
      <c r="B776" s="217">
        <v>36401</v>
      </c>
      <c r="C776" s="218">
        <v>0.1867</v>
      </c>
      <c r="D776" s="218">
        <v>0.19889999999999999</v>
      </c>
      <c r="E776" s="218">
        <v>0.2034</v>
      </c>
      <c r="F776" s="219">
        <v>0.19</v>
      </c>
    </row>
    <row r="777" spans="1:6" ht="12" thickBot="1">
      <c r="A777" s="216">
        <v>36388</v>
      </c>
      <c r="B777" s="217">
        <v>36394</v>
      </c>
      <c r="C777" s="218">
        <v>0.1913</v>
      </c>
      <c r="D777" s="218">
        <v>0.19980000000000001</v>
      </c>
      <c r="E777" s="218">
        <v>0.20660000000000001</v>
      </c>
      <c r="F777" s="219">
        <v>0.19470000000000001</v>
      </c>
    </row>
    <row r="778" spans="1:6" ht="12" thickBot="1">
      <c r="A778" s="216">
        <v>36381</v>
      </c>
      <c r="B778" s="217">
        <v>36387</v>
      </c>
      <c r="C778" s="218">
        <v>0.1925</v>
      </c>
      <c r="D778" s="218">
        <v>0.1996</v>
      </c>
      <c r="E778" s="218">
        <v>0.20580000000000001</v>
      </c>
      <c r="F778" s="219">
        <v>0.20050000000000001</v>
      </c>
    </row>
    <row r="779" spans="1:6" ht="12" thickBot="1">
      <c r="A779" s="216">
        <v>36374</v>
      </c>
      <c r="B779" s="217">
        <v>36380</v>
      </c>
      <c r="C779" s="218">
        <v>0.1956</v>
      </c>
      <c r="D779" s="218">
        <v>0.20130000000000001</v>
      </c>
      <c r="E779" s="218">
        <v>0.20480000000000001</v>
      </c>
      <c r="F779" s="219">
        <v>0.1961</v>
      </c>
    </row>
    <row r="780" spans="1:6" ht="12" thickBot="1">
      <c r="A780" s="216">
        <v>36367</v>
      </c>
      <c r="B780" s="217">
        <v>36373</v>
      </c>
      <c r="C780" s="218">
        <v>0.19189999999999999</v>
      </c>
      <c r="D780" s="218">
        <v>0.19769999999999999</v>
      </c>
      <c r="E780" s="218">
        <v>0.2059</v>
      </c>
      <c r="F780" s="219">
        <v>0.18990000000000001</v>
      </c>
    </row>
    <row r="781" spans="1:6" ht="12" thickBot="1">
      <c r="A781" s="216">
        <v>36360</v>
      </c>
      <c r="B781" s="217">
        <v>36366</v>
      </c>
      <c r="C781" s="218">
        <v>0.19109999999999999</v>
      </c>
      <c r="D781" s="218">
        <v>0.19489999999999999</v>
      </c>
      <c r="E781" s="218">
        <v>0.20019999999999999</v>
      </c>
      <c r="F781" s="219">
        <v>0.1875</v>
      </c>
    </row>
    <row r="782" spans="1:6" ht="12" thickBot="1">
      <c r="A782" s="216">
        <v>36353</v>
      </c>
      <c r="B782" s="217">
        <v>36359</v>
      </c>
      <c r="C782" s="218">
        <v>0.18590000000000001</v>
      </c>
      <c r="D782" s="218">
        <v>0.19819999999999999</v>
      </c>
      <c r="E782" s="218">
        <v>0.19309999999999999</v>
      </c>
      <c r="F782" s="219">
        <v>0.18740000000000001</v>
      </c>
    </row>
    <row r="783" spans="1:6" ht="12" thickBot="1">
      <c r="A783" s="216">
        <v>36346</v>
      </c>
      <c r="B783" s="217">
        <v>36352</v>
      </c>
      <c r="C783" s="218">
        <v>0.18210000000000001</v>
      </c>
      <c r="D783" s="218">
        <v>0.1865</v>
      </c>
      <c r="E783" s="218">
        <v>0.1913</v>
      </c>
      <c r="F783" s="219">
        <v>0.1852</v>
      </c>
    </row>
    <row r="784" spans="1:6" ht="12" thickBot="1">
      <c r="A784" s="216">
        <v>36339</v>
      </c>
      <c r="B784" s="217">
        <v>36345</v>
      </c>
      <c r="C784" s="218">
        <v>0.1779</v>
      </c>
      <c r="D784" s="218">
        <v>0.1842</v>
      </c>
      <c r="E784" s="218">
        <v>0.20039999999999999</v>
      </c>
      <c r="F784" s="219">
        <v>0.18079999999999999</v>
      </c>
    </row>
    <row r="785" spans="1:6" ht="12" thickBot="1">
      <c r="A785" s="216">
        <v>36332</v>
      </c>
      <c r="B785" s="217">
        <v>36338</v>
      </c>
      <c r="C785" s="218">
        <v>0.1774</v>
      </c>
      <c r="D785" s="218">
        <v>0.183</v>
      </c>
      <c r="E785" s="218">
        <v>0.19059999999999999</v>
      </c>
      <c r="F785" s="219">
        <v>0.17949999999999999</v>
      </c>
    </row>
    <row r="786" spans="1:6" ht="12" thickBot="1">
      <c r="A786" s="216">
        <v>36325</v>
      </c>
      <c r="B786" s="217">
        <v>36331</v>
      </c>
      <c r="C786" s="218">
        <v>0.17899999999999999</v>
      </c>
      <c r="D786" s="218">
        <v>0.18909999999999999</v>
      </c>
      <c r="E786" s="218">
        <v>0.1988</v>
      </c>
      <c r="F786" s="219">
        <v>0.17949999999999999</v>
      </c>
    </row>
    <row r="787" spans="1:6" ht="12" thickBot="1">
      <c r="A787" s="216">
        <v>36318</v>
      </c>
      <c r="B787" s="217">
        <v>36324</v>
      </c>
      <c r="C787" s="218">
        <v>0.17799999999999999</v>
      </c>
      <c r="D787" s="218">
        <v>0.1895</v>
      </c>
      <c r="E787" s="218">
        <v>0.19800000000000001</v>
      </c>
      <c r="F787" s="219">
        <v>0.1779</v>
      </c>
    </row>
    <row r="788" spans="1:6" ht="12" thickBot="1">
      <c r="A788" s="216">
        <v>36311</v>
      </c>
      <c r="B788" s="217">
        <v>36317</v>
      </c>
      <c r="C788" s="218">
        <v>0.1812</v>
      </c>
      <c r="D788" s="218">
        <v>0.1943</v>
      </c>
      <c r="E788" s="218">
        <v>0.19570000000000001</v>
      </c>
      <c r="F788" s="219">
        <v>0.1782</v>
      </c>
    </row>
    <row r="789" spans="1:6" ht="12" thickBot="1">
      <c r="A789" s="216">
        <v>36304</v>
      </c>
      <c r="B789" s="217">
        <v>36310</v>
      </c>
      <c r="C789" s="218">
        <v>0.1835</v>
      </c>
      <c r="D789" s="218">
        <v>0.19700000000000001</v>
      </c>
      <c r="E789" s="218">
        <v>0.2006</v>
      </c>
      <c r="F789" s="219">
        <v>0.18260000000000001</v>
      </c>
    </row>
    <row r="790" spans="1:6" ht="12" thickBot="1">
      <c r="A790" s="216">
        <v>36297</v>
      </c>
      <c r="B790" s="217">
        <v>36303</v>
      </c>
      <c r="C790" s="218">
        <v>0.19220000000000001</v>
      </c>
      <c r="D790" s="218">
        <v>0.2031</v>
      </c>
      <c r="E790" s="218">
        <v>0.2092</v>
      </c>
      <c r="F790" s="219">
        <v>0.19040000000000001</v>
      </c>
    </row>
    <row r="791" spans="1:6" ht="12" thickBot="1">
      <c r="A791" s="216">
        <v>36290</v>
      </c>
      <c r="B791" s="217">
        <v>36296</v>
      </c>
      <c r="C791" s="218">
        <v>0.20100000000000001</v>
      </c>
      <c r="D791" s="218">
        <v>0.21609999999999999</v>
      </c>
      <c r="E791" s="218">
        <v>0.20069999999999999</v>
      </c>
      <c r="F791" s="219">
        <v>0.20369999999999999</v>
      </c>
    </row>
    <row r="792" spans="1:6" ht="12" thickBot="1">
      <c r="A792" s="216">
        <v>36283</v>
      </c>
      <c r="B792" s="217">
        <v>36289</v>
      </c>
      <c r="C792" s="218">
        <v>0.21129999999999999</v>
      </c>
      <c r="D792" s="218">
        <v>0.22739999999999999</v>
      </c>
      <c r="E792" s="218">
        <v>0.22339999999999999</v>
      </c>
      <c r="F792" s="219">
        <v>0.20419999999999999</v>
      </c>
    </row>
    <row r="793" spans="1:6" ht="12" thickBot="1">
      <c r="A793" s="216">
        <v>36276</v>
      </c>
      <c r="B793" s="217">
        <v>36282</v>
      </c>
      <c r="C793" s="218">
        <v>0.21890000000000001</v>
      </c>
      <c r="D793" s="218">
        <v>0.2316</v>
      </c>
      <c r="E793" s="218">
        <v>0.2349</v>
      </c>
      <c r="F793" s="219">
        <v>0.21840000000000001</v>
      </c>
    </row>
    <row r="794" spans="1:6" ht="12" thickBot="1">
      <c r="A794" s="216">
        <v>36269</v>
      </c>
      <c r="B794" s="217">
        <v>36275</v>
      </c>
      <c r="C794" s="218">
        <v>0.22520000000000001</v>
      </c>
      <c r="D794" s="218">
        <v>0.24360000000000001</v>
      </c>
      <c r="E794" s="218">
        <v>0.2452</v>
      </c>
      <c r="F794" s="219">
        <v>0.22239999999999999</v>
      </c>
    </row>
    <row r="795" spans="1:6" ht="12" thickBot="1">
      <c r="A795" s="216">
        <v>36262</v>
      </c>
      <c r="B795" s="217">
        <v>36268</v>
      </c>
      <c r="C795" s="218">
        <v>0.23100000000000001</v>
      </c>
      <c r="D795" s="218">
        <v>0.2482</v>
      </c>
      <c r="E795" s="218">
        <v>0.2455</v>
      </c>
      <c r="F795" s="219">
        <v>0.23250000000000001</v>
      </c>
    </row>
    <row r="796" spans="1:6" ht="12" thickBot="1">
      <c r="A796" s="216">
        <v>36255</v>
      </c>
      <c r="B796" s="217">
        <v>36261</v>
      </c>
      <c r="C796" s="218">
        <v>0.24060000000000001</v>
      </c>
      <c r="D796" s="218">
        <v>0.2555</v>
      </c>
      <c r="E796" s="218">
        <v>0.25569999999999998</v>
      </c>
      <c r="F796" s="219">
        <v>0.23760000000000001</v>
      </c>
    </row>
    <row r="797" spans="1:6" ht="12" thickBot="1">
      <c r="A797" s="216">
        <v>36248</v>
      </c>
      <c r="B797" s="217">
        <v>36254</v>
      </c>
      <c r="C797" s="218">
        <v>0.24829999999999999</v>
      </c>
      <c r="D797" s="218">
        <v>0.25540000000000002</v>
      </c>
      <c r="E797" s="218">
        <v>0.25559999999999999</v>
      </c>
      <c r="F797" s="219">
        <v>0.24210000000000001</v>
      </c>
    </row>
    <row r="798" spans="1:6" ht="12" thickBot="1">
      <c r="A798" s="216">
        <v>36241</v>
      </c>
      <c r="B798" s="217">
        <v>36247</v>
      </c>
      <c r="C798" s="218">
        <v>0.249</v>
      </c>
      <c r="D798" s="218">
        <v>0.25790000000000002</v>
      </c>
      <c r="E798" s="218">
        <v>0.26440000000000002</v>
      </c>
      <c r="F798" s="219">
        <v>0.24590000000000001</v>
      </c>
    </row>
    <row r="799" spans="1:6" ht="12" thickBot="1">
      <c r="A799" s="216">
        <v>36234</v>
      </c>
      <c r="B799" s="217">
        <v>36240</v>
      </c>
      <c r="C799" s="218">
        <v>0.25169999999999998</v>
      </c>
      <c r="D799" s="218">
        <v>0.26979999999999998</v>
      </c>
      <c r="E799" s="218">
        <v>0.27210000000000001</v>
      </c>
      <c r="F799" s="219">
        <v>0.25319999999999998</v>
      </c>
    </row>
    <row r="800" spans="1:6" ht="12" thickBot="1">
      <c r="A800" s="216">
        <v>36227</v>
      </c>
      <c r="B800" s="217">
        <v>36233</v>
      </c>
      <c r="C800" s="218">
        <v>0.27039999999999997</v>
      </c>
      <c r="D800" s="218">
        <v>0.27939999999999998</v>
      </c>
      <c r="E800" s="218">
        <v>0.2918</v>
      </c>
      <c r="F800" s="219">
        <v>0.26229999999999998</v>
      </c>
    </row>
    <row r="801" spans="1:6" ht="12" thickBot="1">
      <c r="A801" s="216">
        <v>36220</v>
      </c>
      <c r="B801" s="217">
        <v>36226</v>
      </c>
      <c r="C801" s="218">
        <v>0.28810000000000002</v>
      </c>
      <c r="D801" s="218">
        <v>0.29980000000000001</v>
      </c>
      <c r="E801" s="218">
        <v>0.29680000000000001</v>
      </c>
      <c r="F801" s="219">
        <v>0.27789999999999998</v>
      </c>
    </row>
    <row r="802" spans="1:6" ht="12" thickBot="1">
      <c r="A802" s="216">
        <v>36213</v>
      </c>
      <c r="B802" s="217">
        <v>36219</v>
      </c>
      <c r="C802" s="218">
        <v>0.3014</v>
      </c>
      <c r="D802" s="218">
        <v>0.31159999999999999</v>
      </c>
      <c r="E802" s="218">
        <v>0.3</v>
      </c>
      <c r="F802" s="219">
        <v>0.29399999999999998</v>
      </c>
    </row>
    <row r="803" spans="1:6" ht="12" thickBot="1">
      <c r="A803" s="216">
        <v>36206</v>
      </c>
      <c r="B803" s="217">
        <v>36212</v>
      </c>
      <c r="C803" s="218">
        <v>0.30980000000000002</v>
      </c>
      <c r="D803" s="218">
        <v>0.316</v>
      </c>
      <c r="E803" s="218">
        <v>0.30719999999999997</v>
      </c>
      <c r="F803" s="219">
        <v>0.309</v>
      </c>
    </row>
    <row r="804" spans="1:6" ht="12" thickBot="1">
      <c r="A804" s="216">
        <v>36199</v>
      </c>
      <c r="B804" s="217">
        <v>36205</v>
      </c>
      <c r="C804" s="218">
        <v>0.3196</v>
      </c>
      <c r="D804" s="218">
        <v>0.32079999999999997</v>
      </c>
      <c r="E804" s="218">
        <v>0.31809999999999999</v>
      </c>
      <c r="F804" s="219">
        <v>0.31659999999999999</v>
      </c>
    </row>
    <row r="805" spans="1:6" ht="12" thickBot="1">
      <c r="A805" s="216">
        <v>36192</v>
      </c>
      <c r="B805" s="217">
        <v>36198</v>
      </c>
      <c r="C805" s="218">
        <v>0.3261</v>
      </c>
      <c r="D805" s="218">
        <v>0.33040000000000003</v>
      </c>
      <c r="E805" s="218">
        <v>0.32200000000000001</v>
      </c>
      <c r="F805" s="219">
        <v>0.3226</v>
      </c>
    </row>
    <row r="806" spans="1:6" ht="12" thickBot="1">
      <c r="A806" s="216">
        <v>36185</v>
      </c>
      <c r="B806" s="217">
        <v>36191</v>
      </c>
      <c r="C806" s="218">
        <v>0.3322</v>
      </c>
      <c r="D806" s="218">
        <v>0.32669999999999999</v>
      </c>
      <c r="E806" s="218">
        <v>0.31979999999999997</v>
      </c>
      <c r="F806" s="219">
        <v>0.32319999999999999</v>
      </c>
    </row>
    <row r="807" spans="1:6" ht="12" thickBot="1">
      <c r="A807" s="216">
        <v>36178</v>
      </c>
      <c r="B807" s="217">
        <v>36184</v>
      </c>
      <c r="C807" s="218">
        <v>0.33500000000000002</v>
      </c>
      <c r="D807" s="218">
        <v>0.32729999999999998</v>
      </c>
      <c r="E807" s="218">
        <v>0.3216</v>
      </c>
      <c r="F807" s="219">
        <v>0.3246</v>
      </c>
    </row>
    <row r="808" spans="1:6" ht="12" thickBot="1">
      <c r="A808" s="216">
        <v>36171</v>
      </c>
      <c r="B808" s="217">
        <v>36177</v>
      </c>
      <c r="C808" s="218">
        <v>0.3377</v>
      </c>
      <c r="D808" s="218">
        <v>0.33539999999999998</v>
      </c>
      <c r="E808" s="218">
        <v>0.3337</v>
      </c>
      <c r="F808" s="219">
        <v>0.33119999999999999</v>
      </c>
    </row>
    <row r="809" spans="1:6" ht="12" thickBot="1">
      <c r="A809" s="216">
        <v>36164</v>
      </c>
      <c r="B809" s="217">
        <v>36170</v>
      </c>
      <c r="C809" s="218">
        <v>0.34060000000000001</v>
      </c>
      <c r="D809" s="218">
        <v>0.32800000000000001</v>
      </c>
      <c r="E809" s="218">
        <v>0.34200000000000003</v>
      </c>
      <c r="F809" s="219">
        <v>0.32800000000000001</v>
      </c>
    </row>
    <row r="810" spans="1:6" ht="12" thickBot="1">
      <c r="A810" s="216">
        <v>36157</v>
      </c>
      <c r="B810" s="217">
        <v>36163</v>
      </c>
      <c r="C810" s="218">
        <v>0.34329999999999999</v>
      </c>
      <c r="D810" s="218">
        <v>0.35339999999999999</v>
      </c>
      <c r="E810" s="218">
        <v>0.34789999999999999</v>
      </c>
      <c r="F810" s="219">
        <v>0.34300000000000003</v>
      </c>
    </row>
    <row r="811" spans="1:6" ht="12" thickBot="1">
      <c r="A811" s="216">
        <v>36150</v>
      </c>
      <c r="B811" s="217">
        <v>36156</v>
      </c>
      <c r="C811" s="218">
        <v>0.35560000000000003</v>
      </c>
      <c r="D811" s="218">
        <v>0.3619</v>
      </c>
      <c r="E811" s="218">
        <v>0.35580000000000001</v>
      </c>
      <c r="F811" s="219">
        <v>0.35870000000000002</v>
      </c>
    </row>
    <row r="812" spans="1:6" ht="12" thickBot="1">
      <c r="A812" s="216">
        <v>36143</v>
      </c>
      <c r="B812" s="217">
        <v>36149</v>
      </c>
      <c r="C812" s="218">
        <v>0.35959999999999998</v>
      </c>
      <c r="D812" s="218">
        <v>0.36230000000000001</v>
      </c>
      <c r="E812" s="218">
        <v>0.3367</v>
      </c>
      <c r="F812" s="219">
        <v>0.36249999999999999</v>
      </c>
    </row>
    <row r="813" spans="1:6" ht="12" thickBot="1">
      <c r="A813" s="216">
        <v>36136</v>
      </c>
      <c r="B813" s="217">
        <v>36142</v>
      </c>
      <c r="C813" s="218">
        <v>0.3614</v>
      </c>
      <c r="D813" s="218">
        <v>0.36870000000000003</v>
      </c>
      <c r="E813" s="218">
        <v>0.36480000000000001</v>
      </c>
      <c r="F813" s="219">
        <v>0.36170000000000002</v>
      </c>
    </row>
    <row r="814" spans="1:6" ht="12" thickBot="1">
      <c r="A814" s="216">
        <v>36129</v>
      </c>
      <c r="B814" s="217">
        <v>36135</v>
      </c>
      <c r="C814" s="218">
        <v>0.36299999999999999</v>
      </c>
      <c r="D814" s="218">
        <v>0.37209999999999999</v>
      </c>
      <c r="E814" s="218">
        <v>0.36559999999999998</v>
      </c>
      <c r="F814" s="219">
        <v>0.36399999999999999</v>
      </c>
    </row>
    <row r="815" spans="1:6" ht="12" thickBot="1">
      <c r="A815" s="216">
        <v>36122</v>
      </c>
      <c r="B815" s="217">
        <v>36128</v>
      </c>
      <c r="C815" s="218">
        <v>0.36559999999999998</v>
      </c>
      <c r="D815" s="218">
        <v>0.37</v>
      </c>
      <c r="E815" s="218">
        <v>0.32879999999999998</v>
      </c>
      <c r="F815" s="219">
        <v>0.3695</v>
      </c>
    </row>
    <row r="816" spans="1:6" ht="12" thickBot="1">
      <c r="A816" s="216">
        <v>36115</v>
      </c>
      <c r="B816" s="217">
        <v>36121</v>
      </c>
      <c r="C816" s="218">
        <v>0.36199999999999999</v>
      </c>
      <c r="D816" s="218">
        <v>0.35949999999999999</v>
      </c>
      <c r="E816" s="218">
        <v>0.32819999999999999</v>
      </c>
      <c r="F816" s="219">
        <v>0.36980000000000002</v>
      </c>
    </row>
    <row r="817" spans="1:6" ht="12" thickBot="1">
      <c r="A817" s="216">
        <v>36108</v>
      </c>
      <c r="B817" s="217">
        <v>36114</v>
      </c>
      <c r="C817" s="218">
        <v>0.37169999999999997</v>
      </c>
      <c r="D817" s="218">
        <v>0.37990000000000002</v>
      </c>
      <c r="E817" s="218">
        <v>0.34179999999999999</v>
      </c>
      <c r="F817" s="219">
        <v>0.36880000000000002</v>
      </c>
    </row>
    <row r="818" spans="1:6" ht="12" thickBot="1">
      <c r="A818" s="216">
        <v>36101</v>
      </c>
      <c r="B818" s="217">
        <v>36107</v>
      </c>
      <c r="C818" s="218">
        <v>0.37090000000000001</v>
      </c>
      <c r="D818" s="218">
        <v>0.36409999999999998</v>
      </c>
      <c r="E818" s="218">
        <v>0.33950000000000002</v>
      </c>
      <c r="F818" s="219">
        <v>0.36359999999999998</v>
      </c>
    </row>
    <row r="819" spans="1:6" ht="12" thickBot="1">
      <c r="A819" s="216">
        <v>36094</v>
      </c>
      <c r="B819" s="217">
        <v>36100</v>
      </c>
      <c r="C819" s="218">
        <v>0.3619</v>
      </c>
      <c r="D819" s="218">
        <v>0.37440000000000001</v>
      </c>
      <c r="E819" s="218">
        <v>0.33550000000000002</v>
      </c>
      <c r="F819" s="219">
        <v>0.36699999999999999</v>
      </c>
    </row>
    <row r="820" spans="1:6" ht="12" thickBot="1">
      <c r="A820" s="216">
        <v>36087</v>
      </c>
      <c r="B820" s="217">
        <v>36093</v>
      </c>
      <c r="C820" s="218">
        <v>0.36759999999999998</v>
      </c>
      <c r="D820" s="218">
        <v>0.36820000000000003</v>
      </c>
      <c r="E820" s="218">
        <v>0.34060000000000001</v>
      </c>
      <c r="F820" s="219">
        <v>0.36670000000000003</v>
      </c>
    </row>
    <row r="821" spans="1:6" ht="12" thickBot="1">
      <c r="A821" s="216">
        <v>36080</v>
      </c>
      <c r="B821" s="217">
        <v>36086</v>
      </c>
      <c r="C821" s="218">
        <v>0.35780000000000001</v>
      </c>
      <c r="D821" s="218">
        <v>0.36230000000000001</v>
      </c>
      <c r="E821" s="218">
        <v>0.35120000000000001</v>
      </c>
      <c r="F821" s="219">
        <v>0.3589</v>
      </c>
    </row>
    <row r="822" spans="1:6" ht="12" thickBot="1">
      <c r="A822" s="216">
        <v>36073</v>
      </c>
      <c r="B822" s="217">
        <v>36079</v>
      </c>
      <c r="C822" s="218">
        <v>0.3513</v>
      </c>
      <c r="D822" s="218">
        <v>0.35980000000000001</v>
      </c>
      <c r="E822" s="218">
        <v>0.34139999999999998</v>
      </c>
      <c r="F822" s="219">
        <v>0.35589999999999999</v>
      </c>
    </row>
    <row r="823" spans="1:6" ht="12" thickBot="1">
      <c r="A823" s="216">
        <v>36066</v>
      </c>
      <c r="B823" s="217">
        <v>36072</v>
      </c>
      <c r="C823" s="218">
        <v>0.35980000000000001</v>
      </c>
      <c r="D823" s="218">
        <v>0.3765</v>
      </c>
      <c r="E823" s="218">
        <v>0.34720000000000001</v>
      </c>
      <c r="F823" s="219">
        <v>0.35899999999999999</v>
      </c>
    </row>
    <row r="824" spans="1:6" ht="12" thickBot="1">
      <c r="A824" s="216">
        <v>36059</v>
      </c>
      <c r="B824" s="217">
        <v>36065</v>
      </c>
      <c r="C824" s="218">
        <v>0.36930000000000002</v>
      </c>
      <c r="D824" s="218">
        <v>0.3649</v>
      </c>
      <c r="E824" s="218">
        <v>0.33510000000000001</v>
      </c>
      <c r="F824" s="219">
        <v>0.36849999999999999</v>
      </c>
    </row>
    <row r="825" spans="1:6" ht="12" thickBot="1">
      <c r="A825" s="216">
        <v>36052</v>
      </c>
      <c r="B825" s="217">
        <v>36058</v>
      </c>
      <c r="C825" s="218">
        <v>0.34670000000000001</v>
      </c>
      <c r="D825" s="218">
        <v>0.34379999999999999</v>
      </c>
      <c r="E825" s="218">
        <v>0.33119999999999999</v>
      </c>
      <c r="F825" s="219">
        <v>0.34470000000000001</v>
      </c>
    </row>
    <row r="826" spans="1:6" ht="12" thickBot="1">
      <c r="A826" s="216">
        <v>36045</v>
      </c>
      <c r="B826" s="217">
        <v>36051</v>
      </c>
      <c r="C826" s="218">
        <v>0.33689999999999998</v>
      </c>
      <c r="D826" s="218">
        <v>0.34279999999999999</v>
      </c>
      <c r="E826" s="218">
        <v>0.33029999999999998</v>
      </c>
      <c r="F826" s="219">
        <v>0.32969999999999999</v>
      </c>
    </row>
    <row r="827" spans="1:6" ht="12" thickBot="1">
      <c r="A827" s="216">
        <v>36038</v>
      </c>
      <c r="B827" s="217">
        <v>36044</v>
      </c>
      <c r="C827" s="218">
        <v>0.33639999999999998</v>
      </c>
      <c r="D827" s="218">
        <v>0.3352</v>
      </c>
      <c r="E827" s="218">
        <v>0.34289999999999998</v>
      </c>
      <c r="F827" s="219">
        <v>0.32969999999999999</v>
      </c>
    </row>
    <row r="828" spans="1:6" ht="12" thickBot="1">
      <c r="A828" s="216">
        <v>36031</v>
      </c>
      <c r="B828" s="217">
        <v>36037</v>
      </c>
      <c r="C828" s="218">
        <v>0.33910000000000001</v>
      </c>
      <c r="D828" s="218">
        <v>0.34539999999999998</v>
      </c>
      <c r="E828" s="218">
        <v>0.3538</v>
      </c>
      <c r="F828" s="219">
        <v>0.3362</v>
      </c>
    </row>
    <row r="829" spans="1:6" ht="12" thickBot="1">
      <c r="A829" s="216">
        <v>36024</v>
      </c>
      <c r="B829" s="217">
        <v>36030</v>
      </c>
      <c r="C829" s="218">
        <v>0.34329999999999999</v>
      </c>
      <c r="D829" s="218">
        <v>0.34350000000000003</v>
      </c>
      <c r="E829" s="218">
        <v>0.33479999999999999</v>
      </c>
      <c r="F829" s="219">
        <v>0.34599999999999997</v>
      </c>
    </row>
    <row r="830" spans="1:6" ht="12" thickBot="1">
      <c r="A830" s="216">
        <v>36017</v>
      </c>
      <c r="B830" s="217">
        <v>36023</v>
      </c>
      <c r="C830" s="218">
        <v>0.35139999999999999</v>
      </c>
      <c r="D830" s="218">
        <v>0.34549999999999997</v>
      </c>
      <c r="E830" s="218">
        <v>0.33589999999999998</v>
      </c>
      <c r="F830" s="219">
        <v>0.34939999999999999</v>
      </c>
    </row>
    <row r="831" spans="1:6" ht="12" thickBot="1">
      <c r="A831" s="216">
        <v>36010</v>
      </c>
      <c r="B831" s="217">
        <v>36016</v>
      </c>
      <c r="C831" s="218">
        <v>0.35649999999999998</v>
      </c>
      <c r="D831" s="218">
        <v>0.35520000000000002</v>
      </c>
      <c r="E831" s="218">
        <v>0.34749999999999998</v>
      </c>
      <c r="F831" s="219">
        <v>0.35639999999999999</v>
      </c>
    </row>
    <row r="832" spans="1:6" ht="12" thickBot="1">
      <c r="A832" s="216">
        <v>36003</v>
      </c>
      <c r="B832" s="217">
        <v>36009</v>
      </c>
      <c r="C832" s="218">
        <v>0.36109999999999998</v>
      </c>
      <c r="D832" s="218">
        <v>0.36120000000000002</v>
      </c>
      <c r="E832" s="218">
        <v>0.35659999999999997</v>
      </c>
      <c r="F832" s="219">
        <v>0.36969999999999997</v>
      </c>
    </row>
    <row r="833" spans="1:6" ht="12" thickBot="1">
      <c r="A833" s="216">
        <v>35996</v>
      </c>
      <c r="B833" s="217">
        <v>36002</v>
      </c>
      <c r="C833" s="218">
        <v>0.36919999999999997</v>
      </c>
      <c r="D833" s="218">
        <v>0.3634</v>
      </c>
      <c r="E833" s="218">
        <v>0.3669</v>
      </c>
      <c r="F833" s="219">
        <v>0.37140000000000001</v>
      </c>
    </row>
    <row r="834" spans="1:6" ht="12" thickBot="1">
      <c r="A834" s="216">
        <v>35989</v>
      </c>
      <c r="B834" s="217">
        <v>35995</v>
      </c>
      <c r="C834" s="218">
        <v>0.37</v>
      </c>
      <c r="D834" s="218">
        <v>0.34910000000000002</v>
      </c>
      <c r="E834" s="218">
        <v>0.3594</v>
      </c>
      <c r="F834" s="219">
        <v>0.36449999999999999</v>
      </c>
    </row>
    <row r="835" spans="1:6" ht="12" thickBot="1">
      <c r="A835" s="216">
        <v>35982</v>
      </c>
      <c r="B835" s="217">
        <v>35988</v>
      </c>
      <c r="C835" s="218">
        <v>0.36530000000000001</v>
      </c>
      <c r="D835" s="218">
        <v>0.33639999999999998</v>
      </c>
      <c r="E835" s="218">
        <v>0.34910000000000002</v>
      </c>
      <c r="F835" s="219">
        <v>0.36730000000000002</v>
      </c>
    </row>
    <row r="836" spans="1:6" ht="12" thickBot="1">
      <c r="A836" s="216">
        <v>35975</v>
      </c>
      <c r="B836" s="217">
        <v>35981</v>
      </c>
      <c r="C836" s="218">
        <v>0.37569999999999998</v>
      </c>
      <c r="D836" s="218">
        <v>0.35170000000000001</v>
      </c>
      <c r="E836" s="218">
        <v>0.33900000000000002</v>
      </c>
      <c r="F836" s="219">
        <v>0.37659999999999999</v>
      </c>
    </row>
    <row r="837" spans="1:6" ht="12" thickBot="1">
      <c r="A837" s="216">
        <v>35968</v>
      </c>
      <c r="B837" s="217">
        <v>35974</v>
      </c>
      <c r="C837" s="218">
        <v>0.37309999999999999</v>
      </c>
      <c r="D837" s="218">
        <v>0.34370000000000001</v>
      </c>
      <c r="E837" s="218">
        <v>0.34939999999999999</v>
      </c>
      <c r="F837" s="219">
        <v>0.37459999999999999</v>
      </c>
    </row>
    <row r="838" spans="1:6" ht="12" thickBot="1">
      <c r="A838" s="216">
        <v>35961</v>
      </c>
      <c r="B838" s="217">
        <v>35967</v>
      </c>
      <c r="C838" s="218">
        <v>0.36680000000000001</v>
      </c>
      <c r="D838" s="218">
        <v>0.34789999999999999</v>
      </c>
      <c r="E838" s="218">
        <v>0.33090000000000003</v>
      </c>
      <c r="F838" s="219">
        <v>0.36849999999999999</v>
      </c>
    </row>
    <row r="839" spans="1:6" ht="12" thickBot="1">
      <c r="A839" s="216">
        <v>35954</v>
      </c>
      <c r="B839" s="217">
        <v>35960</v>
      </c>
      <c r="C839" s="218">
        <v>0.33779999999999999</v>
      </c>
      <c r="D839" s="218">
        <v>0.31659999999999999</v>
      </c>
      <c r="E839" s="218">
        <v>0.31590000000000001</v>
      </c>
      <c r="F839" s="219">
        <v>0.32879999999999998</v>
      </c>
    </row>
    <row r="840" spans="1:6" ht="12" thickBot="1">
      <c r="A840" s="216">
        <v>35947</v>
      </c>
      <c r="B840" s="217">
        <v>35953</v>
      </c>
      <c r="C840" s="218">
        <v>0.31619999999999998</v>
      </c>
      <c r="D840" s="218">
        <v>0.31850000000000001</v>
      </c>
      <c r="E840" s="218">
        <v>0.30840000000000001</v>
      </c>
      <c r="F840" s="219">
        <v>0.30730000000000002</v>
      </c>
    </row>
    <row r="841" spans="1:6" ht="12" thickBot="1">
      <c r="A841" s="216">
        <v>35940</v>
      </c>
      <c r="B841" s="217">
        <v>35946</v>
      </c>
      <c r="C841" s="218">
        <v>0.31929999999999997</v>
      </c>
      <c r="D841" s="218">
        <v>0.31469999999999998</v>
      </c>
      <c r="E841" s="218">
        <v>0.30909999999999999</v>
      </c>
      <c r="F841" s="219">
        <v>0.31630000000000003</v>
      </c>
    </row>
    <row r="842" spans="1:6" ht="12" thickBot="1">
      <c r="A842" s="216">
        <v>35933</v>
      </c>
      <c r="B842" s="217">
        <v>35939</v>
      </c>
      <c r="C842" s="218">
        <v>0.3135</v>
      </c>
      <c r="D842" s="218">
        <v>0.3054</v>
      </c>
      <c r="E842" s="218">
        <v>0.32840000000000003</v>
      </c>
      <c r="F842" s="219">
        <v>0.31230000000000002</v>
      </c>
    </row>
    <row r="843" spans="1:6" ht="12" thickBot="1">
      <c r="A843" s="216">
        <v>35926</v>
      </c>
      <c r="B843" s="217">
        <v>35932</v>
      </c>
      <c r="C843" s="218">
        <v>0.31730000000000003</v>
      </c>
      <c r="D843" s="218">
        <v>0.31569999999999998</v>
      </c>
      <c r="E843" s="218">
        <v>0.32369999999999999</v>
      </c>
      <c r="F843" s="219">
        <v>0.30149999999999999</v>
      </c>
    </row>
    <row r="844" spans="1:6" ht="12" thickBot="1">
      <c r="A844" s="216">
        <v>35919</v>
      </c>
      <c r="B844" s="217">
        <v>35925</v>
      </c>
      <c r="C844" s="218">
        <v>0.31030000000000002</v>
      </c>
      <c r="D844" s="218">
        <v>0.30790000000000001</v>
      </c>
      <c r="E844" s="218">
        <v>0.31530000000000002</v>
      </c>
      <c r="F844" s="219">
        <v>0.30030000000000001</v>
      </c>
    </row>
    <row r="845" spans="1:6" ht="12" thickBot="1">
      <c r="A845" s="216">
        <v>35912</v>
      </c>
      <c r="B845" s="217">
        <v>35918</v>
      </c>
      <c r="C845" s="218">
        <v>0.31119999999999998</v>
      </c>
      <c r="D845" s="218">
        <v>0.30159999999999998</v>
      </c>
      <c r="E845" s="218">
        <v>0.2979</v>
      </c>
      <c r="F845" s="219">
        <v>0.29899999999999999</v>
      </c>
    </row>
    <row r="846" spans="1:6" ht="12" thickBot="1">
      <c r="A846" s="216">
        <v>35905</v>
      </c>
      <c r="B846" s="217">
        <v>35911</v>
      </c>
      <c r="C846" s="218">
        <v>0.30880000000000002</v>
      </c>
      <c r="D846" s="218">
        <v>0.30080000000000001</v>
      </c>
      <c r="E846" s="218">
        <v>0.29220000000000002</v>
      </c>
      <c r="F846" s="219">
        <v>0.30640000000000001</v>
      </c>
    </row>
    <row r="847" spans="1:6" ht="12" thickBot="1">
      <c r="A847" s="216">
        <v>35898</v>
      </c>
      <c r="B847" s="217">
        <v>35904</v>
      </c>
      <c r="C847" s="218">
        <v>0.2913</v>
      </c>
      <c r="D847" s="218">
        <v>0.29299999999999998</v>
      </c>
      <c r="E847" s="218">
        <v>0.28670000000000001</v>
      </c>
      <c r="F847" s="219">
        <v>0.29449999999999998</v>
      </c>
    </row>
    <row r="848" spans="1:6" ht="12" thickBot="1">
      <c r="A848" s="216">
        <v>35891</v>
      </c>
      <c r="B848" s="217">
        <v>35897</v>
      </c>
      <c r="C848" s="218">
        <v>0.29389999999999999</v>
      </c>
      <c r="D848" s="218">
        <v>0.28939999999999999</v>
      </c>
      <c r="E848" s="218">
        <v>0.28970000000000001</v>
      </c>
      <c r="F848" s="219">
        <v>0.28129999999999999</v>
      </c>
    </row>
    <row r="849" spans="1:6" ht="12" thickBot="1">
      <c r="A849" s="216">
        <v>35884</v>
      </c>
      <c r="B849" s="217">
        <v>35890</v>
      </c>
      <c r="C849" s="218">
        <v>0.28810000000000002</v>
      </c>
      <c r="D849" s="218">
        <v>0.28599999999999998</v>
      </c>
      <c r="E849" s="218">
        <v>0.28120000000000001</v>
      </c>
      <c r="F849" s="219">
        <v>0.27910000000000001</v>
      </c>
    </row>
    <row r="850" spans="1:6" ht="12" thickBot="1">
      <c r="A850" s="216">
        <v>35877</v>
      </c>
      <c r="B850" s="217">
        <v>35883</v>
      </c>
      <c r="C850" s="218">
        <v>0.28299999999999997</v>
      </c>
      <c r="D850" s="218">
        <v>0.28120000000000001</v>
      </c>
      <c r="E850" s="218">
        <v>0.27929999999999999</v>
      </c>
      <c r="F850" s="219">
        <v>0.2772</v>
      </c>
    </row>
    <row r="851" spans="1:6" ht="12" thickBot="1">
      <c r="A851" s="216">
        <v>35870</v>
      </c>
      <c r="B851" s="217">
        <v>35876</v>
      </c>
      <c r="C851" s="218">
        <v>0.27760000000000001</v>
      </c>
      <c r="D851" s="218">
        <v>0.26919999999999999</v>
      </c>
      <c r="E851" s="218">
        <v>0.27800000000000002</v>
      </c>
      <c r="F851" s="219">
        <v>0.2722</v>
      </c>
    </row>
    <row r="852" spans="1:6" ht="12" thickBot="1">
      <c r="A852" s="216">
        <v>35863</v>
      </c>
      <c r="B852" s="217">
        <v>35869</v>
      </c>
      <c r="C852" s="218">
        <v>0.27060000000000001</v>
      </c>
      <c r="D852" s="218">
        <v>0.27589999999999998</v>
      </c>
      <c r="E852" s="218">
        <v>0.27350000000000002</v>
      </c>
      <c r="F852" s="219">
        <v>0.25290000000000001</v>
      </c>
    </row>
    <row r="853" spans="1:6" ht="12" thickBot="1">
      <c r="A853" s="216">
        <v>35856</v>
      </c>
      <c r="B853" s="217">
        <v>35862</v>
      </c>
      <c r="C853" s="218">
        <v>0.2545</v>
      </c>
      <c r="D853" s="218">
        <v>0.26200000000000001</v>
      </c>
      <c r="E853" s="218">
        <v>0.25590000000000002</v>
      </c>
      <c r="F853" s="219">
        <v>0.24010000000000001</v>
      </c>
    </row>
    <row r="854" spans="1:6" ht="12" thickBot="1">
      <c r="A854" s="216">
        <v>35849</v>
      </c>
      <c r="B854" s="217">
        <v>35855</v>
      </c>
      <c r="C854" s="218">
        <v>0.25219999999999998</v>
      </c>
      <c r="D854" s="218">
        <v>0.25380000000000003</v>
      </c>
      <c r="E854" s="218">
        <v>0.25459999999999999</v>
      </c>
      <c r="F854" s="219">
        <v>0.24329999999999999</v>
      </c>
    </row>
    <row r="855" spans="1:6" ht="12" thickBot="1">
      <c r="A855" s="216">
        <v>35842</v>
      </c>
      <c r="B855" s="217">
        <v>35848</v>
      </c>
      <c r="C855" s="218">
        <v>0.24790000000000001</v>
      </c>
      <c r="D855" s="218">
        <v>0.25490000000000002</v>
      </c>
      <c r="E855" s="218">
        <v>0.2495</v>
      </c>
      <c r="F855" s="219">
        <v>0.24440000000000001</v>
      </c>
    </row>
    <row r="856" spans="1:6" ht="12" thickBot="1">
      <c r="A856" s="216">
        <v>35835</v>
      </c>
      <c r="B856" s="217">
        <v>35841</v>
      </c>
      <c r="C856" s="218">
        <v>0.24579999999999999</v>
      </c>
      <c r="D856" s="218">
        <v>0.25019999999999998</v>
      </c>
      <c r="E856" s="218">
        <v>0.248</v>
      </c>
      <c r="F856" s="219">
        <v>0.2361</v>
      </c>
    </row>
    <row r="857" spans="1:6" ht="12" thickBot="1">
      <c r="A857" s="216">
        <v>35828</v>
      </c>
      <c r="B857" s="217">
        <v>35834</v>
      </c>
      <c r="C857" s="218">
        <v>0.24660000000000001</v>
      </c>
      <c r="D857" s="218">
        <v>0.25090000000000001</v>
      </c>
      <c r="E857" s="218">
        <v>0.25519999999999998</v>
      </c>
      <c r="F857" s="219">
        <v>0.2382</v>
      </c>
    </row>
    <row r="858" spans="1:6" ht="12" thickBot="1">
      <c r="A858" s="216">
        <v>35821</v>
      </c>
      <c r="B858" s="217">
        <v>35827</v>
      </c>
      <c r="C858" s="218">
        <v>0.2457</v>
      </c>
      <c r="D858" s="218">
        <v>0.25069999999999998</v>
      </c>
      <c r="E858" s="218">
        <v>0.2545</v>
      </c>
      <c r="F858" s="219">
        <v>0.24060000000000001</v>
      </c>
    </row>
    <row r="859" spans="1:6" ht="12" thickBot="1">
      <c r="A859" s="216">
        <v>35814</v>
      </c>
      <c r="B859" s="217">
        <v>35820</v>
      </c>
      <c r="C859" s="218">
        <v>0.24729999999999999</v>
      </c>
      <c r="D859" s="218">
        <v>0.24929999999999999</v>
      </c>
      <c r="E859" s="218">
        <v>0.24610000000000001</v>
      </c>
      <c r="F859" s="219">
        <v>0.24360000000000001</v>
      </c>
    </row>
    <row r="860" spans="1:6" ht="12" thickBot="1">
      <c r="A860" s="216">
        <v>35807</v>
      </c>
      <c r="B860" s="217">
        <v>35813</v>
      </c>
      <c r="C860" s="218">
        <v>0.24349999999999999</v>
      </c>
      <c r="D860" s="218">
        <v>0.24840000000000001</v>
      </c>
      <c r="E860" s="218">
        <v>0.25469999999999998</v>
      </c>
      <c r="F860" s="219">
        <v>0.24079999999999999</v>
      </c>
    </row>
    <row r="861" spans="1:6" ht="12" thickBot="1">
      <c r="A861" s="216">
        <v>35800</v>
      </c>
      <c r="B861" s="217">
        <v>35806</v>
      </c>
      <c r="C861" s="218">
        <v>0.2432</v>
      </c>
      <c r="D861" s="218">
        <v>0.25009999999999999</v>
      </c>
      <c r="E861" s="218">
        <v>0.25090000000000001</v>
      </c>
      <c r="F861" s="219">
        <v>0.24049999999999999</v>
      </c>
    </row>
    <row r="862" spans="1:6" ht="12" thickBot="1">
      <c r="A862" s="216">
        <v>35793</v>
      </c>
      <c r="B862" s="217">
        <v>35799</v>
      </c>
      <c r="C862" s="218">
        <v>0.24279999999999999</v>
      </c>
      <c r="D862" s="218">
        <v>0.24929999999999999</v>
      </c>
      <c r="E862" s="218">
        <v>0.25469999999999998</v>
      </c>
      <c r="F862" s="219">
        <v>0.2429</v>
      </c>
    </row>
    <row r="863" spans="1:6" ht="12" thickBot="1">
      <c r="A863" s="216">
        <v>35786</v>
      </c>
      <c r="B863" s="217">
        <v>35792</v>
      </c>
      <c r="C863" s="218">
        <v>0.24390000000000001</v>
      </c>
      <c r="D863" s="218">
        <v>0.2495</v>
      </c>
      <c r="E863" s="218">
        <v>0.25659999999999999</v>
      </c>
      <c r="F863" s="219">
        <v>0.2419</v>
      </c>
    </row>
    <row r="864" spans="1:6" ht="12" thickBot="1">
      <c r="A864" s="216">
        <v>35779</v>
      </c>
      <c r="B864" s="217">
        <v>35785</v>
      </c>
      <c r="C864" s="218">
        <v>0.24460000000000001</v>
      </c>
      <c r="D864" s="218">
        <v>0.2487</v>
      </c>
      <c r="E864" s="218">
        <v>0.25509999999999999</v>
      </c>
      <c r="F864" s="219">
        <v>0.24149999999999999</v>
      </c>
    </row>
    <row r="865" spans="1:6" ht="12" thickBot="1">
      <c r="A865" s="216">
        <v>35772</v>
      </c>
      <c r="B865" s="217">
        <v>35778</v>
      </c>
      <c r="C865" s="218">
        <v>0.2412</v>
      </c>
      <c r="D865" s="218">
        <v>0.24560000000000001</v>
      </c>
      <c r="E865" s="218">
        <v>0.253</v>
      </c>
      <c r="F865" s="219">
        <v>0.23849999999999999</v>
      </c>
    </row>
    <row r="866" spans="1:6" ht="12" thickBot="1">
      <c r="A866" s="216">
        <v>35765</v>
      </c>
      <c r="B866" s="217">
        <v>35771</v>
      </c>
      <c r="C866" s="218">
        <v>0.2409</v>
      </c>
      <c r="D866" s="218">
        <v>0.2462</v>
      </c>
      <c r="E866" s="218">
        <v>0.25290000000000001</v>
      </c>
      <c r="F866" s="219">
        <v>0.2364</v>
      </c>
    </row>
    <row r="867" spans="1:6" ht="12" thickBot="1">
      <c r="A867" s="216">
        <v>35758</v>
      </c>
      <c r="B867" s="217">
        <v>35764</v>
      </c>
      <c r="C867" s="218">
        <v>0.24010000000000001</v>
      </c>
      <c r="D867" s="218">
        <v>0.24379999999999999</v>
      </c>
      <c r="E867" s="218">
        <v>0.2545</v>
      </c>
      <c r="F867" s="219">
        <v>0.23419999999999999</v>
      </c>
    </row>
    <row r="868" spans="1:6" ht="12" thickBot="1">
      <c r="A868" s="216">
        <v>35751</v>
      </c>
      <c r="B868" s="217">
        <v>35757</v>
      </c>
      <c r="C868" s="218">
        <v>0.23930000000000001</v>
      </c>
      <c r="D868" s="218">
        <v>0.2417</v>
      </c>
      <c r="E868" s="218">
        <v>0.2472</v>
      </c>
      <c r="F868" s="219">
        <v>0.23480000000000001</v>
      </c>
    </row>
    <row r="869" spans="1:6" ht="12" thickBot="1">
      <c r="A869" s="216">
        <v>35744</v>
      </c>
      <c r="B869" s="217">
        <v>35750</v>
      </c>
      <c r="C869" s="218">
        <v>0.2402</v>
      </c>
      <c r="D869" s="218">
        <v>0.24199999999999999</v>
      </c>
      <c r="E869" s="218">
        <v>0.24179999999999999</v>
      </c>
      <c r="F869" s="219">
        <v>0.2326</v>
      </c>
    </row>
    <row r="870" spans="1:6" ht="12" thickBot="1">
      <c r="A870" s="216">
        <v>35737</v>
      </c>
      <c r="B870" s="217">
        <v>35743</v>
      </c>
      <c r="C870" s="218">
        <v>0.2354</v>
      </c>
      <c r="D870" s="218">
        <v>0.24079999999999999</v>
      </c>
      <c r="E870" s="218">
        <v>0.24060000000000001</v>
      </c>
      <c r="F870" s="219">
        <v>0.22989999999999999</v>
      </c>
    </row>
    <row r="871" spans="1:6" ht="12" thickBot="1">
      <c r="A871" s="216">
        <v>35730</v>
      </c>
      <c r="B871" s="217">
        <v>35736</v>
      </c>
      <c r="C871" s="218">
        <v>0.23350000000000001</v>
      </c>
      <c r="D871" s="218">
        <v>0.23799999999999999</v>
      </c>
      <c r="E871" s="218">
        <v>0.23880000000000001</v>
      </c>
      <c r="F871" s="219">
        <v>0.23039999999999999</v>
      </c>
    </row>
    <row r="872" spans="1:6" ht="12" thickBot="1">
      <c r="A872" s="216">
        <v>35723</v>
      </c>
      <c r="B872" s="217">
        <v>35729</v>
      </c>
      <c r="C872" s="218">
        <v>0.22950000000000001</v>
      </c>
      <c r="D872" s="218">
        <v>0.2379</v>
      </c>
      <c r="E872" s="218">
        <v>0.24249999999999999</v>
      </c>
      <c r="F872" s="219">
        <v>0.2263</v>
      </c>
    </row>
    <row r="873" spans="1:6" ht="12" thickBot="1">
      <c r="A873" s="216">
        <v>35716</v>
      </c>
      <c r="B873" s="217">
        <v>35722</v>
      </c>
      <c r="C873" s="218">
        <v>0.22900000000000001</v>
      </c>
      <c r="D873" s="218">
        <v>0.23619999999999999</v>
      </c>
      <c r="E873" s="218">
        <v>0.2374</v>
      </c>
      <c r="F873" s="219">
        <v>0.22650000000000001</v>
      </c>
    </row>
    <row r="874" spans="1:6" ht="12" thickBot="1">
      <c r="A874" s="216">
        <v>35709</v>
      </c>
      <c r="B874" s="217">
        <v>35715</v>
      </c>
      <c r="C874" s="218">
        <v>0.22869999999999999</v>
      </c>
      <c r="D874" s="218">
        <v>0.23619999999999999</v>
      </c>
      <c r="E874" s="218">
        <v>0.23849999999999999</v>
      </c>
      <c r="F874" s="219">
        <v>0.22720000000000001</v>
      </c>
    </row>
    <row r="875" spans="1:6" ht="12" thickBot="1">
      <c r="A875" s="216">
        <v>35702</v>
      </c>
      <c r="B875" s="217">
        <v>35708</v>
      </c>
      <c r="C875" s="218">
        <v>0.22869999999999999</v>
      </c>
      <c r="D875" s="218">
        <v>0.23719999999999999</v>
      </c>
      <c r="E875" s="218">
        <v>0.2374</v>
      </c>
      <c r="F875" s="219">
        <v>0.22750000000000001</v>
      </c>
    </row>
    <row r="876" spans="1:6" ht="12" thickBot="1">
      <c r="A876" s="216">
        <v>35695</v>
      </c>
      <c r="B876" s="217">
        <v>35701</v>
      </c>
      <c r="C876" s="218">
        <v>0.2283</v>
      </c>
      <c r="D876" s="218">
        <v>0.23630000000000001</v>
      </c>
      <c r="E876" s="218">
        <v>0.24149999999999999</v>
      </c>
      <c r="F876" s="219">
        <v>0.22839999999999999</v>
      </c>
    </row>
    <row r="877" spans="1:6" ht="12" thickBot="1">
      <c r="A877" s="216">
        <v>35688</v>
      </c>
      <c r="B877" s="217">
        <v>35694</v>
      </c>
      <c r="C877" s="218">
        <v>0.22839999999999999</v>
      </c>
      <c r="D877" s="218">
        <v>0.23730000000000001</v>
      </c>
      <c r="E877" s="218">
        <v>0.23930000000000001</v>
      </c>
      <c r="F877" s="219">
        <v>0.22770000000000001</v>
      </c>
    </row>
    <row r="878" spans="1:6" ht="12" thickBot="1">
      <c r="A878" s="216">
        <v>35681</v>
      </c>
      <c r="B878" s="217">
        <v>35687</v>
      </c>
      <c r="C878" s="218">
        <v>0.22939999999999999</v>
      </c>
      <c r="D878" s="218">
        <v>0.2359</v>
      </c>
      <c r="E878" s="218">
        <v>0.25119999999999998</v>
      </c>
      <c r="F878" s="219">
        <v>0.2283</v>
      </c>
    </row>
    <row r="879" spans="1:6" ht="12" thickBot="1">
      <c r="A879" s="216">
        <v>35674</v>
      </c>
      <c r="B879" s="217">
        <v>35680</v>
      </c>
      <c r="C879" s="218">
        <v>0.23069999999999999</v>
      </c>
      <c r="D879" s="218">
        <v>0.23449999999999999</v>
      </c>
      <c r="E879" s="218">
        <v>0.25130000000000002</v>
      </c>
      <c r="F879" s="219">
        <v>0.22500000000000001</v>
      </c>
    </row>
    <row r="880" spans="1:6" ht="12" thickBot="1">
      <c r="A880" s="216">
        <v>35667</v>
      </c>
      <c r="B880" s="217">
        <v>35673</v>
      </c>
      <c r="C880" s="218">
        <v>0.2301</v>
      </c>
      <c r="D880" s="218">
        <v>0.2346</v>
      </c>
      <c r="E880" s="218">
        <v>0.24030000000000001</v>
      </c>
      <c r="F880" s="219">
        <v>0.2266</v>
      </c>
    </row>
    <row r="881" spans="1:6" ht="12" thickBot="1">
      <c r="A881" s="216">
        <v>35660</v>
      </c>
      <c r="B881" s="217">
        <v>35666</v>
      </c>
      <c r="C881" s="218">
        <v>0.22889999999999999</v>
      </c>
      <c r="D881" s="218">
        <v>0.23430000000000001</v>
      </c>
      <c r="E881" s="218">
        <v>0.24</v>
      </c>
      <c r="F881" s="219">
        <v>0.2218</v>
      </c>
    </row>
    <row r="882" spans="1:6" ht="12" thickBot="1">
      <c r="A882" s="216">
        <v>35653</v>
      </c>
      <c r="B882" s="217">
        <v>35659</v>
      </c>
      <c r="C882" s="218">
        <v>0.22969999999999999</v>
      </c>
      <c r="D882" s="218">
        <v>0.23480000000000001</v>
      </c>
      <c r="E882" s="218">
        <v>0.2422</v>
      </c>
      <c r="F882" s="219">
        <v>0.22209999999999999</v>
      </c>
    </row>
    <row r="883" spans="1:6" ht="12" thickBot="1">
      <c r="A883" s="216">
        <v>35646</v>
      </c>
      <c r="B883" s="217">
        <v>35652</v>
      </c>
      <c r="C883" s="218">
        <v>0.2296</v>
      </c>
      <c r="D883" s="218">
        <v>0.23519999999999999</v>
      </c>
      <c r="E883" s="218">
        <v>0.2387</v>
      </c>
      <c r="F883" s="219">
        <v>0.22189999999999999</v>
      </c>
    </row>
    <row r="884" spans="1:6" ht="12" thickBot="1">
      <c r="A884" s="216">
        <v>35639</v>
      </c>
      <c r="B884" s="217">
        <v>35645</v>
      </c>
      <c r="C884" s="218">
        <v>0.23080000000000001</v>
      </c>
      <c r="D884" s="218">
        <v>0.23780000000000001</v>
      </c>
      <c r="E884" s="218">
        <v>0.2472</v>
      </c>
      <c r="F884" s="219">
        <v>0.22189999999999999</v>
      </c>
    </row>
    <row r="885" spans="1:6" ht="12" thickBot="1">
      <c r="A885" s="216">
        <v>35632</v>
      </c>
      <c r="B885" s="217">
        <v>35638</v>
      </c>
      <c r="C885" s="218">
        <v>0.2321</v>
      </c>
      <c r="D885" s="218">
        <v>0.2374</v>
      </c>
      <c r="E885" s="218">
        <v>0.24540000000000001</v>
      </c>
      <c r="F885" s="219">
        <v>0.22589999999999999</v>
      </c>
    </row>
    <row r="886" spans="1:6" ht="12" thickBot="1">
      <c r="A886" s="216">
        <v>35625</v>
      </c>
      <c r="B886" s="217">
        <v>35631</v>
      </c>
      <c r="C886" s="218">
        <v>0.2336</v>
      </c>
      <c r="D886" s="218">
        <v>0.2361</v>
      </c>
      <c r="E886" s="218">
        <v>0.24809999999999999</v>
      </c>
      <c r="F886" s="219">
        <v>0.22450000000000001</v>
      </c>
    </row>
    <row r="887" spans="1:6" ht="12" thickBot="1">
      <c r="A887" s="216">
        <v>35618</v>
      </c>
      <c r="B887" s="217">
        <v>35624</v>
      </c>
      <c r="C887" s="218">
        <v>0.23300000000000001</v>
      </c>
      <c r="D887" s="218">
        <v>0.2374</v>
      </c>
      <c r="E887" s="218">
        <v>0.2452</v>
      </c>
      <c r="F887" s="219">
        <v>0.222</v>
      </c>
    </row>
    <row r="888" spans="1:6" ht="12" thickBot="1">
      <c r="A888" s="216">
        <v>35611</v>
      </c>
      <c r="B888" s="217">
        <v>35617</v>
      </c>
      <c r="C888" s="218">
        <v>0.2321</v>
      </c>
      <c r="D888" s="218">
        <v>0.23849999999999999</v>
      </c>
      <c r="E888" s="218">
        <v>0.24379999999999999</v>
      </c>
      <c r="F888" s="219">
        <v>0.2261</v>
      </c>
    </row>
    <row r="889" spans="1:6" ht="12" thickBot="1">
      <c r="A889" s="216">
        <v>35604</v>
      </c>
      <c r="B889" s="217">
        <v>35610</v>
      </c>
      <c r="C889" s="218">
        <v>0.23100000000000001</v>
      </c>
      <c r="D889" s="218">
        <v>0.23910000000000001</v>
      </c>
      <c r="E889" s="218">
        <v>0.24179999999999999</v>
      </c>
      <c r="F889" s="219">
        <v>0.2235</v>
      </c>
    </row>
    <row r="890" spans="1:6" ht="12" thickBot="1">
      <c r="A890" s="216">
        <v>35597</v>
      </c>
      <c r="B890" s="217">
        <v>35603</v>
      </c>
      <c r="C890" s="218">
        <v>0.2331</v>
      </c>
      <c r="D890" s="218">
        <v>0.2384</v>
      </c>
      <c r="E890" s="218">
        <v>0.2424</v>
      </c>
      <c r="F890" s="219">
        <v>0.2263</v>
      </c>
    </row>
    <row r="891" spans="1:6" ht="12" thickBot="1">
      <c r="A891" s="216">
        <v>35590</v>
      </c>
      <c r="B891" s="217">
        <v>35596</v>
      </c>
      <c r="C891" s="218">
        <v>0.23269999999999999</v>
      </c>
      <c r="D891" s="218">
        <v>0.2379</v>
      </c>
      <c r="E891" s="218">
        <v>0.245</v>
      </c>
      <c r="F891" s="219">
        <v>0.2281</v>
      </c>
    </row>
    <row r="892" spans="1:6" ht="12" thickBot="1">
      <c r="A892" s="216">
        <v>35583</v>
      </c>
      <c r="B892" s="217">
        <v>35589</v>
      </c>
      <c r="C892" s="218">
        <v>0.23280000000000001</v>
      </c>
      <c r="D892" s="218">
        <v>0.24160000000000001</v>
      </c>
      <c r="E892" s="218">
        <v>0.2366</v>
      </c>
      <c r="F892" s="219">
        <v>0.22819999999999999</v>
      </c>
    </row>
    <row r="893" spans="1:6" ht="12" thickBot="1">
      <c r="A893" s="216">
        <v>35576</v>
      </c>
      <c r="B893" s="217">
        <v>35582</v>
      </c>
      <c r="C893" s="218">
        <v>0.23449999999999999</v>
      </c>
      <c r="D893" s="218">
        <v>0.23960000000000001</v>
      </c>
      <c r="E893" s="218">
        <v>0.248</v>
      </c>
      <c r="F893" s="219">
        <v>0.23069999999999999</v>
      </c>
    </row>
    <row r="894" spans="1:6" ht="12" thickBot="1">
      <c r="A894" s="216">
        <v>35569</v>
      </c>
      <c r="B894" s="217">
        <v>35575</v>
      </c>
      <c r="C894" s="218">
        <v>0.23599999999999999</v>
      </c>
      <c r="D894" s="218">
        <v>0.2409</v>
      </c>
      <c r="E894" s="218">
        <v>0.25169999999999998</v>
      </c>
      <c r="F894" s="219">
        <v>0.23300000000000001</v>
      </c>
    </row>
    <row r="895" spans="1:6" ht="12" thickBot="1">
      <c r="A895" s="216">
        <v>35562</v>
      </c>
      <c r="B895" s="217">
        <v>35568</v>
      </c>
      <c r="C895" s="218">
        <v>0.24030000000000001</v>
      </c>
      <c r="D895" s="218">
        <v>0.24729999999999999</v>
      </c>
      <c r="E895" s="218">
        <v>0.2492</v>
      </c>
      <c r="F895" s="219">
        <v>0.23799999999999999</v>
      </c>
    </row>
    <row r="896" spans="1:6" ht="12" thickBot="1">
      <c r="A896" s="216">
        <v>35555</v>
      </c>
      <c r="B896" s="217">
        <v>35561</v>
      </c>
      <c r="C896" s="218">
        <v>0.24329999999999999</v>
      </c>
      <c r="D896" s="218">
        <v>0.25130000000000002</v>
      </c>
      <c r="E896" s="218">
        <v>0.254</v>
      </c>
      <c r="F896" s="219">
        <v>0.24010000000000001</v>
      </c>
    </row>
    <row r="897" spans="1:6" ht="12" thickBot="1">
      <c r="A897" s="216">
        <v>35548</v>
      </c>
      <c r="B897" s="217">
        <v>35554</v>
      </c>
      <c r="C897" s="218">
        <v>0.24510000000000001</v>
      </c>
      <c r="D897" s="218">
        <v>0.25419999999999998</v>
      </c>
      <c r="E897" s="218">
        <v>0.25169999999999998</v>
      </c>
      <c r="F897" s="219">
        <v>0.2424</v>
      </c>
    </row>
    <row r="898" spans="1:6" ht="12" thickBot="1">
      <c r="A898" s="216">
        <v>35541</v>
      </c>
      <c r="B898" s="217">
        <v>35547</v>
      </c>
      <c r="C898" s="218">
        <v>0.24679999999999999</v>
      </c>
      <c r="D898" s="218">
        <v>0.255</v>
      </c>
      <c r="E898" s="218">
        <v>0.25619999999999998</v>
      </c>
      <c r="F898" s="219">
        <v>0.2447</v>
      </c>
    </row>
    <row r="899" spans="1:6" ht="12" thickBot="1">
      <c r="A899" s="216">
        <v>35534</v>
      </c>
      <c r="B899" s="217">
        <v>35540</v>
      </c>
      <c r="C899" s="218">
        <v>0.24940000000000001</v>
      </c>
      <c r="D899" s="218">
        <v>0.25530000000000003</v>
      </c>
      <c r="E899" s="218">
        <v>0.2742</v>
      </c>
      <c r="F899" s="219">
        <v>0.249</v>
      </c>
    </row>
    <row r="900" spans="1:6" ht="12" thickBot="1">
      <c r="A900" s="216">
        <v>35527</v>
      </c>
      <c r="B900" s="217">
        <v>35533</v>
      </c>
      <c r="C900" s="218">
        <v>0.25209999999999999</v>
      </c>
      <c r="D900" s="218">
        <v>0.2581</v>
      </c>
      <c r="E900" s="218">
        <v>0.25600000000000001</v>
      </c>
      <c r="F900" s="219">
        <v>0.24970000000000001</v>
      </c>
    </row>
    <row r="901" spans="1:6" ht="12" thickBot="1">
      <c r="A901" s="216">
        <v>35520</v>
      </c>
      <c r="B901" s="217">
        <v>35526</v>
      </c>
      <c r="C901" s="218">
        <v>0.251</v>
      </c>
      <c r="D901" s="218">
        <v>0.2571</v>
      </c>
      <c r="E901" s="218">
        <v>0.25779999999999997</v>
      </c>
      <c r="F901" s="219">
        <v>0.25019999999999998</v>
      </c>
    </row>
    <row r="902" spans="1:6" ht="12" thickBot="1">
      <c r="A902" s="216">
        <v>35513</v>
      </c>
      <c r="B902" s="217">
        <v>35519</v>
      </c>
      <c r="C902" s="218">
        <v>0.25440000000000002</v>
      </c>
      <c r="D902" s="218">
        <v>0.25990000000000002</v>
      </c>
      <c r="E902" s="218">
        <v>0.2636</v>
      </c>
      <c r="F902" s="219">
        <v>0.25180000000000002</v>
      </c>
    </row>
    <row r="903" spans="1:6" ht="12" thickBot="1">
      <c r="A903" s="216">
        <v>35506</v>
      </c>
      <c r="B903" s="217">
        <v>35512</v>
      </c>
      <c r="C903" s="218">
        <v>0.25530000000000003</v>
      </c>
      <c r="D903" s="218">
        <v>0.26200000000000001</v>
      </c>
      <c r="E903" s="218">
        <v>0.25619999999999998</v>
      </c>
      <c r="F903" s="219">
        <v>0.2515</v>
      </c>
    </row>
    <row r="904" spans="1:6" ht="12" thickBot="1">
      <c r="A904" s="216">
        <v>35499</v>
      </c>
      <c r="B904" s="217">
        <v>35505</v>
      </c>
      <c r="C904" s="218">
        <v>0.25659999999999999</v>
      </c>
      <c r="D904" s="218">
        <v>0.2621</v>
      </c>
      <c r="E904" s="218">
        <v>0.27189999999999998</v>
      </c>
      <c r="F904" s="219">
        <v>0.2525</v>
      </c>
    </row>
    <row r="905" spans="1:6" ht="12" thickBot="1">
      <c r="A905" s="216">
        <v>35492</v>
      </c>
      <c r="B905" s="217">
        <v>35498</v>
      </c>
      <c r="C905" s="218">
        <v>0.25480000000000003</v>
      </c>
      <c r="D905" s="218">
        <v>0.2621</v>
      </c>
      <c r="E905" s="218">
        <v>0.26919999999999999</v>
      </c>
      <c r="F905" s="219">
        <v>0.25159999999999999</v>
      </c>
    </row>
    <row r="906" spans="1:6" ht="12" thickBot="1">
      <c r="A906" s="216">
        <v>35485</v>
      </c>
      <c r="B906" s="217">
        <v>35491</v>
      </c>
      <c r="C906" s="218">
        <v>0.2525</v>
      </c>
      <c r="D906" s="218">
        <v>0.26050000000000001</v>
      </c>
      <c r="E906" s="218">
        <v>0.26910000000000001</v>
      </c>
      <c r="F906" s="219">
        <v>0.24979999999999999</v>
      </c>
    </row>
    <row r="907" spans="1:6" ht="12" thickBot="1">
      <c r="A907" s="216">
        <v>35478</v>
      </c>
      <c r="B907" s="217">
        <v>35484</v>
      </c>
      <c r="C907" s="218">
        <v>0.25419999999999998</v>
      </c>
      <c r="D907" s="218">
        <v>0.2616</v>
      </c>
      <c r="E907" s="218">
        <v>0.26750000000000002</v>
      </c>
      <c r="F907" s="219">
        <v>0.25069999999999998</v>
      </c>
    </row>
    <row r="908" spans="1:6" ht="12" thickBot="1">
      <c r="A908" s="216">
        <v>35471</v>
      </c>
      <c r="B908" s="217">
        <v>35477</v>
      </c>
      <c r="C908" s="218">
        <v>0.25530000000000003</v>
      </c>
      <c r="D908" s="218">
        <v>0.26200000000000001</v>
      </c>
      <c r="E908" s="218">
        <v>0.26329999999999998</v>
      </c>
      <c r="F908" s="219">
        <v>0.25230000000000002</v>
      </c>
    </row>
    <row r="909" spans="1:6" ht="12" thickBot="1">
      <c r="A909" s="216">
        <v>35464</v>
      </c>
      <c r="B909" s="217">
        <v>35470</v>
      </c>
      <c r="C909" s="218">
        <v>0.25779999999999997</v>
      </c>
      <c r="D909" s="218">
        <v>0.26700000000000002</v>
      </c>
      <c r="E909" s="218">
        <v>0.26939999999999997</v>
      </c>
      <c r="F909" s="219">
        <v>0.255</v>
      </c>
    </row>
    <row r="910" spans="1:6" ht="12" thickBot="1">
      <c r="A910" s="216">
        <v>35457</v>
      </c>
      <c r="B910" s="217">
        <v>35463</v>
      </c>
      <c r="C910" s="218">
        <v>0.26129999999999998</v>
      </c>
      <c r="D910" s="218">
        <v>0.2732</v>
      </c>
      <c r="E910" s="218">
        <v>0.29770000000000002</v>
      </c>
      <c r="F910" s="219">
        <v>0.25840000000000002</v>
      </c>
    </row>
    <row r="911" spans="1:6" ht="12" thickBot="1">
      <c r="A911" s="216">
        <v>35450</v>
      </c>
      <c r="B911" s="217">
        <v>35456</v>
      </c>
      <c r="C911" s="218">
        <v>0.26919999999999999</v>
      </c>
      <c r="D911" s="218">
        <v>0.27760000000000001</v>
      </c>
      <c r="E911" s="218">
        <v>0.2833</v>
      </c>
      <c r="F911" s="219">
        <v>0.26390000000000002</v>
      </c>
    </row>
    <row r="912" spans="1:6" ht="12" thickBot="1">
      <c r="A912" s="216">
        <v>35443</v>
      </c>
      <c r="B912" s="217">
        <v>35449</v>
      </c>
      <c r="C912" s="218">
        <v>0.2722</v>
      </c>
      <c r="D912" s="218">
        <v>0.28539999999999999</v>
      </c>
      <c r="E912" s="218">
        <v>0.29070000000000001</v>
      </c>
      <c r="F912" s="219">
        <v>0.26729999999999998</v>
      </c>
    </row>
    <row r="913" spans="1:6" ht="12" thickBot="1">
      <c r="A913" s="216">
        <v>35436</v>
      </c>
      <c r="B913" s="217">
        <v>35442</v>
      </c>
      <c r="C913" s="218">
        <v>0.2752</v>
      </c>
      <c r="D913" s="218">
        <v>0.27979999999999999</v>
      </c>
      <c r="E913" s="218">
        <v>0.29089999999999999</v>
      </c>
      <c r="F913" s="219">
        <v>0.27889999999999998</v>
      </c>
    </row>
    <row r="914" spans="1:6" ht="12" thickBot="1">
      <c r="A914" s="216">
        <v>35429</v>
      </c>
      <c r="B914" s="217">
        <v>35435</v>
      </c>
      <c r="C914" s="218">
        <v>0.27879999999999999</v>
      </c>
      <c r="D914" s="218">
        <v>0.29310000000000003</v>
      </c>
      <c r="E914" s="218">
        <v>0.3004</v>
      </c>
      <c r="F914" s="219">
        <v>0.2782</v>
      </c>
    </row>
    <row r="915" spans="1:6" ht="12" thickBot="1">
      <c r="A915" s="216">
        <v>35422</v>
      </c>
      <c r="B915" s="217">
        <v>35428</v>
      </c>
      <c r="C915" s="218">
        <v>0.27989999999999998</v>
      </c>
      <c r="D915" s="218">
        <v>0.29380000000000001</v>
      </c>
      <c r="E915" s="218">
        <v>0.3024</v>
      </c>
      <c r="F915" s="219">
        <v>0.2797</v>
      </c>
    </row>
    <row r="916" spans="1:6" ht="12" thickBot="1">
      <c r="A916" s="216">
        <v>35415</v>
      </c>
      <c r="B916" s="217">
        <v>35421</v>
      </c>
      <c r="C916" s="218">
        <v>0.28170000000000001</v>
      </c>
      <c r="D916" s="218">
        <v>0.29680000000000001</v>
      </c>
      <c r="E916" s="218">
        <v>0.30399999999999999</v>
      </c>
      <c r="F916" s="219">
        <v>0.28070000000000001</v>
      </c>
    </row>
    <row r="917" spans="1:6" ht="12" thickBot="1">
      <c r="A917" s="216">
        <v>35408</v>
      </c>
      <c r="B917" s="217">
        <v>35414</v>
      </c>
      <c r="C917" s="218">
        <v>0.28349999999999997</v>
      </c>
      <c r="D917" s="218">
        <v>0.29880000000000001</v>
      </c>
      <c r="E917" s="218">
        <v>0.30330000000000001</v>
      </c>
      <c r="F917" s="219">
        <v>0.28210000000000002</v>
      </c>
    </row>
    <row r="918" spans="1:6" ht="12" thickBot="1">
      <c r="A918" s="216">
        <v>35401</v>
      </c>
      <c r="B918" s="217">
        <v>35407</v>
      </c>
      <c r="C918" s="218">
        <v>0.28599999999999998</v>
      </c>
      <c r="D918" s="218">
        <v>0.30230000000000001</v>
      </c>
      <c r="E918" s="218">
        <v>0.31230000000000002</v>
      </c>
      <c r="F918" s="219">
        <v>0.28289999999999998</v>
      </c>
    </row>
    <row r="919" spans="1:6" ht="12" thickBot="1">
      <c r="A919" s="216">
        <v>35394</v>
      </c>
      <c r="B919" s="217">
        <v>35400</v>
      </c>
      <c r="C919" s="218">
        <v>0.28460000000000002</v>
      </c>
      <c r="D919" s="218">
        <v>0.30280000000000001</v>
      </c>
      <c r="E919" s="218">
        <v>0.31140000000000001</v>
      </c>
      <c r="F919" s="219">
        <v>0.2792</v>
      </c>
    </row>
    <row r="920" spans="1:6" ht="12" thickBot="1">
      <c r="A920" s="216">
        <v>35387</v>
      </c>
      <c r="B920" s="217">
        <v>35393</v>
      </c>
      <c r="C920" s="218">
        <v>0.28560000000000002</v>
      </c>
      <c r="D920" s="218">
        <v>0.29849999999999999</v>
      </c>
      <c r="E920" s="218">
        <v>0.30940000000000001</v>
      </c>
      <c r="F920" s="219">
        <v>0.28070000000000001</v>
      </c>
    </row>
    <row r="921" spans="1:6" ht="12" thickBot="1">
      <c r="A921" s="216">
        <v>35380</v>
      </c>
      <c r="B921" s="217">
        <v>35386</v>
      </c>
      <c r="C921" s="218">
        <v>0.28549999999999998</v>
      </c>
      <c r="D921" s="218">
        <v>0.30330000000000001</v>
      </c>
      <c r="E921" s="218">
        <v>0.31080000000000002</v>
      </c>
      <c r="F921" s="219">
        <v>0.27929999999999999</v>
      </c>
    </row>
    <row r="922" spans="1:6" ht="12" thickBot="1">
      <c r="A922" s="216">
        <v>35373</v>
      </c>
      <c r="B922" s="217">
        <v>35379</v>
      </c>
      <c r="C922" s="218">
        <v>0.28610000000000002</v>
      </c>
      <c r="D922" s="218">
        <v>0.3</v>
      </c>
      <c r="E922" s="218">
        <v>0.32050000000000001</v>
      </c>
      <c r="F922" s="219">
        <v>0.28270000000000001</v>
      </c>
    </row>
    <row r="923" spans="1:6" ht="12" thickBot="1">
      <c r="A923" s="216">
        <v>35366</v>
      </c>
      <c r="B923" s="217">
        <v>35372</v>
      </c>
      <c r="C923" s="218">
        <v>0.28570000000000001</v>
      </c>
      <c r="D923" s="218">
        <v>0.30349999999999999</v>
      </c>
      <c r="E923" s="218">
        <v>0.3206</v>
      </c>
      <c r="F923" s="219">
        <v>0.27889999999999998</v>
      </c>
    </row>
    <row r="924" spans="1:6" ht="12" thickBot="1">
      <c r="A924" s="216">
        <v>35359</v>
      </c>
      <c r="B924" s="217">
        <v>35365</v>
      </c>
      <c r="C924" s="218">
        <v>0.28789999999999999</v>
      </c>
      <c r="D924" s="218">
        <v>0.30409999999999998</v>
      </c>
      <c r="E924" s="218">
        <v>0.30359999999999998</v>
      </c>
      <c r="F924" s="219">
        <v>0.28060000000000002</v>
      </c>
    </row>
    <row r="925" spans="1:6" ht="12" thickBot="1">
      <c r="A925" s="216">
        <v>35352</v>
      </c>
      <c r="B925" s="217">
        <v>35358</v>
      </c>
      <c r="C925" s="218">
        <v>0.28960000000000002</v>
      </c>
      <c r="D925" s="218">
        <v>0.3049</v>
      </c>
      <c r="E925" s="218">
        <v>0.30159999999999998</v>
      </c>
      <c r="F925" s="219">
        <v>0.27710000000000001</v>
      </c>
    </row>
    <row r="926" spans="1:6" ht="12" thickBot="1">
      <c r="A926" s="216">
        <v>35345</v>
      </c>
      <c r="B926" s="217">
        <v>35351</v>
      </c>
      <c r="C926" s="218">
        <v>0.2863</v>
      </c>
      <c r="D926" s="218">
        <v>0.30640000000000001</v>
      </c>
      <c r="E926" s="218">
        <v>0.30599999999999999</v>
      </c>
      <c r="F926" s="219">
        <v>0.27760000000000001</v>
      </c>
    </row>
    <row r="927" spans="1:6" ht="12" thickBot="1">
      <c r="A927" s="216">
        <v>35338</v>
      </c>
      <c r="B927" s="217">
        <v>35344</v>
      </c>
      <c r="C927" s="218">
        <v>0.2802</v>
      </c>
      <c r="D927" s="218">
        <v>0.30640000000000001</v>
      </c>
      <c r="E927" s="218">
        <v>0.31929999999999997</v>
      </c>
      <c r="F927" s="219">
        <v>0.27800000000000002</v>
      </c>
    </row>
    <row r="928" spans="1:6" ht="12" thickBot="1">
      <c r="A928" s="216">
        <v>35331</v>
      </c>
      <c r="B928" s="217">
        <v>35337</v>
      </c>
      <c r="C928" s="218">
        <v>0.28360000000000002</v>
      </c>
      <c r="D928" s="218">
        <v>0.31069999999999998</v>
      </c>
      <c r="E928" s="218">
        <v>0.31209999999999999</v>
      </c>
      <c r="F928" s="219">
        <v>0.28310000000000002</v>
      </c>
    </row>
    <row r="929" spans="1:6" ht="12" thickBot="1">
      <c r="A929" s="216">
        <v>35324</v>
      </c>
      <c r="B929" s="217">
        <v>35330</v>
      </c>
      <c r="C929" s="218">
        <v>0.28299999999999997</v>
      </c>
      <c r="D929" s="218">
        <v>0.31319999999999998</v>
      </c>
      <c r="E929" s="218">
        <v>0.31319999999999998</v>
      </c>
      <c r="F929" s="219">
        <v>0.2853</v>
      </c>
    </row>
    <row r="930" spans="1:6" ht="12" thickBot="1">
      <c r="A930" s="216">
        <v>35317</v>
      </c>
      <c r="B930" s="217">
        <v>35323</v>
      </c>
      <c r="C930" s="218">
        <v>0.2898</v>
      </c>
      <c r="D930" s="218">
        <v>0.316</v>
      </c>
      <c r="E930" s="218">
        <v>0.31469999999999998</v>
      </c>
      <c r="F930" s="219">
        <v>0.2888</v>
      </c>
    </row>
    <row r="931" spans="1:6" ht="12" thickBot="1">
      <c r="A931" s="216">
        <v>35310</v>
      </c>
      <c r="B931" s="217">
        <v>35316</v>
      </c>
      <c r="C931" s="218">
        <v>0.29409999999999997</v>
      </c>
      <c r="D931" s="218">
        <v>0.3165</v>
      </c>
      <c r="E931" s="218">
        <v>0.31469999999999998</v>
      </c>
      <c r="F931" s="219">
        <v>0.29709999999999998</v>
      </c>
    </row>
    <row r="932" spans="1:6" ht="12" thickBot="1">
      <c r="A932" s="216">
        <v>35303</v>
      </c>
      <c r="B932" s="217">
        <v>35309</v>
      </c>
      <c r="C932" s="218">
        <v>0.2959</v>
      </c>
      <c r="D932" s="218">
        <v>0.31580000000000003</v>
      </c>
      <c r="E932" s="218">
        <v>0.3251</v>
      </c>
      <c r="F932" s="219">
        <v>0.30230000000000001</v>
      </c>
    </row>
    <row r="933" spans="1:6" ht="12" thickBot="1">
      <c r="A933" s="216">
        <v>35296</v>
      </c>
      <c r="B933" s="217">
        <v>35302</v>
      </c>
      <c r="C933" s="218">
        <v>0.308</v>
      </c>
      <c r="D933" s="218">
        <v>0.32079999999999997</v>
      </c>
      <c r="E933" s="218">
        <v>0.31909999999999999</v>
      </c>
      <c r="F933" s="219">
        <v>0.31059999999999999</v>
      </c>
    </row>
    <row r="934" spans="1:6" ht="12" thickBot="1">
      <c r="A934" s="216">
        <v>35289</v>
      </c>
      <c r="B934" s="217">
        <v>35295</v>
      </c>
      <c r="C934" s="218">
        <v>0.31740000000000002</v>
      </c>
      <c r="D934" s="218">
        <v>0.32329999999999998</v>
      </c>
      <c r="E934" s="218">
        <v>0.32079999999999997</v>
      </c>
      <c r="F934" s="219">
        <v>0.31669999999999998</v>
      </c>
    </row>
    <row r="935" spans="1:6" ht="12" thickBot="1">
      <c r="A935" s="216">
        <v>35282</v>
      </c>
      <c r="B935" s="217">
        <v>35288</v>
      </c>
      <c r="C935" s="218">
        <v>0.32190000000000002</v>
      </c>
      <c r="D935" s="218">
        <v>0.32500000000000001</v>
      </c>
      <c r="E935" s="218">
        <v>0.3281</v>
      </c>
      <c r="F935" s="219">
        <v>0.31790000000000002</v>
      </c>
    </row>
    <row r="936" spans="1:6" ht="12" thickBot="1">
      <c r="A936" s="216">
        <v>35275</v>
      </c>
      <c r="B936" s="217">
        <v>35281</v>
      </c>
      <c r="C936" s="218">
        <v>0.32500000000000001</v>
      </c>
      <c r="D936" s="218">
        <v>0.3246</v>
      </c>
      <c r="E936" s="218">
        <v>0.32979999999999998</v>
      </c>
      <c r="F936" s="219">
        <v>0.32129999999999997</v>
      </c>
    </row>
    <row r="937" spans="1:6" ht="12" thickBot="1">
      <c r="A937" s="216">
        <v>35268</v>
      </c>
      <c r="B937" s="217">
        <v>35274</v>
      </c>
      <c r="C937" s="218">
        <v>0.32479999999999998</v>
      </c>
      <c r="D937" s="218">
        <v>0.3231</v>
      </c>
      <c r="E937" s="218">
        <v>0.3251</v>
      </c>
      <c r="F937" s="219">
        <v>0.32069999999999999</v>
      </c>
    </row>
    <row r="938" spans="1:6" ht="12" thickBot="1">
      <c r="A938" s="216">
        <v>35261</v>
      </c>
      <c r="B938" s="217">
        <v>35267</v>
      </c>
      <c r="C938" s="218">
        <v>0.32479999999999998</v>
      </c>
      <c r="D938" s="218">
        <v>0.3216</v>
      </c>
      <c r="E938" s="218">
        <v>0.32469999999999999</v>
      </c>
      <c r="F938" s="219">
        <v>0.3201</v>
      </c>
    </row>
    <row r="939" spans="1:6" ht="12" thickBot="1">
      <c r="A939" s="216">
        <v>35254</v>
      </c>
      <c r="B939" s="217">
        <v>35260</v>
      </c>
      <c r="C939" s="218">
        <v>0.32390000000000002</v>
      </c>
      <c r="D939" s="218">
        <v>0.33189999999999997</v>
      </c>
      <c r="E939" s="218">
        <v>0.32619999999999999</v>
      </c>
      <c r="F939" s="219">
        <v>0.31969999999999998</v>
      </c>
    </row>
    <row r="940" spans="1:6" ht="12" thickBot="1">
      <c r="A940" s="216">
        <v>35247</v>
      </c>
      <c r="B940" s="217">
        <v>35253</v>
      </c>
      <c r="C940" s="218">
        <v>0.3271</v>
      </c>
      <c r="D940" s="218">
        <v>0.3231</v>
      </c>
      <c r="E940" s="218">
        <v>0.33090000000000003</v>
      </c>
      <c r="F940" s="219">
        <v>0.32019999999999998</v>
      </c>
    </row>
    <row r="941" spans="1:6" ht="12" thickBot="1">
      <c r="A941" s="216">
        <v>35240</v>
      </c>
      <c r="B941" s="217">
        <v>35246</v>
      </c>
      <c r="C941" s="218">
        <v>0.32350000000000001</v>
      </c>
      <c r="D941" s="218">
        <v>0.31240000000000001</v>
      </c>
      <c r="E941" s="218">
        <v>0.3125</v>
      </c>
      <c r="F941" s="219">
        <v>0.3165</v>
      </c>
    </row>
    <row r="942" spans="1:6" ht="12" thickBot="1">
      <c r="A942" s="216">
        <v>35233</v>
      </c>
      <c r="B942" s="217">
        <v>35239</v>
      </c>
      <c r="C942" s="218">
        <v>0.32</v>
      </c>
      <c r="D942" s="218">
        <v>0.32590000000000002</v>
      </c>
      <c r="E942" s="218">
        <v>0.32769999999999999</v>
      </c>
      <c r="F942" s="219">
        <v>0.31359999999999999</v>
      </c>
    </row>
    <row r="943" spans="1:6" ht="12" thickBot="1">
      <c r="A943" s="216">
        <v>35226</v>
      </c>
      <c r="B943" s="217">
        <v>35232</v>
      </c>
      <c r="C943" s="218">
        <v>0.31390000000000001</v>
      </c>
      <c r="D943" s="218">
        <v>0.31740000000000002</v>
      </c>
      <c r="E943" s="218">
        <v>0.32990000000000003</v>
      </c>
      <c r="F943" s="219">
        <v>0.30890000000000001</v>
      </c>
    </row>
    <row r="944" spans="1:6" ht="12" thickBot="1">
      <c r="A944" s="216">
        <v>35219</v>
      </c>
      <c r="B944" s="217">
        <v>35225</v>
      </c>
      <c r="C944" s="218">
        <v>0.31090000000000001</v>
      </c>
      <c r="D944" s="218">
        <v>0.31830000000000003</v>
      </c>
      <c r="E944" s="218">
        <v>0.32390000000000002</v>
      </c>
      <c r="F944" s="219">
        <v>0.31090000000000001</v>
      </c>
    </row>
    <row r="945" spans="1:6" ht="12" thickBot="1">
      <c r="A945" s="216">
        <v>35212</v>
      </c>
      <c r="B945" s="217">
        <v>35218</v>
      </c>
      <c r="C945" s="218">
        <v>0.31530000000000002</v>
      </c>
      <c r="D945" s="218">
        <v>0.3231</v>
      </c>
      <c r="E945" s="218">
        <v>0.32600000000000001</v>
      </c>
      <c r="F945" s="219">
        <v>0.31609999999999999</v>
      </c>
    </row>
    <row r="946" spans="1:6" ht="12" thickBot="1">
      <c r="A946" s="216">
        <v>35205</v>
      </c>
      <c r="B946" s="217">
        <v>35211</v>
      </c>
      <c r="C946" s="218">
        <v>0.32029999999999997</v>
      </c>
      <c r="D946" s="218">
        <v>0.32869999999999999</v>
      </c>
      <c r="E946" s="218">
        <v>0.3271</v>
      </c>
      <c r="F946" s="219">
        <v>0.32150000000000001</v>
      </c>
    </row>
    <row r="947" spans="1:6" ht="12" thickBot="1">
      <c r="A947" s="216">
        <v>35198</v>
      </c>
      <c r="B947" s="217">
        <v>35204</v>
      </c>
      <c r="C947" s="218">
        <v>0.32629999999999998</v>
      </c>
      <c r="D947" s="218">
        <v>0.33479999999999999</v>
      </c>
      <c r="E947" s="218">
        <v>0.33589999999999998</v>
      </c>
      <c r="F947" s="219">
        <v>0.32650000000000001</v>
      </c>
    </row>
    <row r="948" spans="1:6" ht="12" thickBot="1">
      <c r="A948" s="216">
        <v>35191</v>
      </c>
      <c r="B948" s="217">
        <v>35197</v>
      </c>
      <c r="C948" s="218">
        <v>0.33179999999999998</v>
      </c>
      <c r="D948" s="218">
        <v>0.33789999999999998</v>
      </c>
      <c r="E948" s="218">
        <v>0.34189999999999998</v>
      </c>
      <c r="F948" s="219">
        <v>0.33100000000000002</v>
      </c>
    </row>
    <row r="949" spans="1:6" ht="12" thickBot="1">
      <c r="A949" s="216">
        <v>35184</v>
      </c>
      <c r="B949" s="217">
        <v>35190</v>
      </c>
      <c r="C949" s="218">
        <v>0.33500000000000002</v>
      </c>
      <c r="D949" s="218">
        <v>0.34010000000000001</v>
      </c>
      <c r="E949" s="218">
        <v>0.3478</v>
      </c>
      <c r="F949" s="219">
        <v>0.33210000000000001</v>
      </c>
    </row>
    <row r="950" spans="1:6" ht="12" thickBot="1">
      <c r="A950" s="216">
        <v>35177</v>
      </c>
      <c r="B950" s="217">
        <v>35183</v>
      </c>
      <c r="C950" s="218">
        <v>0.3367</v>
      </c>
      <c r="D950" s="218">
        <v>0.3422</v>
      </c>
      <c r="E950" s="218">
        <v>0.34350000000000003</v>
      </c>
      <c r="F950" s="219">
        <v>0.33410000000000001</v>
      </c>
    </row>
    <row r="951" spans="1:6" ht="12" thickBot="1">
      <c r="A951" s="216">
        <v>35170</v>
      </c>
      <c r="B951" s="217">
        <v>35176</v>
      </c>
      <c r="C951" s="218">
        <v>0.33679999999999999</v>
      </c>
      <c r="D951" s="218">
        <v>0.3412</v>
      </c>
      <c r="E951" s="218">
        <v>0.34079999999999999</v>
      </c>
      <c r="F951" s="219">
        <v>0.33529999999999999</v>
      </c>
    </row>
    <row r="952" spans="1:6" ht="12" thickBot="1">
      <c r="A952" s="216">
        <v>35163</v>
      </c>
      <c r="B952" s="217">
        <v>35169</v>
      </c>
      <c r="C952" s="218">
        <v>0.33739999999999998</v>
      </c>
      <c r="D952" s="218">
        <v>0.33429999999999999</v>
      </c>
      <c r="E952" s="218">
        <v>0.33400000000000002</v>
      </c>
      <c r="F952" s="219">
        <v>0.33779999999999999</v>
      </c>
    </row>
    <row r="953" spans="1:6" ht="12" thickBot="1">
      <c r="A953" s="216">
        <v>35156</v>
      </c>
      <c r="B953" s="217">
        <v>35162</v>
      </c>
      <c r="C953" s="218">
        <v>0.3357</v>
      </c>
      <c r="D953" s="218">
        <v>0.33929999999999999</v>
      </c>
      <c r="E953" s="218">
        <v>0.33189999999999997</v>
      </c>
      <c r="F953" s="219">
        <v>0.33600000000000002</v>
      </c>
    </row>
    <row r="954" spans="1:6" ht="12" thickBot="1">
      <c r="A954" s="216">
        <v>35149</v>
      </c>
      <c r="B954" s="217">
        <v>35155</v>
      </c>
      <c r="C954" s="218">
        <v>0.33479999999999999</v>
      </c>
      <c r="D954" s="218">
        <v>0.3382</v>
      </c>
      <c r="E954" s="218">
        <v>0.34029999999999999</v>
      </c>
      <c r="F954" s="219">
        <v>0.33639999999999998</v>
      </c>
    </row>
    <row r="955" spans="1:6" ht="12" thickBot="1">
      <c r="A955" s="216">
        <v>35142</v>
      </c>
      <c r="B955" s="217">
        <v>35148</v>
      </c>
      <c r="C955" s="218">
        <v>0.33639999999999998</v>
      </c>
      <c r="D955" s="218">
        <v>0.3417</v>
      </c>
      <c r="E955" s="218">
        <v>0.34139999999999998</v>
      </c>
      <c r="F955" s="219">
        <v>0.3347</v>
      </c>
    </row>
    <row r="956" spans="1:6" ht="12" thickBot="1">
      <c r="A956" s="216">
        <v>35135</v>
      </c>
      <c r="B956" s="217">
        <v>35141</v>
      </c>
      <c r="C956" s="218">
        <v>0.33189999999999997</v>
      </c>
      <c r="D956" s="218">
        <v>0.33289999999999997</v>
      </c>
      <c r="E956" s="218">
        <v>0.33639999999999998</v>
      </c>
      <c r="F956" s="219">
        <v>0.33179999999999998</v>
      </c>
    </row>
    <row r="957" spans="1:6" ht="12" thickBot="1">
      <c r="A957" s="216">
        <v>35128</v>
      </c>
      <c r="B957" s="217">
        <v>35134</v>
      </c>
      <c r="C957" s="218">
        <v>0.32950000000000002</v>
      </c>
      <c r="D957" s="218">
        <v>0.33489999999999998</v>
      </c>
      <c r="E957" s="218">
        <v>0.3115</v>
      </c>
      <c r="F957" s="219">
        <v>0.32850000000000001</v>
      </c>
    </row>
    <row r="958" spans="1:6" ht="12" thickBot="1">
      <c r="A958" s="216">
        <v>35121</v>
      </c>
      <c r="B958" s="217">
        <v>35127</v>
      </c>
      <c r="C958" s="218">
        <v>0.33339999999999997</v>
      </c>
      <c r="D958" s="218">
        <v>0.34079999999999999</v>
      </c>
      <c r="E958" s="218">
        <v>0.33500000000000002</v>
      </c>
      <c r="F958" s="219">
        <v>0.33189999999999997</v>
      </c>
    </row>
    <row r="959" spans="1:6" ht="12" thickBot="1">
      <c r="A959" s="216">
        <v>35114</v>
      </c>
      <c r="B959" s="217">
        <v>35120</v>
      </c>
      <c r="C959" s="218">
        <v>0.32990000000000003</v>
      </c>
      <c r="D959" s="218">
        <v>0.34129999999999999</v>
      </c>
      <c r="E959" s="218">
        <v>0.33660000000000001</v>
      </c>
      <c r="F959" s="219">
        <v>0.33</v>
      </c>
    </row>
    <row r="960" spans="1:6" ht="12" thickBot="1">
      <c r="A960" s="216">
        <v>35107</v>
      </c>
      <c r="B960" s="217">
        <v>35113</v>
      </c>
      <c r="C960" s="218">
        <v>0.33069999999999999</v>
      </c>
      <c r="D960" s="218">
        <v>0.3422</v>
      </c>
      <c r="E960" s="218">
        <v>0.34239999999999998</v>
      </c>
      <c r="F960" s="219">
        <v>0.32219999999999999</v>
      </c>
    </row>
    <row r="961" spans="1:6" ht="12" thickBot="1">
      <c r="A961" s="216">
        <v>35100</v>
      </c>
      <c r="B961" s="217">
        <v>35106</v>
      </c>
      <c r="C961" s="218">
        <v>0.318</v>
      </c>
      <c r="D961" s="218">
        <v>0.32519999999999999</v>
      </c>
      <c r="E961" s="218">
        <v>0.315</v>
      </c>
      <c r="F961" s="219">
        <v>0.31809999999999999</v>
      </c>
    </row>
    <row r="962" spans="1:6" ht="12" thickBot="1">
      <c r="A962" s="216">
        <v>35093</v>
      </c>
      <c r="B962" s="217">
        <v>35099</v>
      </c>
      <c r="C962" s="218">
        <v>0.31900000000000001</v>
      </c>
      <c r="D962" s="218">
        <v>0.3256</v>
      </c>
      <c r="E962" s="218">
        <v>0.32719999999999999</v>
      </c>
      <c r="F962" s="219">
        <v>0.31830000000000003</v>
      </c>
    </row>
    <row r="963" spans="1:6" ht="12" thickBot="1">
      <c r="A963" s="216">
        <v>35086</v>
      </c>
      <c r="B963" s="217">
        <v>35092</v>
      </c>
      <c r="C963" s="218">
        <v>0.32269999999999999</v>
      </c>
      <c r="D963" s="218">
        <v>0.32990000000000003</v>
      </c>
      <c r="E963" s="218">
        <v>0.3301</v>
      </c>
      <c r="F963" s="219">
        <v>0.32190000000000002</v>
      </c>
    </row>
    <row r="964" spans="1:6" ht="12" thickBot="1">
      <c r="A964" s="216">
        <v>35079</v>
      </c>
      <c r="B964" s="217">
        <v>35085</v>
      </c>
      <c r="C964" s="218">
        <v>0.3322</v>
      </c>
      <c r="D964" s="218">
        <v>0.32750000000000001</v>
      </c>
      <c r="E964" s="218">
        <v>0.32090000000000002</v>
      </c>
      <c r="F964" s="219">
        <v>0.32590000000000002</v>
      </c>
    </row>
    <row r="965" spans="1:6" ht="12" thickBot="1">
      <c r="A965" s="216">
        <v>35072</v>
      </c>
      <c r="B965" s="217">
        <v>35078</v>
      </c>
      <c r="C965" s="218">
        <v>0.33489999999999998</v>
      </c>
      <c r="D965" s="218">
        <v>0.3327</v>
      </c>
      <c r="E965" s="218">
        <v>0.3392</v>
      </c>
      <c r="F965" s="219">
        <v>0.32519999999999999</v>
      </c>
    </row>
    <row r="966" spans="1:6" ht="12" thickBot="1">
      <c r="A966" s="216">
        <v>35065</v>
      </c>
      <c r="B966" s="217">
        <v>35071</v>
      </c>
      <c r="C966" s="218">
        <v>0.33500000000000002</v>
      </c>
      <c r="D966" s="218">
        <v>0.33679999999999999</v>
      </c>
      <c r="E966" s="218">
        <v>0.33110000000000001</v>
      </c>
      <c r="F966" s="219">
        <v>0.3281</v>
      </c>
    </row>
    <row r="967" spans="1:6" ht="12" thickBot="1">
      <c r="A967" s="216">
        <v>35058</v>
      </c>
      <c r="B967" s="217">
        <v>35064</v>
      </c>
      <c r="C967" s="218">
        <v>0.33129999999999998</v>
      </c>
      <c r="D967" s="218">
        <v>0.33389999999999997</v>
      </c>
      <c r="E967" s="218">
        <v>0.34010000000000001</v>
      </c>
      <c r="F967" s="219">
        <v>0.32929999999999998</v>
      </c>
    </row>
    <row r="968" spans="1:6" ht="12" thickBot="1">
      <c r="A968" s="216">
        <v>35051</v>
      </c>
      <c r="B968" s="217">
        <v>35057</v>
      </c>
      <c r="C968" s="218">
        <v>0.34429999999999999</v>
      </c>
      <c r="D968" s="218">
        <v>0.35370000000000001</v>
      </c>
      <c r="E968" s="218">
        <v>0.3533</v>
      </c>
      <c r="F968" s="219">
        <v>0.34060000000000001</v>
      </c>
    </row>
    <row r="969" spans="1:6" ht="12" thickBot="1">
      <c r="A969" s="216">
        <v>35044</v>
      </c>
      <c r="B969" s="217">
        <v>35050</v>
      </c>
      <c r="C969" s="218">
        <v>0.32129999999999997</v>
      </c>
      <c r="D969" s="218">
        <v>0.33360000000000001</v>
      </c>
      <c r="E969" s="218">
        <v>0.34</v>
      </c>
      <c r="F969" s="219">
        <v>0.31719999999999998</v>
      </c>
    </row>
    <row r="970" spans="1:6" ht="12" thickBot="1">
      <c r="A970" s="216">
        <v>35037</v>
      </c>
      <c r="B970" s="217">
        <v>35043</v>
      </c>
      <c r="C970" s="218">
        <v>0.30120000000000002</v>
      </c>
      <c r="D970" s="218">
        <v>0.315</v>
      </c>
      <c r="E970" s="218">
        <v>0.31309999999999999</v>
      </c>
      <c r="F970" s="219">
        <v>0.29880000000000001</v>
      </c>
    </row>
    <row r="971" spans="1:6" ht="12" thickBot="1">
      <c r="A971" s="216">
        <v>35030</v>
      </c>
      <c r="B971" s="217">
        <v>35036</v>
      </c>
      <c r="C971" s="218">
        <v>0.29799999999999999</v>
      </c>
      <c r="D971" s="218">
        <v>0.31569999999999998</v>
      </c>
      <c r="E971" s="218">
        <v>0.31609999999999999</v>
      </c>
      <c r="F971" s="219">
        <v>0.2964</v>
      </c>
    </row>
    <row r="972" spans="1:6" ht="12" thickBot="1">
      <c r="A972" s="216">
        <v>35023</v>
      </c>
      <c r="B972" s="217">
        <v>35029</v>
      </c>
      <c r="C972" s="218">
        <v>0.29389999999999999</v>
      </c>
      <c r="D972" s="218">
        <v>0.31290000000000001</v>
      </c>
      <c r="E972" s="218">
        <v>0.3226</v>
      </c>
      <c r="F972" s="219">
        <v>0.29420000000000002</v>
      </c>
    </row>
    <row r="973" spans="1:6" ht="12" thickBot="1">
      <c r="A973" s="216">
        <v>35016</v>
      </c>
      <c r="B973" s="217">
        <v>35022</v>
      </c>
      <c r="C973" s="218">
        <v>0.29349999999999998</v>
      </c>
      <c r="D973" s="218">
        <v>0.30909999999999999</v>
      </c>
      <c r="E973" s="218">
        <v>0.30580000000000002</v>
      </c>
      <c r="F973" s="219">
        <v>0.29559999999999997</v>
      </c>
    </row>
    <row r="974" spans="1:6" ht="12" thickBot="1">
      <c r="A974" s="216">
        <v>35009</v>
      </c>
      <c r="B974" s="217">
        <v>35015</v>
      </c>
      <c r="C974" s="218">
        <v>0.29220000000000002</v>
      </c>
      <c r="D974" s="218">
        <v>0.30769999999999997</v>
      </c>
      <c r="E974" s="218">
        <v>0.3216</v>
      </c>
      <c r="F974" s="219">
        <v>0.2954</v>
      </c>
    </row>
    <row r="975" spans="1:6" ht="12" thickBot="1">
      <c r="A975" s="216">
        <v>35002</v>
      </c>
      <c r="B975" s="217">
        <v>35008</v>
      </c>
      <c r="C975" s="218">
        <v>0.29120000000000001</v>
      </c>
      <c r="D975" s="218">
        <v>0.30890000000000001</v>
      </c>
      <c r="E975" s="218">
        <v>0.32100000000000001</v>
      </c>
      <c r="F975" s="219">
        <v>0.29609999999999997</v>
      </c>
    </row>
    <row r="976" spans="1:6" ht="12" thickBot="1">
      <c r="A976" s="216">
        <v>34995</v>
      </c>
      <c r="B976" s="217">
        <v>35001</v>
      </c>
      <c r="C976" s="218">
        <v>0.2898</v>
      </c>
      <c r="D976" s="218">
        <v>0.30780000000000002</v>
      </c>
      <c r="E976" s="218">
        <v>0.30649999999999999</v>
      </c>
      <c r="F976" s="219">
        <v>0.29799999999999999</v>
      </c>
    </row>
    <row r="977" spans="1:6" ht="12" thickBot="1">
      <c r="A977" s="216">
        <v>34988</v>
      </c>
      <c r="B977" s="217">
        <v>34994</v>
      </c>
      <c r="C977" s="218">
        <v>0.29470000000000002</v>
      </c>
      <c r="D977" s="218">
        <v>0.31530000000000002</v>
      </c>
      <c r="E977" s="218">
        <v>0.32390000000000002</v>
      </c>
      <c r="F977" s="219">
        <v>0.29809999999999998</v>
      </c>
    </row>
    <row r="978" spans="1:6" ht="12" thickBot="1">
      <c r="A978" s="216">
        <v>34981</v>
      </c>
      <c r="B978" s="217">
        <v>34987</v>
      </c>
      <c r="C978" s="218">
        <v>0.30130000000000001</v>
      </c>
      <c r="D978" s="218">
        <v>0.31630000000000003</v>
      </c>
      <c r="E978" s="218">
        <v>0.32929999999999998</v>
      </c>
      <c r="F978" s="219">
        <v>0.30230000000000001</v>
      </c>
    </row>
    <row r="979" spans="1:6" ht="12" thickBot="1">
      <c r="A979" s="216">
        <v>34974</v>
      </c>
      <c r="B979" s="217">
        <v>34980</v>
      </c>
      <c r="C979" s="218">
        <v>0.29649999999999999</v>
      </c>
      <c r="D979" s="218">
        <v>0.32719999999999999</v>
      </c>
      <c r="E979" s="218">
        <v>0.32900000000000001</v>
      </c>
      <c r="F979" s="219">
        <v>0.30030000000000001</v>
      </c>
    </row>
    <row r="980" spans="1:6" ht="12" thickBot="1">
      <c r="A980" s="216">
        <v>34967</v>
      </c>
      <c r="B980" s="217">
        <v>34973</v>
      </c>
      <c r="C980" s="218">
        <v>0.29959999999999998</v>
      </c>
      <c r="D980" s="218">
        <v>0.32819999999999999</v>
      </c>
      <c r="E980" s="218">
        <v>0.33239999999999997</v>
      </c>
      <c r="F980" s="219">
        <v>0.30130000000000001</v>
      </c>
    </row>
    <row r="981" spans="1:6" ht="12" thickBot="1">
      <c r="A981" s="216">
        <v>34960</v>
      </c>
      <c r="B981" s="217">
        <v>34966</v>
      </c>
      <c r="C981" s="218">
        <v>0.30430000000000001</v>
      </c>
      <c r="D981" s="218">
        <v>0.31819999999999998</v>
      </c>
      <c r="E981" s="218">
        <v>0.32190000000000002</v>
      </c>
      <c r="F981" s="219">
        <v>0.30530000000000002</v>
      </c>
    </row>
    <row r="982" spans="1:6" ht="12" thickBot="1">
      <c r="A982" s="216">
        <v>34953</v>
      </c>
      <c r="B982" s="217">
        <v>34959</v>
      </c>
      <c r="C982" s="218">
        <v>0.3009</v>
      </c>
      <c r="D982" s="218">
        <v>0.31280000000000002</v>
      </c>
      <c r="E982" s="218">
        <v>0.31059999999999999</v>
      </c>
      <c r="F982" s="219">
        <v>0.30109999999999998</v>
      </c>
    </row>
    <row r="983" spans="1:6" ht="12" thickBot="1">
      <c r="A983" s="216">
        <v>34946</v>
      </c>
      <c r="B983" s="217">
        <v>34952</v>
      </c>
      <c r="C983" s="218">
        <v>0.28920000000000001</v>
      </c>
      <c r="D983" s="218">
        <v>0.30309999999999998</v>
      </c>
      <c r="E983" s="218">
        <v>0.29649999999999999</v>
      </c>
      <c r="F983" s="219">
        <v>0.29210000000000003</v>
      </c>
    </row>
    <row r="984" spans="1:6" ht="12" thickBot="1">
      <c r="A984" s="216">
        <v>34939</v>
      </c>
      <c r="B984" s="217">
        <v>34945</v>
      </c>
      <c r="C984" s="218">
        <v>0.2868</v>
      </c>
      <c r="D984" s="218">
        <v>0.2979</v>
      </c>
      <c r="E984" s="218">
        <v>0.29620000000000002</v>
      </c>
      <c r="F984" s="219">
        <v>0.29170000000000001</v>
      </c>
    </row>
    <row r="985" spans="1:6" ht="12" thickBot="1">
      <c r="A985" s="216">
        <v>34932</v>
      </c>
      <c r="B985" s="217">
        <v>34938</v>
      </c>
      <c r="C985" s="218">
        <v>0.29010000000000002</v>
      </c>
      <c r="D985" s="218">
        <v>0.30609999999999998</v>
      </c>
      <c r="E985" s="218">
        <v>0.30840000000000001</v>
      </c>
      <c r="F985" s="219">
        <v>0.29599999999999999</v>
      </c>
    </row>
    <row r="986" spans="1:6" ht="12" thickBot="1">
      <c r="A986" s="216">
        <v>34925</v>
      </c>
      <c r="B986" s="217">
        <v>34931</v>
      </c>
      <c r="C986" s="218">
        <v>0.29339999999999999</v>
      </c>
      <c r="D986" s="218">
        <v>0.30230000000000001</v>
      </c>
      <c r="E986" s="218">
        <v>0.29499999999999998</v>
      </c>
      <c r="F986" s="219">
        <v>0.29530000000000001</v>
      </c>
    </row>
    <row r="987" spans="1:6" ht="12" thickBot="1">
      <c r="A987" s="216">
        <v>34918</v>
      </c>
      <c r="B987" s="217">
        <v>34924</v>
      </c>
      <c r="C987" s="218">
        <v>0.29630000000000001</v>
      </c>
      <c r="D987" s="218">
        <v>0.29959999999999998</v>
      </c>
      <c r="E987" s="218">
        <v>0.29299999999999998</v>
      </c>
      <c r="F987" s="219">
        <v>0.29809999999999998</v>
      </c>
    </row>
    <row r="988" spans="1:6" ht="12" thickBot="1">
      <c r="A988" s="216">
        <v>34911</v>
      </c>
      <c r="B988" s="217">
        <v>34917</v>
      </c>
      <c r="C988" s="218">
        <v>0.29780000000000001</v>
      </c>
      <c r="D988" s="218">
        <v>0.29899999999999999</v>
      </c>
      <c r="E988" s="218">
        <v>0.30159999999999998</v>
      </c>
      <c r="F988" s="219">
        <v>0.29959999999999998</v>
      </c>
    </row>
    <row r="989" spans="1:6" ht="12" thickBot="1">
      <c r="A989" s="216">
        <v>34904</v>
      </c>
      <c r="B989" s="217">
        <v>34910</v>
      </c>
      <c r="C989" s="218">
        <v>0.30299999999999999</v>
      </c>
      <c r="D989" s="218">
        <v>0.30159999999999998</v>
      </c>
      <c r="E989" s="218">
        <v>0.29880000000000001</v>
      </c>
      <c r="F989" s="219">
        <v>0.30549999999999999</v>
      </c>
    </row>
    <row r="990" spans="1:6" ht="12" thickBot="1">
      <c r="A990" s="216">
        <v>34897</v>
      </c>
      <c r="B990" s="217">
        <v>34903</v>
      </c>
      <c r="C990" s="218">
        <v>0.30199999999999999</v>
      </c>
      <c r="D990" s="218">
        <v>0.30609999999999998</v>
      </c>
      <c r="E990" s="218">
        <v>0.31280000000000002</v>
      </c>
      <c r="F990" s="219">
        <v>0.30590000000000001</v>
      </c>
    </row>
    <row r="991" spans="1:6" ht="12" thickBot="1">
      <c r="A991" s="216">
        <v>34890</v>
      </c>
      <c r="B991" s="217">
        <v>34896</v>
      </c>
      <c r="C991" s="218">
        <v>0.30590000000000001</v>
      </c>
      <c r="D991" s="218">
        <v>0.3049</v>
      </c>
      <c r="E991" s="218">
        <v>0.31859999999999999</v>
      </c>
      <c r="F991" s="219">
        <v>0.308</v>
      </c>
    </row>
    <row r="992" spans="1:6" ht="12" thickBot="1">
      <c r="A992" s="216">
        <v>34883</v>
      </c>
      <c r="B992" s="217">
        <v>34889</v>
      </c>
      <c r="C992" s="218">
        <v>0.31950000000000001</v>
      </c>
      <c r="D992" s="218">
        <v>0.32490000000000002</v>
      </c>
      <c r="E992" s="218">
        <v>0.3241</v>
      </c>
      <c r="F992" s="219">
        <v>0.31830000000000003</v>
      </c>
    </row>
    <row r="993" spans="1:6" ht="12" thickBot="1">
      <c r="A993" s="216">
        <v>34876</v>
      </c>
      <c r="B993" s="217">
        <v>34882</v>
      </c>
      <c r="C993" s="218">
        <v>0.34229999999999999</v>
      </c>
      <c r="D993" s="218">
        <v>0.34820000000000001</v>
      </c>
      <c r="E993" s="218">
        <v>0.34949999999999998</v>
      </c>
      <c r="F993" s="219">
        <v>0.34089999999999998</v>
      </c>
    </row>
    <row r="994" spans="1:6" ht="12" thickBot="1">
      <c r="A994" s="216">
        <v>34869</v>
      </c>
      <c r="B994" s="217">
        <v>34875</v>
      </c>
      <c r="C994" s="218">
        <v>0.3458</v>
      </c>
      <c r="D994" s="218">
        <v>0.35</v>
      </c>
      <c r="E994" s="218">
        <v>0.35270000000000001</v>
      </c>
      <c r="F994" s="219">
        <v>0.34849999999999998</v>
      </c>
    </row>
    <row r="995" spans="1:6" ht="12" thickBot="1">
      <c r="A995" s="216">
        <v>34862</v>
      </c>
      <c r="B995" s="217">
        <v>34868</v>
      </c>
      <c r="C995" s="218">
        <v>0.34810000000000002</v>
      </c>
      <c r="D995" s="218">
        <v>0.35160000000000002</v>
      </c>
      <c r="E995" s="218">
        <v>0.35599999999999998</v>
      </c>
      <c r="F995" s="219">
        <v>0.34949999999999998</v>
      </c>
    </row>
    <row r="996" spans="1:6" ht="12" thickBot="1">
      <c r="A996" s="216">
        <v>34855</v>
      </c>
      <c r="B996" s="217">
        <v>34861</v>
      </c>
      <c r="C996" s="218">
        <v>0.34549999999999997</v>
      </c>
      <c r="D996" s="218">
        <v>0.35439999999999999</v>
      </c>
      <c r="E996" s="218">
        <v>0.34189999999999998</v>
      </c>
      <c r="F996" s="219">
        <v>0.35049999999999998</v>
      </c>
    </row>
    <row r="997" spans="1:6" ht="12" thickBot="1">
      <c r="A997" s="216">
        <v>34848</v>
      </c>
      <c r="B997" s="217">
        <v>34854</v>
      </c>
      <c r="C997" s="218">
        <v>0.34749999999999998</v>
      </c>
      <c r="D997" s="218">
        <v>0.34210000000000002</v>
      </c>
      <c r="E997" s="218">
        <v>0.35770000000000002</v>
      </c>
      <c r="F997" s="219">
        <v>0.34920000000000001</v>
      </c>
    </row>
    <row r="998" spans="1:6" ht="12" thickBot="1">
      <c r="A998" s="216">
        <v>34841</v>
      </c>
      <c r="B998" s="217">
        <v>34847</v>
      </c>
      <c r="C998" s="218">
        <v>0.34760000000000002</v>
      </c>
      <c r="D998" s="218">
        <v>0.35149999999999998</v>
      </c>
      <c r="E998" s="218">
        <v>0.33439999999999998</v>
      </c>
      <c r="F998" s="219">
        <v>0.34760000000000002</v>
      </c>
    </row>
    <row r="999" spans="1:6" ht="12" thickBot="1">
      <c r="A999" s="216">
        <v>34834</v>
      </c>
      <c r="B999" s="217">
        <v>34840</v>
      </c>
      <c r="C999" s="218">
        <v>0.34970000000000001</v>
      </c>
      <c r="D999" s="218">
        <v>0.3548</v>
      </c>
      <c r="E999" s="218">
        <v>0.32850000000000001</v>
      </c>
      <c r="F999" s="219">
        <v>0.35680000000000001</v>
      </c>
    </row>
    <row r="1000" spans="1:6" ht="12" thickBot="1">
      <c r="A1000" s="216">
        <v>34827</v>
      </c>
      <c r="B1000" s="217">
        <v>34833</v>
      </c>
      <c r="C1000" s="218">
        <v>0.35949999999999999</v>
      </c>
      <c r="D1000" s="218">
        <v>0.35649999999999998</v>
      </c>
      <c r="E1000" s="218">
        <v>0.33150000000000002</v>
      </c>
      <c r="F1000" s="219">
        <v>0.36199999999999999</v>
      </c>
    </row>
    <row r="1001" spans="1:6" ht="12" thickBot="1">
      <c r="A1001" s="216">
        <v>34820</v>
      </c>
      <c r="B1001" s="217">
        <v>34826</v>
      </c>
      <c r="C1001" s="218">
        <v>0.36249999999999999</v>
      </c>
      <c r="D1001" s="218">
        <v>0.36049999999999999</v>
      </c>
      <c r="E1001" s="218">
        <v>0.3286</v>
      </c>
      <c r="F1001" s="219">
        <v>0.36159999999999998</v>
      </c>
    </row>
    <row r="1002" spans="1:6" ht="12" thickBot="1">
      <c r="A1002" s="216">
        <v>34813</v>
      </c>
      <c r="B1002" s="217">
        <v>34819</v>
      </c>
      <c r="C1002" s="218">
        <v>0.35549999999999998</v>
      </c>
      <c r="D1002" s="218">
        <v>0.35189999999999999</v>
      </c>
      <c r="E1002" s="218">
        <v>0.33329999999999999</v>
      </c>
      <c r="F1002" s="219">
        <v>0.36399999999999999</v>
      </c>
    </row>
    <row r="1003" spans="1:6" ht="12" thickBot="1">
      <c r="A1003" s="216">
        <v>34806</v>
      </c>
      <c r="B1003" s="217">
        <v>34812</v>
      </c>
      <c r="C1003" s="218">
        <v>0.34470000000000001</v>
      </c>
      <c r="D1003" s="218">
        <v>0.33939999999999998</v>
      </c>
      <c r="E1003" s="218">
        <v>0.3241</v>
      </c>
      <c r="F1003" s="219">
        <v>0.34310000000000002</v>
      </c>
    </row>
    <row r="1004" spans="1:6" ht="12" thickBot="1">
      <c r="A1004" s="216">
        <v>34799</v>
      </c>
      <c r="B1004" s="217">
        <v>34805</v>
      </c>
      <c r="C1004" s="218">
        <v>0.34260000000000002</v>
      </c>
      <c r="D1004" s="218">
        <v>0.34510000000000002</v>
      </c>
      <c r="E1004" s="218">
        <v>0.34010000000000001</v>
      </c>
      <c r="F1004" s="219">
        <v>0.34429999999999999</v>
      </c>
    </row>
    <row r="1005" spans="1:6" ht="12" thickBot="1">
      <c r="A1005" s="216">
        <v>34792</v>
      </c>
      <c r="B1005" s="217">
        <v>34798</v>
      </c>
      <c r="C1005" s="218">
        <v>0.34799999999999998</v>
      </c>
      <c r="D1005" s="218">
        <v>0.34820000000000001</v>
      </c>
      <c r="E1005" s="218">
        <v>0.3493</v>
      </c>
      <c r="F1005" s="219">
        <v>0.3503</v>
      </c>
    </row>
    <row r="1006" spans="1:6" ht="12" thickBot="1">
      <c r="A1006" s="216">
        <v>34785</v>
      </c>
      <c r="B1006" s="217">
        <v>34791</v>
      </c>
      <c r="C1006" s="218">
        <v>0.3538</v>
      </c>
      <c r="D1006" s="218">
        <v>0.3523</v>
      </c>
      <c r="E1006" s="218">
        <v>0.34870000000000001</v>
      </c>
      <c r="F1006" s="219">
        <v>0.35670000000000002</v>
      </c>
    </row>
    <row r="1007" spans="1:6" ht="12" thickBot="1">
      <c r="A1007" s="216">
        <v>34778</v>
      </c>
      <c r="B1007" s="217">
        <v>34784</v>
      </c>
      <c r="C1007" s="218">
        <v>0.36249999999999999</v>
      </c>
      <c r="D1007" s="218">
        <v>0.35870000000000002</v>
      </c>
      <c r="E1007" s="218">
        <v>0.35680000000000001</v>
      </c>
      <c r="F1007" s="219">
        <v>0.35670000000000002</v>
      </c>
    </row>
    <row r="1008" spans="1:6" ht="12" thickBot="1">
      <c r="A1008" s="216">
        <v>34771</v>
      </c>
      <c r="B1008" s="217">
        <v>34777</v>
      </c>
      <c r="C1008" s="218">
        <v>0.35399999999999998</v>
      </c>
      <c r="D1008" s="218">
        <v>0.35160000000000002</v>
      </c>
      <c r="E1008" s="218">
        <v>0.32679999999999998</v>
      </c>
      <c r="F1008" s="219">
        <v>0.35520000000000002</v>
      </c>
    </row>
    <row r="1009" spans="1:6" ht="12" thickBot="1">
      <c r="A1009" s="216">
        <v>34764</v>
      </c>
      <c r="B1009" s="217">
        <v>34770</v>
      </c>
      <c r="C1009" s="218">
        <v>0.35239999999999999</v>
      </c>
      <c r="D1009" s="218">
        <v>0.35370000000000001</v>
      </c>
      <c r="E1009" s="218">
        <v>0.34379999999999999</v>
      </c>
      <c r="F1009" s="219">
        <v>0.35249999999999998</v>
      </c>
    </row>
    <row r="1010" spans="1:6" ht="12" thickBot="1">
      <c r="A1010" s="216">
        <v>34757</v>
      </c>
      <c r="B1010" s="217">
        <v>34763</v>
      </c>
      <c r="C1010" s="218">
        <v>0.35339999999999999</v>
      </c>
      <c r="D1010" s="218">
        <v>0.35070000000000001</v>
      </c>
      <c r="E1010" s="218">
        <v>0.36609999999999998</v>
      </c>
      <c r="F1010" s="219">
        <v>0.35239999999999999</v>
      </c>
    </row>
    <row r="1011" spans="1:6" ht="12" thickBot="1">
      <c r="A1011" s="216">
        <v>34750</v>
      </c>
      <c r="B1011" s="217">
        <v>34756</v>
      </c>
      <c r="C1011" s="218">
        <v>0.33760000000000001</v>
      </c>
      <c r="D1011" s="218">
        <v>0.33960000000000001</v>
      </c>
      <c r="E1011" s="218">
        <v>0.34560000000000002</v>
      </c>
      <c r="F1011" s="219">
        <v>0.34610000000000002</v>
      </c>
    </row>
    <row r="1012" spans="1:6" ht="12" thickBot="1">
      <c r="A1012" s="216">
        <v>34743</v>
      </c>
      <c r="B1012" s="217">
        <v>34749</v>
      </c>
      <c r="C1012" s="218">
        <v>0.32529999999999998</v>
      </c>
      <c r="D1012" s="218">
        <v>0.33279999999999998</v>
      </c>
      <c r="E1012" s="218">
        <v>0.30740000000000001</v>
      </c>
      <c r="F1012" s="219">
        <v>0.33389999999999997</v>
      </c>
    </row>
    <row r="1013" spans="1:6" ht="12" thickBot="1">
      <c r="A1013" s="216">
        <v>34736</v>
      </c>
      <c r="B1013" s="217">
        <v>34742</v>
      </c>
      <c r="C1013" s="218">
        <v>0.31879999999999997</v>
      </c>
      <c r="D1013" s="218">
        <v>0.32550000000000001</v>
      </c>
      <c r="E1013" s="218">
        <v>0.32529999999999998</v>
      </c>
      <c r="F1013" s="219">
        <v>0.32690000000000002</v>
      </c>
    </row>
    <row r="1014" spans="1:6" ht="12" thickBot="1">
      <c r="A1014" s="216">
        <v>34729</v>
      </c>
      <c r="B1014" s="217">
        <v>34735</v>
      </c>
      <c r="C1014" s="218">
        <v>0.31919999999999998</v>
      </c>
      <c r="D1014" s="218">
        <v>0.3236</v>
      </c>
      <c r="E1014" s="218">
        <v>0.32579999999999998</v>
      </c>
      <c r="F1014" s="219">
        <v>0.32500000000000001</v>
      </c>
    </row>
    <row r="1015" spans="1:6" ht="12" thickBot="1">
      <c r="A1015" s="216">
        <v>34722</v>
      </c>
      <c r="B1015" s="217">
        <v>34728</v>
      </c>
      <c r="C1015" s="218">
        <v>0.32390000000000002</v>
      </c>
      <c r="D1015" s="218">
        <v>0.3306</v>
      </c>
      <c r="E1015" s="218">
        <v>0.3231</v>
      </c>
      <c r="F1015" s="219">
        <v>0.32740000000000002</v>
      </c>
    </row>
    <row r="1016" spans="1:6" ht="12" thickBot="1">
      <c r="A1016" s="216">
        <v>34715</v>
      </c>
      <c r="B1016" s="217">
        <v>34721</v>
      </c>
      <c r="C1016" s="218">
        <v>0.33029999999999998</v>
      </c>
      <c r="D1016" s="218">
        <v>0.34029999999999999</v>
      </c>
      <c r="E1016" s="218">
        <v>0.31030000000000002</v>
      </c>
      <c r="F1016" s="219">
        <v>0.34429999999999999</v>
      </c>
    </row>
    <row r="1017" spans="1:6" ht="12" thickBot="1">
      <c r="A1017" s="216">
        <v>34708</v>
      </c>
      <c r="B1017" s="217">
        <v>34714</v>
      </c>
      <c r="C1017" s="218">
        <v>0.36940000000000001</v>
      </c>
      <c r="D1017" s="218">
        <v>0.35849999999999999</v>
      </c>
      <c r="E1017" s="218">
        <v>0.31240000000000001</v>
      </c>
      <c r="F1017" s="219">
        <v>0.38080000000000003</v>
      </c>
    </row>
    <row r="1018" spans="1:6" ht="12" thickBot="1">
      <c r="A1018" s="216">
        <v>34701</v>
      </c>
      <c r="B1018" s="217">
        <v>34707</v>
      </c>
      <c r="C1018" s="218">
        <v>0.38059999999999999</v>
      </c>
      <c r="D1018" s="218">
        <v>0.4</v>
      </c>
      <c r="E1018" s="218">
        <v>0.35780000000000001</v>
      </c>
      <c r="F1018" s="219">
        <v>0.38690000000000002</v>
      </c>
    </row>
    <row r="1019" spans="1:6" ht="12" thickBot="1">
      <c r="A1019" s="216">
        <v>34694</v>
      </c>
      <c r="B1019" s="217">
        <v>34700</v>
      </c>
      <c r="C1019" s="218">
        <v>0.3866</v>
      </c>
      <c r="D1019" s="218">
        <v>0.40250000000000002</v>
      </c>
      <c r="E1019" s="218">
        <v>0.3634</v>
      </c>
      <c r="F1019" s="219">
        <v>0.39250000000000002</v>
      </c>
    </row>
    <row r="1020" spans="1:6" ht="12" thickBot="1">
      <c r="A1020" s="216">
        <v>34687</v>
      </c>
      <c r="B1020" s="217">
        <v>34693</v>
      </c>
      <c r="C1020" s="218">
        <v>0.37769999999999998</v>
      </c>
      <c r="D1020" s="218">
        <v>0.38940000000000002</v>
      </c>
      <c r="E1020" s="218">
        <v>0.36459999999999998</v>
      </c>
      <c r="F1020" s="219">
        <v>0.37730000000000002</v>
      </c>
    </row>
    <row r="1021" spans="1:6" ht="12" thickBot="1">
      <c r="A1021" s="216">
        <v>34680</v>
      </c>
      <c r="B1021" s="217">
        <v>34686</v>
      </c>
      <c r="C1021" s="218">
        <v>0.3599</v>
      </c>
      <c r="D1021" s="218">
        <v>0.38030000000000003</v>
      </c>
      <c r="E1021" s="218">
        <v>0.35770000000000002</v>
      </c>
      <c r="F1021" s="219">
        <v>0.3755</v>
      </c>
    </row>
    <row r="1022" spans="1:6" ht="12" thickBot="1">
      <c r="A1022" s="216">
        <v>34673</v>
      </c>
      <c r="B1022" s="217">
        <v>34679</v>
      </c>
      <c r="C1022" s="218">
        <v>0.37319999999999998</v>
      </c>
      <c r="D1022" s="218">
        <v>0.37480000000000002</v>
      </c>
      <c r="E1022" s="218">
        <v>0.36980000000000002</v>
      </c>
      <c r="F1022" s="219">
        <v>0.37759999999999999</v>
      </c>
    </row>
    <row r="1023" spans="1:6" ht="12" thickBot="1">
      <c r="A1023" s="216">
        <v>34666</v>
      </c>
      <c r="B1023" s="217">
        <v>34672</v>
      </c>
      <c r="C1023" s="218">
        <v>0.35620000000000002</v>
      </c>
      <c r="D1023" s="218">
        <v>0.37859999999999999</v>
      </c>
      <c r="E1023" s="218">
        <v>0.36609999999999998</v>
      </c>
      <c r="F1023" s="219">
        <v>0.37090000000000001</v>
      </c>
    </row>
    <row r="1024" spans="1:6" ht="12" thickBot="1">
      <c r="A1024" s="216">
        <v>34659</v>
      </c>
      <c r="B1024" s="217">
        <v>34665</v>
      </c>
      <c r="C1024" s="218">
        <v>0.3478</v>
      </c>
      <c r="D1024" s="218">
        <v>0.35949999999999999</v>
      </c>
      <c r="E1024" s="218">
        <v>0.36449999999999999</v>
      </c>
      <c r="F1024" s="219">
        <v>0.35520000000000002</v>
      </c>
    </row>
    <row r="1025" spans="1:6" ht="12" thickBot="1">
      <c r="A1025" s="216">
        <v>34652</v>
      </c>
      <c r="B1025" s="217">
        <v>34658</v>
      </c>
      <c r="C1025" s="218">
        <v>0.34560000000000002</v>
      </c>
      <c r="D1025" s="218">
        <v>0.36849999999999999</v>
      </c>
      <c r="E1025" s="218">
        <v>0.37080000000000002</v>
      </c>
      <c r="F1025" s="219">
        <v>0.35470000000000002</v>
      </c>
    </row>
    <row r="1026" spans="1:6" ht="12" thickBot="1">
      <c r="A1026" s="216">
        <v>34645</v>
      </c>
      <c r="B1026" s="217">
        <v>34651</v>
      </c>
      <c r="C1026" s="218">
        <v>0.33900000000000002</v>
      </c>
      <c r="D1026" s="218">
        <v>0.35639999999999999</v>
      </c>
      <c r="E1026" s="218">
        <v>0.36649999999999999</v>
      </c>
      <c r="F1026" s="219">
        <v>0.34799999999999998</v>
      </c>
    </row>
    <row r="1027" spans="1:6" ht="12" thickBot="1">
      <c r="A1027" s="216">
        <v>34638</v>
      </c>
      <c r="B1027" s="217">
        <v>34644</v>
      </c>
      <c r="C1027" s="218">
        <v>0.32400000000000001</v>
      </c>
      <c r="D1027" s="218">
        <v>0.32969999999999999</v>
      </c>
      <c r="E1027" s="218">
        <v>0.35570000000000002</v>
      </c>
      <c r="F1027" s="219">
        <v>0.3301</v>
      </c>
    </row>
    <row r="1028" spans="1:6" ht="12" thickBot="1">
      <c r="A1028" s="216">
        <v>34631</v>
      </c>
      <c r="B1028" s="217">
        <v>34637</v>
      </c>
      <c r="C1028" s="218">
        <v>0.32619999999999999</v>
      </c>
      <c r="D1028" s="218">
        <v>0.32069999999999999</v>
      </c>
      <c r="E1028" s="218">
        <v>0.3548</v>
      </c>
      <c r="F1028" s="219">
        <v>0.32590000000000002</v>
      </c>
    </row>
    <row r="1029" spans="1:6" ht="12" thickBot="1">
      <c r="A1029" s="216">
        <v>34624</v>
      </c>
      <c r="B1029" s="217">
        <v>34630</v>
      </c>
      <c r="C1029" s="218">
        <v>0.31030000000000002</v>
      </c>
      <c r="D1029" s="218">
        <v>0.32540000000000002</v>
      </c>
      <c r="E1029" s="218">
        <v>0.32750000000000001</v>
      </c>
      <c r="F1029" s="219">
        <v>0.31709999999999999</v>
      </c>
    </row>
    <row r="1030" spans="1:6" ht="12" thickBot="1">
      <c r="A1030" s="216">
        <v>34617</v>
      </c>
      <c r="B1030" s="217">
        <v>34623</v>
      </c>
      <c r="C1030" s="218">
        <v>0.30549999999999999</v>
      </c>
      <c r="D1030" s="218">
        <v>0.31909999999999999</v>
      </c>
      <c r="E1030" s="218">
        <v>0.32</v>
      </c>
      <c r="F1030" s="219">
        <v>0.3095</v>
      </c>
    </row>
    <row r="1031" spans="1:6" ht="12" thickBot="1">
      <c r="A1031" s="216">
        <v>34610</v>
      </c>
      <c r="B1031" s="217">
        <v>34616</v>
      </c>
      <c r="C1031" s="218">
        <v>0.30969999999999998</v>
      </c>
      <c r="D1031" s="218">
        <v>0.312</v>
      </c>
      <c r="E1031" s="218">
        <v>0.31519999999999998</v>
      </c>
      <c r="F1031" s="219">
        <v>0.31309999999999999</v>
      </c>
    </row>
    <row r="1032" spans="1:6" ht="12" thickBot="1">
      <c r="A1032" s="216">
        <v>34603</v>
      </c>
      <c r="B1032" s="217">
        <v>34609</v>
      </c>
      <c r="C1032" s="218">
        <v>0.30690000000000001</v>
      </c>
      <c r="D1032" s="218">
        <v>0.314</v>
      </c>
      <c r="E1032" s="218">
        <v>0.30559999999999998</v>
      </c>
      <c r="F1032" s="219">
        <v>0.312</v>
      </c>
    </row>
    <row r="1033" spans="1:6" ht="12" thickBot="1">
      <c r="A1033" s="216">
        <v>34596</v>
      </c>
      <c r="B1033" s="217">
        <v>34602</v>
      </c>
      <c r="C1033" s="218">
        <v>0.31130000000000002</v>
      </c>
      <c r="D1033" s="218">
        <v>0.31380000000000002</v>
      </c>
      <c r="E1033" s="218">
        <v>0.3382</v>
      </c>
      <c r="F1033" s="219">
        <v>0.31390000000000001</v>
      </c>
    </row>
    <row r="1034" spans="1:6" ht="12" thickBot="1">
      <c r="A1034" s="216">
        <v>34589</v>
      </c>
      <c r="B1034" s="217">
        <v>34595</v>
      </c>
      <c r="C1034" s="218">
        <v>0.311</v>
      </c>
      <c r="D1034" s="218">
        <v>0.31409999999999999</v>
      </c>
      <c r="E1034" s="218">
        <v>0.32200000000000001</v>
      </c>
      <c r="F1034" s="219">
        <v>0.31879999999999997</v>
      </c>
    </row>
    <row r="1035" spans="1:6" ht="12" thickBot="1">
      <c r="A1035" s="216">
        <v>34582</v>
      </c>
      <c r="B1035" s="217">
        <v>34588</v>
      </c>
      <c r="C1035" s="218">
        <v>0.31780000000000003</v>
      </c>
      <c r="D1035" s="218">
        <v>0.31390000000000001</v>
      </c>
      <c r="E1035" s="218">
        <v>0.31730000000000003</v>
      </c>
      <c r="F1035" s="219">
        <v>0.3211</v>
      </c>
    </row>
    <row r="1036" spans="1:6" ht="12" thickBot="1">
      <c r="A1036" s="216">
        <v>34575</v>
      </c>
      <c r="B1036" s="217">
        <v>34581</v>
      </c>
      <c r="C1036" s="218">
        <v>0.31130000000000002</v>
      </c>
      <c r="D1036" s="218">
        <v>0.30570000000000003</v>
      </c>
      <c r="E1036" s="218">
        <v>0.3306</v>
      </c>
      <c r="F1036" s="219">
        <v>0.32400000000000001</v>
      </c>
    </row>
    <row r="1037" spans="1:6" ht="12" thickBot="1">
      <c r="A1037" s="216">
        <v>34568</v>
      </c>
      <c r="B1037" s="217">
        <v>34574</v>
      </c>
      <c r="C1037" s="218">
        <v>0.29980000000000001</v>
      </c>
      <c r="D1037" s="218">
        <v>0.29949999999999999</v>
      </c>
      <c r="E1037" s="218">
        <v>0.31929999999999997</v>
      </c>
      <c r="F1037" s="219">
        <v>0.3135</v>
      </c>
    </row>
    <row r="1038" spans="1:6" ht="12" thickBot="1">
      <c r="A1038" s="216">
        <v>34561</v>
      </c>
      <c r="B1038" s="217">
        <v>34567</v>
      </c>
      <c r="C1038" s="218">
        <v>0.29320000000000002</v>
      </c>
      <c r="D1038" s="218">
        <v>0.2873</v>
      </c>
      <c r="E1038" s="218">
        <v>0.316</v>
      </c>
      <c r="F1038" s="219">
        <v>0.2959</v>
      </c>
    </row>
    <row r="1039" spans="1:6" ht="12" thickBot="1">
      <c r="A1039" s="216">
        <v>34554</v>
      </c>
      <c r="B1039" s="217">
        <v>34560</v>
      </c>
      <c r="C1039" s="218">
        <v>0.28839999999999999</v>
      </c>
      <c r="D1039" s="218">
        <v>0.29210000000000003</v>
      </c>
      <c r="E1039" s="218">
        <v>0.2898</v>
      </c>
      <c r="F1039" s="219">
        <v>0.28620000000000001</v>
      </c>
    </row>
    <row r="1040" spans="1:6" ht="12" thickBot="1">
      <c r="A1040" s="216">
        <v>34547</v>
      </c>
      <c r="B1040" s="217">
        <v>34553</v>
      </c>
      <c r="C1040" s="218">
        <v>0.2848</v>
      </c>
      <c r="D1040" s="218">
        <v>0.28339999999999999</v>
      </c>
      <c r="E1040" s="218">
        <v>0.2979</v>
      </c>
      <c r="F1040" s="219">
        <v>0.28549999999999998</v>
      </c>
    </row>
    <row r="1041" spans="1:6" ht="12" thickBot="1">
      <c r="A1041" s="216">
        <v>34540</v>
      </c>
      <c r="B1041" s="217">
        <v>34546</v>
      </c>
      <c r="C1041" s="218">
        <v>0.29220000000000002</v>
      </c>
      <c r="D1041" s="218">
        <v>0.2918</v>
      </c>
      <c r="E1041" s="218">
        <v>0.28760000000000002</v>
      </c>
      <c r="F1041" s="219">
        <v>0.28860000000000002</v>
      </c>
    </row>
    <row r="1042" spans="1:6" ht="12" thickBot="1">
      <c r="A1042" s="216">
        <v>34533</v>
      </c>
      <c r="B1042" s="217">
        <v>34539</v>
      </c>
      <c r="C1042" s="218">
        <v>0.29920000000000002</v>
      </c>
      <c r="D1042" s="218">
        <v>0.28839999999999999</v>
      </c>
      <c r="E1042" s="218">
        <v>0.32519999999999999</v>
      </c>
      <c r="F1042" s="219">
        <v>0.29630000000000001</v>
      </c>
    </row>
    <row r="1043" spans="1:6" ht="12" thickBot="1">
      <c r="A1043" s="216">
        <v>34526</v>
      </c>
      <c r="B1043" s="217">
        <v>34532</v>
      </c>
      <c r="C1043" s="218">
        <v>0.30830000000000002</v>
      </c>
      <c r="D1043" s="218">
        <v>0.2944</v>
      </c>
      <c r="E1043" s="218">
        <v>0.32179999999999997</v>
      </c>
      <c r="F1043" s="219">
        <v>0.30969999999999998</v>
      </c>
    </row>
    <row r="1044" spans="1:6" ht="12" thickBot="1">
      <c r="A1044" s="216">
        <v>34519</v>
      </c>
      <c r="B1044" s="217">
        <v>34525</v>
      </c>
      <c r="C1044" s="218">
        <v>0.29020000000000001</v>
      </c>
      <c r="D1044" s="218">
        <v>0.29020000000000001</v>
      </c>
      <c r="E1044" s="218">
        <v>0.32250000000000001</v>
      </c>
      <c r="F1044" s="219">
        <v>0.2918</v>
      </c>
    </row>
    <row r="1045" spans="1:6" ht="12" thickBot="1">
      <c r="A1045" s="216">
        <v>34512</v>
      </c>
      <c r="B1045" s="217">
        <v>34518</v>
      </c>
      <c r="C1045" s="218">
        <v>0.27739999999999998</v>
      </c>
      <c r="D1045" s="218">
        <v>0.2797</v>
      </c>
      <c r="E1045" s="218">
        <v>0.29299999999999998</v>
      </c>
      <c r="F1045" s="219">
        <v>0.27260000000000001</v>
      </c>
    </row>
    <row r="1046" spans="1:6" ht="12" thickBot="1">
      <c r="A1046" s="216">
        <v>34505</v>
      </c>
      <c r="B1046" s="217">
        <v>34511</v>
      </c>
      <c r="C1046" s="218">
        <v>0.26590000000000003</v>
      </c>
      <c r="D1046" s="218">
        <v>0.26779999999999998</v>
      </c>
      <c r="E1046" s="218">
        <v>0.27589999999999998</v>
      </c>
      <c r="F1046" s="219">
        <v>0.26779999999999998</v>
      </c>
    </row>
    <row r="1047" spans="1:6" ht="12" thickBot="1">
      <c r="A1047" s="216">
        <v>34498</v>
      </c>
      <c r="B1047" s="217">
        <v>34504</v>
      </c>
      <c r="C1047" s="218">
        <v>0.26169999999999999</v>
      </c>
      <c r="D1047" s="218">
        <v>0.26500000000000001</v>
      </c>
      <c r="E1047" s="218">
        <v>0.27910000000000001</v>
      </c>
      <c r="F1047" s="219">
        <v>0.26290000000000002</v>
      </c>
    </row>
    <row r="1048" spans="1:6" ht="12" thickBot="1">
      <c r="A1048" s="216">
        <v>34491</v>
      </c>
      <c r="B1048" s="217">
        <v>34497</v>
      </c>
      <c r="C1048" s="218">
        <v>0.25650000000000001</v>
      </c>
      <c r="D1048" s="218">
        <v>0.26469999999999999</v>
      </c>
      <c r="E1048" s="218">
        <v>0.27510000000000001</v>
      </c>
      <c r="F1048" s="219">
        <v>0.26079999999999998</v>
      </c>
    </row>
    <row r="1049" spans="1:6" ht="12" thickBot="1">
      <c r="A1049" s="216">
        <v>34484</v>
      </c>
      <c r="B1049" s="217">
        <v>34490</v>
      </c>
      <c r="C1049" s="218">
        <v>0.26219999999999999</v>
      </c>
      <c r="D1049" s="218">
        <v>0.26429999999999998</v>
      </c>
      <c r="E1049" s="218">
        <v>0.2747</v>
      </c>
      <c r="F1049" s="219">
        <v>0.26250000000000001</v>
      </c>
    </row>
    <row r="1050" spans="1:6" ht="12" thickBot="1">
      <c r="A1050" s="216">
        <v>34477</v>
      </c>
      <c r="B1050" s="217">
        <v>34483</v>
      </c>
      <c r="C1050" s="218">
        <v>0.26450000000000001</v>
      </c>
      <c r="D1050" s="218">
        <v>0.26650000000000001</v>
      </c>
      <c r="E1050" s="218">
        <v>0.27500000000000002</v>
      </c>
      <c r="F1050" s="219">
        <v>0.2616</v>
      </c>
    </row>
    <row r="1051" spans="1:6" ht="12" thickBot="1">
      <c r="A1051" s="216">
        <v>34470</v>
      </c>
      <c r="B1051" s="217">
        <v>34476</v>
      </c>
      <c r="C1051" s="218">
        <v>0.26279999999999998</v>
      </c>
      <c r="D1051" s="218">
        <v>0.26550000000000001</v>
      </c>
      <c r="E1051" s="218">
        <v>0.27329999999999999</v>
      </c>
      <c r="F1051" s="219">
        <v>0.2611</v>
      </c>
    </row>
    <row r="1052" spans="1:6" ht="12" thickBot="1">
      <c r="A1052" s="216">
        <v>34463</v>
      </c>
      <c r="B1052" s="217">
        <v>34469</v>
      </c>
      <c r="C1052" s="218">
        <v>0.2545</v>
      </c>
      <c r="D1052" s="218">
        <v>0.25940000000000002</v>
      </c>
      <c r="E1052" s="218">
        <v>0.26939999999999997</v>
      </c>
      <c r="F1052" s="219">
        <v>0.25700000000000001</v>
      </c>
    </row>
    <row r="1053" spans="1:6" ht="12" thickBot="1">
      <c r="A1053" s="216">
        <v>34456</v>
      </c>
      <c r="B1053" s="217">
        <v>34462</v>
      </c>
      <c r="C1053" s="218">
        <v>0.252</v>
      </c>
      <c r="D1053" s="218">
        <v>0.25740000000000002</v>
      </c>
      <c r="E1053" s="218">
        <v>0.26490000000000002</v>
      </c>
      <c r="F1053" s="219">
        <v>0.25319999999999998</v>
      </c>
    </row>
    <row r="1054" spans="1:6" ht="12" thickBot="1">
      <c r="A1054" s="216">
        <v>34449</v>
      </c>
      <c r="B1054" s="217">
        <v>34455</v>
      </c>
      <c r="C1054" s="218">
        <v>0.25290000000000001</v>
      </c>
      <c r="D1054" s="218">
        <v>0.25430000000000003</v>
      </c>
      <c r="E1054" s="218">
        <v>0.2596</v>
      </c>
      <c r="F1054" s="219">
        <v>0.25190000000000001</v>
      </c>
    </row>
    <row r="1055" spans="1:6" ht="12" thickBot="1">
      <c r="A1055" s="216">
        <v>34442</v>
      </c>
      <c r="B1055" s="217">
        <v>34448</v>
      </c>
      <c r="C1055" s="218">
        <v>0.25330000000000003</v>
      </c>
      <c r="D1055" s="218">
        <v>0.25879999999999997</v>
      </c>
      <c r="E1055" s="218">
        <v>0.26050000000000001</v>
      </c>
      <c r="F1055" s="219">
        <v>0.25319999999999998</v>
      </c>
    </row>
    <row r="1056" spans="1:6" ht="12" thickBot="1">
      <c r="A1056" s="216">
        <v>34435</v>
      </c>
      <c r="B1056" s="217">
        <v>34441</v>
      </c>
      <c r="C1056" s="218">
        <v>0.251</v>
      </c>
      <c r="D1056" s="218">
        <v>0.25480000000000003</v>
      </c>
      <c r="E1056" s="218">
        <v>0.26800000000000002</v>
      </c>
      <c r="F1056" s="219">
        <v>0.24840000000000001</v>
      </c>
    </row>
    <row r="1057" spans="1:6" ht="12" thickBot="1">
      <c r="A1057" s="216">
        <v>34428</v>
      </c>
      <c r="B1057" s="217">
        <v>34434</v>
      </c>
      <c r="C1057" s="218">
        <v>0.2525</v>
      </c>
      <c r="D1057" s="218">
        <v>0.25619999999999998</v>
      </c>
      <c r="E1057" s="218">
        <v>0.2646</v>
      </c>
      <c r="F1057" s="219">
        <v>0.25080000000000002</v>
      </c>
    </row>
    <row r="1058" spans="1:6" ht="12" thickBot="1">
      <c r="A1058" s="216">
        <v>34421</v>
      </c>
      <c r="B1058" s="217">
        <v>34427</v>
      </c>
      <c r="C1058" s="218">
        <v>0.25369999999999998</v>
      </c>
      <c r="D1058" s="218">
        <v>0.26019999999999999</v>
      </c>
      <c r="E1058" s="218">
        <v>0.26679999999999998</v>
      </c>
      <c r="F1058" s="219">
        <v>0.2515</v>
      </c>
    </row>
    <row r="1059" spans="1:6" ht="12" thickBot="1">
      <c r="A1059" s="216">
        <v>34414</v>
      </c>
      <c r="B1059" s="217">
        <v>34420</v>
      </c>
      <c r="C1059" s="218">
        <v>0.25480000000000003</v>
      </c>
      <c r="D1059" s="218">
        <v>0.26029999999999998</v>
      </c>
      <c r="E1059" s="218">
        <v>0.26829999999999998</v>
      </c>
      <c r="F1059" s="219">
        <v>0.25340000000000001</v>
      </c>
    </row>
    <row r="1060" spans="1:6" ht="12" thickBot="1">
      <c r="A1060" s="216">
        <v>34407</v>
      </c>
      <c r="B1060" s="217">
        <v>34413</v>
      </c>
      <c r="C1060" s="218">
        <v>0.254</v>
      </c>
      <c r="D1060" s="218">
        <v>0.2596</v>
      </c>
      <c r="E1060" s="218">
        <v>0.2621</v>
      </c>
      <c r="F1060" s="219">
        <v>0.25280000000000002</v>
      </c>
    </row>
    <row r="1061" spans="1:6" ht="12" thickBot="1">
      <c r="A1061" s="216">
        <v>34400</v>
      </c>
      <c r="B1061" s="217">
        <v>34406</v>
      </c>
      <c r="C1061" s="218">
        <v>0.25319999999999998</v>
      </c>
      <c r="D1061" s="218">
        <v>0.2596</v>
      </c>
      <c r="E1061" s="218">
        <v>0.26889999999999997</v>
      </c>
      <c r="F1061" s="219">
        <v>0.25280000000000002</v>
      </c>
    </row>
    <row r="1062" spans="1:6" ht="12" thickBot="1">
      <c r="A1062" s="216">
        <v>34393</v>
      </c>
      <c r="B1062" s="217">
        <v>34399</v>
      </c>
      <c r="C1062" s="218">
        <v>0.25230000000000002</v>
      </c>
      <c r="D1062" s="218">
        <v>0.25919999999999999</v>
      </c>
      <c r="E1062" s="218">
        <v>0.26840000000000003</v>
      </c>
      <c r="F1062" s="219">
        <v>0.25130000000000002</v>
      </c>
    </row>
    <row r="1063" spans="1:6" ht="12" thickBot="1">
      <c r="A1063" s="216">
        <v>34386</v>
      </c>
      <c r="B1063" s="217">
        <v>34392</v>
      </c>
      <c r="C1063" s="218">
        <v>0.2525</v>
      </c>
      <c r="D1063" s="218">
        <v>0.25969999999999999</v>
      </c>
      <c r="E1063" s="218">
        <v>0.26860000000000001</v>
      </c>
      <c r="F1063" s="219">
        <v>0.25180000000000002</v>
      </c>
    </row>
    <row r="1064" spans="1:6" ht="12" thickBot="1">
      <c r="A1064" s="216">
        <v>34379</v>
      </c>
      <c r="B1064" s="217">
        <v>34385</v>
      </c>
      <c r="C1064" s="218">
        <v>0.25219999999999998</v>
      </c>
      <c r="D1064" s="218">
        <v>0.2586</v>
      </c>
      <c r="E1064" s="218">
        <v>0.26290000000000002</v>
      </c>
      <c r="F1064" s="219">
        <v>0.25169999999999998</v>
      </c>
    </row>
    <row r="1065" spans="1:6" ht="12" thickBot="1">
      <c r="A1065" s="216">
        <v>34372</v>
      </c>
      <c r="B1065" s="217">
        <v>34378</v>
      </c>
      <c r="C1065" s="218">
        <v>0.25259999999999999</v>
      </c>
      <c r="D1065" s="218">
        <v>0.26140000000000002</v>
      </c>
      <c r="E1065" s="218">
        <v>0.26429999999999998</v>
      </c>
      <c r="F1065" s="219">
        <v>0.25319999999999998</v>
      </c>
    </row>
    <row r="1066" spans="1:6" ht="12" thickBot="1">
      <c r="A1066" s="216">
        <v>34365</v>
      </c>
      <c r="B1066" s="217">
        <v>34371</v>
      </c>
      <c r="C1066" s="218">
        <v>0.25369999999999998</v>
      </c>
      <c r="D1066" s="218">
        <v>0.2616</v>
      </c>
      <c r="E1066" s="218">
        <v>0.26869999999999999</v>
      </c>
      <c r="F1066" s="219">
        <v>0.25209999999999999</v>
      </c>
    </row>
    <row r="1067" spans="1:6" ht="12" thickBot="1">
      <c r="A1067" s="216">
        <v>34358</v>
      </c>
      <c r="B1067" s="217">
        <v>34364</v>
      </c>
      <c r="C1067" s="218">
        <v>0.2576</v>
      </c>
      <c r="D1067" s="218">
        <v>0.26640000000000003</v>
      </c>
      <c r="E1067" s="218">
        <v>0.26850000000000002</v>
      </c>
      <c r="F1067" s="219">
        <v>0.25719999999999998</v>
      </c>
    </row>
    <row r="1068" spans="1:6" ht="12" thickBot="1">
      <c r="A1068" s="216">
        <v>34351</v>
      </c>
      <c r="B1068" s="217">
        <v>34357</v>
      </c>
      <c r="C1068" s="218">
        <v>0.26679999999999998</v>
      </c>
      <c r="D1068" s="218">
        <v>0.2712</v>
      </c>
      <c r="E1068" s="218">
        <v>0.2747</v>
      </c>
      <c r="F1068" s="219">
        <v>0.26740000000000003</v>
      </c>
    </row>
    <row r="1069" spans="1:6" ht="12" thickBot="1">
      <c r="A1069" s="216">
        <v>34344</v>
      </c>
      <c r="B1069" s="217">
        <v>34350</v>
      </c>
      <c r="C1069" s="218">
        <v>0.27160000000000001</v>
      </c>
      <c r="D1069" s="218">
        <v>0.27239999999999998</v>
      </c>
      <c r="E1069" s="218">
        <v>0.25769999999999998</v>
      </c>
      <c r="F1069" s="219">
        <v>0.27189999999999998</v>
      </c>
    </row>
    <row r="1070" spans="1:6" ht="12" thickBot="1">
      <c r="A1070" s="216">
        <v>34337</v>
      </c>
      <c r="B1070" s="217">
        <v>34343</v>
      </c>
      <c r="C1070" s="218">
        <v>0.26900000000000002</v>
      </c>
      <c r="D1070" s="218">
        <v>0.27110000000000001</v>
      </c>
      <c r="E1070" s="218">
        <v>0.2863</v>
      </c>
      <c r="F1070" s="219">
        <v>0.27329999999999999</v>
      </c>
    </row>
    <row r="1071" spans="1:6" ht="12" thickBot="1">
      <c r="A1071" s="216">
        <v>34330</v>
      </c>
      <c r="B1071" s="217">
        <v>34336</v>
      </c>
      <c r="C1071" s="218">
        <v>0.26669999999999999</v>
      </c>
      <c r="D1071" s="218">
        <v>0.27700000000000002</v>
      </c>
      <c r="E1071" s="218">
        <v>0.2767</v>
      </c>
      <c r="F1071" s="219">
        <v>0.26519999999999999</v>
      </c>
    </row>
    <row r="1072" spans="1:6" ht="12" thickBot="1">
      <c r="A1072" s="216">
        <v>34323</v>
      </c>
      <c r="B1072" s="217">
        <v>34329</v>
      </c>
      <c r="C1072" s="218">
        <v>0.25879999999999997</v>
      </c>
      <c r="D1072" s="218">
        <v>0.2666</v>
      </c>
      <c r="E1072" s="218">
        <v>0.27189999999999998</v>
      </c>
      <c r="F1072" s="219">
        <v>0.2606</v>
      </c>
    </row>
    <row r="1073" spans="1:6" ht="12" thickBot="1">
      <c r="A1073" s="216">
        <v>34316</v>
      </c>
      <c r="B1073" s="217">
        <v>34322</v>
      </c>
      <c r="C1073" s="218">
        <v>0.25629999999999997</v>
      </c>
      <c r="D1073" s="218">
        <v>0.26490000000000002</v>
      </c>
      <c r="E1073" s="218">
        <v>0.27379999999999999</v>
      </c>
      <c r="F1073" s="219">
        <v>0.25769999999999998</v>
      </c>
    </row>
    <row r="1074" spans="1:6" ht="12" thickBot="1">
      <c r="A1074" s="216">
        <v>34309</v>
      </c>
      <c r="B1074" s="217">
        <v>34315</v>
      </c>
      <c r="C1074" s="218">
        <v>0.25590000000000002</v>
      </c>
      <c r="D1074" s="218">
        <v>0.26169999999999999</v>
      </c>
      <c r="E1074" s="218">
        <v>0.26800000000000002</v>
      </c>
      <c r="F1074" s="219">
        <v>0.25769999999999998</v>
      </c>
    </row>
    <row r="1075" spans="1:6" ht="12" thickBot="1">
      <c r="A1075" s="216">
        <v>34302</v>
      </c>
      <c r="B1075" s="217">
        <v>34308</v>
      </c>
      <c r="C1075" s="218">
        <v>0.25690000000000002</v>
      </c>
      <c r="D1075" s="218">
        <v>0.26179999999999998</v>
      </c>
      <c r="E1075" s="218">
        <v>0.27100000000000002</v>
      </c>
      <c r="F1075" s="219">
        <v>0.25729999999999997</v>
      </c>
    </row>
    <row r="1076" spans="1:6" ht="12" thickBot="1">
      <c r="A1076" s="216">
        <v>34295</v>
      </c>
      <c r="B1076" s="217">
        <v>34301</v>
      </c>
      <c r="C1076" s="218">
        <v>0.25330000000000003</v>
      </c>
      <c r="D1076" s="218">
        <v>0.2641</v>
      </c>
      <c r="E1076" s="218">
        <v>0.27339999999999998</v>
      </c>
      <c r="F1076" s="219">
        <v>0.25659999999999999</v>
      </c>
    </row>
    <row r="1077" spans="1:6" ht="12" thickBot="1">
      <c r="A1077" s="216">
        <v>34288</v>
      </c>
      <c r="B1077" s="217">
        <v>34294</v>
      </c>
      <c r="C1077" s="218">
        <v>0.25269999999999998</v>
      </c>
      <c r="D1077" s="218">
        <v>0.25979999999999998</v>
      </c>
      <c r="E1077" s="218">
        <v>0.26500000000000001</v>
      </c>
      <c r="F1077" s="219">
        <v>0.25269999999999998</v>
      </c>
    </row>
    <row r="1078" spans="1:6" ht="12" thickBot="1">
      <c r="A1078" s="216">
        <v>34281</v>
      </c>
      <c r="B1078" s="217">
        <v>34287</v>
      </c>
      <c r="C1078" s="218">
        <v>0.24970000000000001</v>
      </c>
      <c r="D1078" s="218">
        <v>0.25779999999999997</v>
      </c>
      <c r="E1078" s="218">
        <v>0.26600000000000001</v>
      </c>
      <c r="F1078" s="219">
        <v>0.25130000000000002</v>
      </c>
    </row>
    <row r="1079" spans="1:6" ht="12" thickBot="1">
      <c r="A1079" s="216">
        <v>34274</v>
      </c>
      <c r="B1079" s="217">
        <v>34280</v>
      </c>
      <c r="C1079" s="218">
        <v>0.25009999999999999</v>
      </c>
      <c r="D1079" s="218">
        <v>0.25359999999999999</v>
      </c>
      <c r="E1079" s="218">
        <v>0.26269999999999999</v>
      </c>
      <c r="F1079" s="219">
        <v>0.25130000000000002</v>
      </c>
    </row>
    <row r="1080" spans="1:6" ht="12" thickBot="1">
      <c r="A1080" s="216">
        <v>34267</v>
      </c>
      <c r="B1080" s="217">
        <v>34273</v>
      </c>
      <c r="C1080" s="218">
        <v>0.25090000000000001</v>
      </c>
      <c r="D1080" s="218">
        <v>0.25380000000000003</v>
      </c>
      <c r="E1080" s="218">
        <v>0.26250000000000001</v>
      </c>
      <c r="F1080" s="219">
        <v>0.25169999999999998</v>
      </c>
    </row>
    <row r="1081" spans="1:6" ht="12" thickBot="1">
      <c r="A1081" s="216">
        <v>34260</v>
      </c>
      <c r="B1081" s="217">
        <v>34266</v>
      </c>
      <c r="C1081" s="218">
        <v>0.2455</v>
      </c>
      <c r="D1081" s="218">
        <v>0.25290000000000001</v>
      </c>
      <c r="E1081" s="218">
        <v>0.2631</v>
      </c>
      <c r="F1081" s="219">
        <v>0.248</v>
      </c>
    </row>
    <row r="1082" spans="1:6" ht="12" thickBot="1">
      <c r="A1082" s="216">
        <v>34253</v>
      </c>
      <c r="B1082" s="217">
        <v>34259</v>
      </c>
      <c r="C1082" s="218">
        <v>0.24629999999999999</v>
      </c>
      <c r="D1082" s="218">
        <v>0.25280000000000002</v>
      </c>
      <c r="E1082" s="218">
        <v>0.26500000000000001</v>
      </c>
      <c r="F1082" s="219">
        <v>0.24479999999999999</v>
      </c>
    </row>
    <row r="1083" spans="1:6" ht="12" thickBot="1">
      <c r="A1083" s="216">
        <v>34246</v>
      </c>
      <c r="B1083" s="217">
        <v>34252</v>
      </c>
      <c r="C1083" s="218">
        <v>0.24479999999999999</v>
      </c>
      <c r="D1083" s="218">
        <v>0.25</v>
      </c>
      <c r="E1083" s="218">
        <v>0.26090000000000002</v>
      </c>
      <c r="F1083" s="219">
        <v>0.24179999999999999</v>
      </c>
    </row>
    <row r="1084" spans="1:6" ht="12" thickBot="1">
      <c r="A1084" s="216">
        <v>34239</v>
      </c>
      <c r="B1084" s="217">
        <v>34245</v>
      </c>
      <c r="C1084" s="218">
        <v>0.2432</v>
      </c>
      <c r="D1084" s="218">
        <v>0.24840000000000001</v>
      </c>
      <c r="E1084" s="218">
        <v>0.25409999999999999</v>
      </c>
      <c r="F1084" s="219">
        <v>0.24030000000000001</v>
      </c>
    </row>
    <row r="1085" spans="1:6" ht="12" thickBot="1">
      <c r="A1085" s="216">
        <v>34232</v>
      </c>
      <c r="B1085" s="217">
        <v>34238</v>
      </c>
      <c r="C1085" s="218">
        <v>0.24249999999999999</v>
      </c>
      <c r="D1085" s="218">
        <v>0.2492</v>
      </c>
      <c r="E1085" s="218">
        <v>0.26190000000000002</v>
      </c>
      <c r="F1085" s="219">
        <v>0.24030000000000001</v>
      </c>
    </row>
    <row r="1086" spans="1:6" ht="12" thickBot="1">
      <c r="A1086" s="216">
        <v>34225</v>
      </c>
      <c r="B1086" s="217">
        <v>34231</v>
      </c>
      <c r="C1086" s="218">
        <v>0.2427</v>
      </c>
      <c r="D1086" s="218">
        <v>0.25109999999999999</v>
      </c>
      <c r="E1086" s="218">
        <v>0.25619999999999998</v>
      </c>
      <c r="F1086" s="219">
        <v>0.24060000000000001</v>
      </c>
    </row>
    <row r="1087" spans="1:6" ht="12" thickBot="1">
      <c r="A1087" s="216">
        <v>34218</v>
      </c>
      <c r="B1087" s="217">
        <v>34224</v>
      </c>
      <c r="C1087" s="218">
        <v>0.24279999999999999</v>
      </c>
      <c r="D1087" s="218">
        <v>0.24859999999999999</v>
      </c>
      <c r="E1087" s="218">
        <v>0.25530000000000003</v>
      </c>
      <c r="F1087" s="219">
        <v>0.2412</v>
      </c>
    </row>
    <row r="1088" spans="1:6" ht="12" thickBot="1">
      <c r="A1088" s="216">
        <v>34211</v>
      </c>
      <c r="B1088" s="217">
        <v>34217</v>
      </c>
      <c r="C1088" s="218">
        <v>0.24340000000000001</v>
      </c>
      <c r="D1088" s="218">
        <v>0.25040000000000001</v>
      </c>
      <c r="E1088" s="218">
        <v>0.25180000000000002</v>
      </c>
      <c r="F1088" s="219">
        <v>0.24310000000000001</v>
      </c>
    </row>
    <row r="1089" spans="1:6" ht="12" thickBot="1">
      <c r="A1089" s="216">
        <v>34204</v>
      </c>
      <c r="B1089" s="217">
        <v>34210</v>
      </c>
      <c r="C1089" s="218">
        <v>0.24529999999999999</v>
      </c>
      <c r="D1089" s="218">
        <v>0.2515</v>
      </c>
      <c r="E1089" s="218">
        <v>0.25879999999999997</v>
      </c>
      <c r="F1089" s="219">
        <v>0.24779999999999999</v>
      </c>
    </row>
    <row r="1090" spans="1:6" ht="12" thickBot="1">
      <c r="A1090" s="216">
        <v>34197</v>
      </c>
      <c r="B1090" s="217">
        <v>34203</v>
      </c>
      <c r="C1090" s="218">
        <v>0.246</v>
      </c>
      <c r="D1090" s="218">
        <v>0.25230000000000002</v>
      </c>
      <c r="E1090" s="218">
        <v>0.26429999999999998</v>
      </c>
      <c r="F1090" s="219">
        <v>0.24629999999999999</v>
      </c>
    </row>
    <row r="1091" spans="1:6" ht="12" thickBot="1">
      <c r="A1091" s="216">
        <v>34190</v>
      </c>
      <c r="B1091" s="217">
        <v>34196</v>
      </c>
      <c r="C1091" s="218">
        <v>0.2422</v>
      </c>
      <c r="D1091" s="218">
        <v>0.25609999999999999</v>
      </c>
      <c r="E1091" s="218">
        <v>0.26490000000000002</v>
      </c>
      <c r="F1091" s="219">
        <v>0.25230000000000002</v>
      </c>
    </row>
    <row r="1092" spans="1:6" ht="12" thickBot="1">
      <c r="A1092" s="216">
        <v>34183</v>
      </c>
      <c r="B1092" s="217">
        <v>34189</v>
      </c>
      <c r="C1092" s="218">
        <v>0.25369999999999998</v>
      </c>
      <c r="D1092" s="218">
        <v>0.26290000000000002</v>
      </c>
      <c r="E1092" s="218">
        <v>0.26540000000000002</v>
      </c>
      <c r="F1092" s="219">
        <v>0.25490000000000002</v>
      </c>
    </row>
    <row r="1093" spans="1:6" ht="12" thickBot="1">
      <c r="A1093" s="216">
        <v>34176</v>
      </c>
      <c r="B1093" s="217">
        <v>34182</v>
      </c>
      <c r="C1093" s="218">
        <v>0.25950000000000001</v>
      </c>
      <c r="D1093" s="218">
        <v>0.26179999999999998</v>
      </c>
      <c r="E1093" s="218">
        <v>0.27339999999999998</v>
      </c>
      <c r="F1093" s="219">
        <v>0.26290000000000002</v>
      </c>
    </row>
    <row r="1094" spans="1:6" ht="12" thickBot="1">
      <c r="A1094" s="216">
        <v>34169</v>
      </c>
      <c r="B1094" s="217">
        <v>34175</v>
      </c>
      <c r="C1094" s="218">
        <v>0.25769999999999998</v>
      </c>
      <c r="D1094" s="218">
        <v>0.26450000000000001</v>
      </c>
      <c r="E1094" s="218">
        <v>0.27179999999999999</v>
      </c>
      <c r="F1094" s="219">
        <v>0.26100000000000001</v>
      </c>
    </row>
    <row r="1095" spans="1:6" ht="12" thickBot="1">
      <c r="A1095" s="216">
        <v>34162</v>
      </c>
      <c r="B1095" s="217">
        <v>34168</v>
      </c>
      <c r="C1095" s="218">
        <v>0.25990000000000002</v>
      </c>
      <c r="D1095" s="218">
        <v>0.26490000000000002</v>
      </c>
      <c r="E1095" s="218">
        <v>0.26800000000000002</v>
      </c>
      <c r="F1095" s="219">
        <v>0.2646</v>
      </c>
    </row>
    <row r="1096" spans="1:6" ht="12" thickBot="1">
      <c r="A1096" s="216">
        <v>34155</v>
      </c>
      <c r="B1096" s="217">
        <v>34161</v>
      </c>
      <c r="C1096" s="218">
        <v>0.2641</v>
      </c>
      <c r="D1096" s="221"/>
      <c r="E1096" s="221"/>
      <c r="F1096" s="219">
        <v>0.26229999999999998</v>
      </c>
    </row>
    <row r="1097" spans="1:6" ht="12" thickBot="1">
      <c r="A1097" s="216">
        <v>34148</v>
      </c>
      <c r="B1097" s="217">
        <v>34154</v>
      </c>
      <c r="C1097" s="218">
        <v>0.26469999999999999</v>
      </c>
      <c r="D1097" s="221"/>
      <c r="E1097" s="221"/>
      <c r="F1097" s="219">
        <v>0.26329999999999998</v>
      </c>
    </row>
    <row r="1098" spans="1:6" ht="12" thickBot="1">
      <c r="A1098" s="216">
        <v>34141</v>
      </c>
      <c r="B1098" s="217">
        <v>34147</v>
      </c>
      <c r="C1098" s="218">
        <v>0.26740000000000003</v>
      </c>
      <c r="D1098" s="221"/>
      <c r="E1098" s="221"/>
      <c r="F1098" s="219">
        <v>0.26519999999999999</v>
      </c>
    </row>
    <row r="1099" spans="1:6" ht="12" thickBot="1">
      <c r="A1099" s="216">
        <v>34134</v>
      </c>
      <c r="B1099" s="217">
        <v>34140</v>
      </c>
      <c r="C1099" s="218">
        <v>0.26579999999999998</v>
      </c>
      <c r="D1099" s="221"/>
      <c r="E1099" s="221"/>
      <c r="F1099" s="219">
        <v>0.26050000000000001</v>
      </c>
    </row>
    <row r="1100" spans="1:6" ht="12" thickBot="1">
      <c r="A1100" s="216">
        <v>34127</v>
      </c>
      <c r="B1100" s="217">
        <v>34133</v>
      </c>
      <c r="C1100" s="218">
        <v>0.2621</v>
      </c>
      <c r="D1100" s="221"/>
      <c r="E1100" s="221"/>
      <c r="F1100" s="219">
        <v>0.25869999999999999</v>
      </c>
    </row>
    <row r="1101" spans="1:6" ht="12" thickBot="1">
      <c r="A1101" s="216">
        <v>34120</v>
      </c>
      <c r="B1101" s="217">
        <v>34126</v>
      </c>
      <c r="C1101" s="218">
        <v>0.26140000000000002</v>
      </c>
      <c r="D1101" s="221"/>
      <c r="E1101" s="221"/>
      <c r="F1101" s="219">
        <v>0.25850000000000001</v>
      </c>
    </row>
    <row r="1102" spans="1:6" ht="12" thickBot="1">
      <c r="A1102" s="216">
        <v>34113</v>
      </c>
      <c r="B1102" s="217">
        <v>34119</v>
      </c>
      <c r="C1102" s="218">
        <v>0.26419999999999999</v>
      </c>
      <c r="D1102" s="221"/>
      <c r="E1102" s="221"/>
      <c r="F1102" s="219">
        <v>0.26100000000000001</v>
      </c>
    </row>
    <row r="1103" spans="1:6" ht="12" thickBot="1">
      <c r="A1103" s="216">
        <v>34106</v>
      </c>
      <c r="B1103" s="217">
        <v>34112</v>
      </c>
      <c r="C1103" s="218">
        <v>0.26450000000000001</v>
      </c>
      <c r="D1103" s="221"/>
      <c r="E1103" s="221"/>
      <c r="F1103" s="219">
        <v>0.26169999999999999</v>
      </c>
    </row>
    <row r="1104" spans="1:6" ht="12" thickBot="1">
      <c r="A1104" s="216">
        <v>34099</v>
      </c>
      <c r="B1104" s="217">
        <v>34105</v>
      </c>
      <c r="C1104" s="218">
        <v>0.26390000000000002</v>
      </c>
      <c r="D1104" s="221"/>
      <c r="E1104" s="221"/>
      <c r="F1104" s="219">
        <v>0.26119999999999999</v>
      </c>
    </row>
    <row r="1105" spans="1:6" ht="12" thickBot="1">
      <c r="A1105" s="216">
        <v>34092</v>
      </c>
      <c r="B1105" s="217">
        <v>34098</v>
      </c>
      <c r="C1105" s="218">
        <v>0.26579999999999998</v>
      </c>
      <c r="D1105" s="221"/>
      <c r="E1105" s="221"/>
      <c r="F1105" s="219">
        <v>0.25979999999999998</v>
      </c>
    </row>
    <row r="1106" spans="1:6" ht="12" thickBot="1">
      <c r="A1106" s="216">
        <v>34085</v>
      </c>
      <c r="B1106" s="217">
        <v>34091</v>
      </c>
      <c r="C1106" s="218">
        <v>0.26960000000000001</v>
      </c>
      <c r="D1106" s="221"/>
      <c r="E1106" s="221"/>
      <c r="F1106" s="219">
        <v>0.27079999999999999</v>
      </c>
    </row>
    <row r="1107" spans="1:6" ht="12" thickBot="1">
      <c r="A1107" s="216">
        <v>34078</v>
      </c>
      <c r="B1107" s="217">
        <v>34084</v>
      </c>
      <c r="C1107" s="218">
        <v>0.26819999999999999</v>
      </c>
      <c r="D1107" s="221"/>
      <c r="E1107" s="221"/>
      <c r="F1107" s="219">
        <v>0.2631</v>
      </c>
    </row>
    <row r="1108" spans="1:6" ht="12" thickBot="1">
      <c r="A1108" s="216">
        <v>34071</v>
      </c>
      <c r="B1108" s="217">
        <v>34077</v>
      </c>
      <c r="C1108" s="218">
        <v>0.26900000000000002</v>
      </c>
      <c r="D1108" s="221"/>
      <c r="E1108" s="221"/>
      <c r="F1108" s="219">
        <v>0.26779999999999998</v>
      </c>
    </row>
    <row r="1109" spans="1:6" ht="12" thickBot="1">
      <c r="A1109" s="216">
        <v>34064</v>
      </c>
      <c r="B1109" s="217">
        <v>34070</v>
      </c>
      <c r="C1109" s="218">
        <v>0.27039999999999997</v>
      </c>
      <c r="D1109" s="221"/>
      <c r="E1109" s="221"/>
      <c r="F1109" s="219">
        <v>0.26290000000000002</v>
      </c>
    </row>
    <row r="1110" spans="1:6" ht="12" thickBot="1">
      <c r="A1110" s="216">
        <v>34057</v>
      </c>
      <c r="B1110" s="217">
        <v>34063</v>
      </c>
      <c r="C1110" s="218">
        <v>0.26900000000000002</v>
      </c>
      <c r="D1110" s="221"/>
      <c r="E1110" s="221"/>
      <c r="F1110" s="219">
        <v>0.26019999999999999</v>
      </c>
    </row>
    <row r="1111" spans="1:6" ht="12" thickBot="1">
      <c r="A1111" s="216">
        <v>34050</v>
      </c>
      <c r="B1111" s="217">
        <v>34056</v>
      </c>
      <c r="C1111" s="218">
        <v>0.26840000000000003</v>
      </c>
      <c r="D1111" s="221"/>
      <c r="E1111" s="221"/>
      <c r="F1111" s="219">
        <v>0.26269999999999999</v>
      </c>
    </row>
    <row r="1112" spans="1:6" ht="12" thickBot="1">
      <c r="A1112" s="216">
        <v>34043</v>
      </c>
      <c r="B1112" s="217">
        <v>34049</v>
      </c>
      <c r="C1112" s="218">
        <v>0.26579999999999998</v>
      </c>
      <c r="D1112" s="221"/>
      <c r="E1112" s="221"/>
      <c r="F1112" s="219">
        <v>0.26069999999999999</v>
      </c>
    </row>
    <row r="1113" spans="1:6" ht="12" thickBot="1">
      <c r="A1113" s="216">
        <v>34036</v>
      </c>
      <c r="B1113" s="217">
        <v>34042</v>
      </c>
      <c r="C1113" s="218">
        <v>0.26490000000000002</v>
      </c>
      <c r="D1113" s="221"/>
      <c r="E1113" s="221"/>
      <c r="F1113" s="219">
        <v>0.25900000000000001</v>
      </c>
    </row>
    <row r="1114" spans="1:6" ht="12" thickBot="1">
      <c r="A1114" s="216">
        <v>34029</v>
      </c>
      <c r="B1114" s="217">
        <v>34035</v>
      </c>
      <c r="C1114" s="218">
        <v>0.26450000000000001</v>
      </c>
      <c r="D1114" s="221"/>
      <c r="E1114" s="221"/>
      <c r="F1114" s="219">
        <v>0.25819999999999999</v>
      </c>
    </row>
    <row r="1115" spans="1:6" ht="12" thickBot="1">
      <c r="A1115" s="216">
        <v>34022</v>
      </c>
      <c r="B1115" s="217">
        <v>34028</v>
      </c>
      <c r="C1115" s="218">
        <v>0.26290000000000002</v>
      </c>
      <c r="D1115" s="221"/>
      <c r="E1115" s="221"/>
      <c r="F1115" s="219">
        <v>0.2586</v>
      </c>
    </row>
    <row r="1116" spans="1:6" ht="12" thickBot="1">
      <c r="A1116" s="216">
        <v>34015</v>
      </c>
      <c r="B1116" s="217">
        <v>34021</v>
      </c>
      <c r="C1116" s="218">
        <v>0.25850000000000001</v>
      </c>
      <c r="D1116" s="221"/>
      <c r="E1116" s="221"/>
      <c r="F1116" s="219">
        <v>0.25430000000000003</v>
      </c>
    </row>
    <row r="1117" spans="1:6" ht="12" thickBot="1">
      <c r="A1117" s="216">
        <v>34008</v>
      </c>
      <c r="B1117" s="217">
        <v>34014</v>
      </c>
      <c r="C1117" s="218">
        <v>0.25740000000000002</v>
      </c>
      <c r="D1117" s="221"/>
      <c r="E1117" s="221"/>
      <c r="F1117" s="219">
        <v>0.25650000000000001</v>
      </c>
    </row>
    <row r="1118" spans="1:6" ht="12" thickBot="1">
      <c r="A1118" s="216">
        <v>34001</v>
      </c>
      <c r="B1118" s="217">
        <v>34007</v>
      </c>
      <c r="C1118" s="218">
        <v>0.25950000000000001</v>
      </c>
      <c r="D1118" s="221"/>
      <c r="E1118" s="221"/>
      <c r="F1118" s="219">
        <v>0.25750000000000001</v>
      </c>
    </row>
    <row r="1119" spans="1:6" ht="12" thickBot="1">
      <c r="A1119" s="216">
        <v>33994</v>
      </c>
      <c r="B1119" s="217">
        <v>34000</v>
      </c>
      <c r="C1119" s="218">
        <v>0.26179999999999998</v>
      </c>
      <c r="D1119" s="221"/>
      <c r="E1119" s="221"/>
      <c r="F1119" s="219">
        <v>0.2591</v>
      </c>
    </row>
    <row r="1120" spans="1:6" ht="12" thickBot="1">
      <c r="A1120" s="216">
        <v>33987</v>
      </c>
      <c r="B1120" s="217">
        <v>33993</v>
      </c>
      <c r="C1120" s="218">
        <v>0.26860000000000001</v>
      </c>
      <c r="D1120" s="221"/>
      <c r="E1120" s="221"/>
      <c r="F1120" s="219">
        <v>0.27</v>
      </c>
    </row>
    <row r="1121" spans="1:6" ht="12" thickBot="1">
      <c r="A1121" s="216">
        <v>33980</v>
      </c>
      <c r="B1121" s="217">
        <v>33986</v>
      </c>
      <c r="C1121" s="218">
        <v>0.27539999999999998</v>
      </c>
      <c r="D1121" s="221"/>
      <c r="E1121" s="221"/>
      <c r="F1121" s="219">
        <v>0.2792</v>
      </c>
    </row>
    <row r="1122" spans="1:6" ht="12" thickBot="1">
      <c r="A1122" s="216">
        <v>33973</v>
      </c>
      <c r="B1122" s="217">
        <v>33979</v>
      </c>
      <c r="C1122" s="218">
        <v>0.2767</v>
      </c>
      <c r="D1122" s="221"/>
      <c r="E1122" s="221"/>
      <c r="F1122" s="219">
        <v>0.27850000000000003</v>
      </c>
    </row>
    <row r="1123" spans="1:6" ht="12" thickBot="1">
      <c r="A1123" s="216">
        <v>33966</v>
      </c>
      <c r="B1123" s="217">
        <v>33972</v>
      </c>
      <c r="C1123" s="218">
        <v>0.2767</v>
      </c>
      <c r="D1123" s="221"/>
      <c r="E1123" s="221"/>
      <c r="F1123" s="219">
        <v>0.27660000000000001</v>
      </c>
    </row>
    <row r="1124" spans="1:6" ht="12" thickBot="1">
      <c r="A1124" s="216">
        <v>33959</v>
      </c>
      <c r="B1124" s="217">
        <v>33965</v>
      </c>
      <c r="C1124" s="218">
        <v>0.2712</v>
      </c>
      <c r="D1124" s="221"/>
      <c r="E1124" s="221"/>
      <c r="F1124" s="219">
        <v>0.27229999999999999</v>
      </c>
    </row>
    <row r="1125" spans="1:6" ht="12" thickBot="1">
      <c r="A1125" s="216">
        <v>33952</v>
      </c>
      <c r="B1125" s="217">
        <v>33958</v>
      </c>
      <c r="C1125" s="218">
        <v>0.27039999999999997</v>
      </c>
      <c r="D1125" s="221"/>
      <c r="E1125" s="221"/>
      <c r="F1125" s="219">
        <v>0.27189999999999998</v>
      </c>
    </row>
    <row r="1126" spans="1:6" ht="12" thickBot="1">
      <c r="A1126" s="216">
        <v>33945</v>
      </c>
      <c r="B1126" s="217">
        <v>33951</v>
      </c>
      <c r="C1126" s="218">
        <v>0.2697</v>
      </c>
      <c r="D1126" s="221"/>
      <c r="E1126" s="221"/>
      <c r="F1126" s="219">
        <v>0.27079999999999999</v>
      </c>
    </row>
    <row r="1127" spans="1:6" ht="12" thickBot="1">
      <c r="A1127" s="216">
        <v>33938</v>
      </c>
      <c r="B1127" s="217">
        <v>33944</v>
      </c>
      <c r="C1127" s="218">
        <v>0.26729999999999998</v>
      </c>
      <c r="D1127" s="221"/>
      <c r="E1127" s="221"/>
      <c r="F1127" s="219">
        <v>0.2697</v>
      </c>
    </row>
    <row r="1128" spans="1:6" ht="12" thickBot="1">
      <c r="A1128" s="216">
        <v>33931</v>
      </c>
      <c r="B1128" s="217">
        <v>33937</v>
      </c>
      <c r="C1128" s="218">
        <v>0.26919999999999999</v>
      </c>
      <c r="D1128" s="221"/>
      <c r="E1128" s="221"/>
      <c r="F1128" s="219">
        <v>0.27189999999999998</v>
      </c>
    </row>
    <row r="1129" spans="1:6" ht="12" thickBot="1">
      <c r="A1129" s="216">
        <v>33924</v>
      </c>
      <c r="B1129" s="217">
        <v>33930</v>
      </c>
      <c r="C1129" s="218">
        <v>0.26939999999999997</v>
      </c>
      <c r="D1129" s="221"/>
      <c r="E1129" s="221"/>
      <c r="F1129" s="219">
        <v>0.27460000000000001</v>
      </c>
    </row>
    <row r="1130" spans="1:6" ht="12" thickBot="1">
      <c r="A1130" s="216">
        <v>33917</v>
      </c>
      <c r="B1130" s="217">
        <v>33923</v>
      </c>
      <c r="C1130" s="218">
        <v>0.27239999999999998</v>
      </c>
      <c r="D1130" s="221"/>
      <c r="E1130" s="221"/>
      <c r="F1130" s="219">
        <v>0.27650000000000002</v>
      </c>
    </row>
    <row r="1131" spans="1:6" ht="12" thickBot="1">
      <c r="A1131" s="216">
        <v>33910</v>
      </c>
      <c r="B1131" s="217">
        <v>33916</v>
      </c>
      <c r="C1131" s="218">
        <v>0.27360000000000001</v>
      </c>
      <c r="D1131" s="221"/>
      <c r="E1131" s="221"/>
      <c r="F1131" s="219">
        <v>0.27610000000000001</v>
      </c>
    </row>
    <row r="1132" spans="1:6" ht="12" thickBot="1">
      <c r="A1132" s="216">
        <v>33903</v>
      </c>
      <c r="B1132" s="217">
        <v>33909</v>
      </c>
      <c r="C1132" s="218">
        <v>0.28139999999999998</v>
      </c>
      <c r="D1132" s="221"/>
      <c r="E1132" s="221"/>
      <c r="F1132" s="219">
        <v>0.28039999999999998</v>
      </c>
    </row>
    <row r="1133" spans="1:6" ht="12" thickBot="1">
      <c r="A1133" s="216">
        <v>33896</v>
      </c>
      <c r="B1133" s="217">
        <v>33902</v>
      </c>
      <c r="C1133" s="218">
        <v>0.27729999999999999</v>
      </c>
      <c r="D1133" s="221"/>
      <c r="E1133" s="221"/>
      <c r="F1133" s="219">
        <v>0.2767</v>
      </c>
    </row>
    <row r="1134" spans="1:6" ht="12" thickBot="1">
      <c r="A1134" s="216">
        <v>33889</v>
      </c>
      <c r="B1134" s="217">
        <v>33895</v>
      </c>
      <c r="C1134" s="218">
        <v>0.27200000000000002</v>
      </c>
      <c r="D1134" s="221"/>
      <c r="E1134" s="221"/>
      <c r="F1134" s="219">
        <v>0.27339999999999998</v>
      </c>
    </row>
    <row r="1135" spans="1:6" ht="12" thickBot="1">
      <c r="A1135" s="216">
        <v>33882</v>
      </c>
      <c r="B1135" s="217">
        <v>33888</v>
      </c>
      <c r="C1135" s="218">
        <v>0.27400000000000002</v>
      </c>
      <c r="D1135" s="221"/>
      <c r="E1135" s="221"/>
      <c r="F1135" s="219">
        <v>0.2747</v>
      </c>
    </row>
    <row r="1136" spans="1:6" ht="12" thickBot="1">
      <c r="A1136" s="216">
        <v>33875</v>
      </c>
      <c r="B1136" s="217">
        <v>33881</v>
      </c>
      <c r="C1136" s="218">
        <v>0.27160000000000001</v>
      </c>
      <c r="D1136" s="221"/>
      <c r="E1136" s="221"/>
      <c r="F1136" s="219">
        <v>0.27539999999999998</v>
      </c>
    </row>
    <row r="1137" spans="1:6" ht="12" thickBot="1">
      <c r="A1137" s="216">
        <v>33868</v>
      </c>
      <c r="B1137" s="217">
        <v>33874</v>
      </c>
      <c r="C1137" s="218">
        <v>0.27089999999999997</v>
      </c>
      <c r="D1137" s="221"/>
      <c r="E1137" s="221"/>
      <c r="F1137" s="219">
        <v>0.27189999999999998</v>
      </c>
    </row>
    <row r="1138" spans="1:6" ht="12" thickBot="1">
      <c r="A1138" s="216">
        <v>33861</v>
      </c>
      <c r="B1138" s="217">
        <v>33867</v>
      </c>
      <c r="C1138" s="218">
        <v>0.2767</v>
      </c>
      <c r="D1138" s="221"/>
      <c r="E1138" s="221"/>
      <c r="F1138" s="219">
        <v>0.2732</v>
      </c>
    </row>
    <row r="1139" spans="1:6" ht="12" thickBot="1">
      <c r="A1139" s="216">
        <v>33854</v>
      </c>
      <c r="B1139" s="217">
        <v>33860</v>
      </c>
      <c r="C1139" s="218">
        <v>0.27360000000000001</v>
      </c>
      <c r="D1139" s="221"/>
      <c r="E1139" s="221"/>
      <c r="F1139" s="219">
        <v>0.27129999999999999</v>
      </c>
    </row>
    <row r="1140" spans="1:6" ht="12" thickBot="1">
      <c r="A1140" s="216">
        <v>33847</v>
      </c>
      <c r="B1140" s="217">
        <v>33853</v>
      </c>
      <c r="C1140" s="218">
        <v>0.26029999999999998</v>
      </c>
      <c r="D1140" s="221"/>
      <c r="E1140" s="221"/>
      <c r="F1140" s="219">
        <v>0.26490000000000002</v>
      </c>
    </row>
    <row r="1141" spans="1:6" ht="12" thickBot="1">
      <c r="A1141" s="216">
        <v>33840</v>
      </c>
      <c r="B1141" s="217">
        <v>33846</v>
      </c>
      <c r="C1141" s="218">
        <v>0.2432</v>
      </c>
      <c r="D1141" s="221"/>
      <c r="E1141" s="221"/>
      <c r="F1141" s="219">
        <v>0.24590000000000001</v>
      </c>
    </row>
    <row r="1142" spans="1:6" ht="12" thickBot="1">
      <c r="A1142" s="216">
        <v>33833</v>
      </c>
      <c r="B1142" s="217">
        <v>33839</v>
      </c>
      <c r="C1142" s="218">
        <v>0.23069999999999999</v>
      </c>
      <c r="D1142" s="221"/>
      <c r="E1142" s="221"/>
      <c r="F1142" s="219">
        <v>0.22339999999999999</v>
      </c>
    </row>
    <row r="1143" spans="1:6" ht="12" thickBot="1">
      <c r="A1143" s="216">
        <v>33826</v>
      </c>
      <c r="B1143" s="217">
        <v>33832</v>
      </c>
      <c r="C1143" s="218">
        <v>0.22309999999999999</v>
      </c>
      <c r="D1143" s="221"/>
      <c r="E1143" s="221"/>
      <c r="F1143" s="219">
        <v>0.22090000000000001</v>
      </c>
    </row>
    <row r="1144" spans="1:6" ht="12" thickBot="1">
      <c r="A1144" s="216">
        <v>33819</v>
      </c>
      <c r="B1144" s="217">
        <v>33825</v>
      </c>
      <c r="C1144" s="218">
        <v>0.2198</v>
      </c>
      <c r="D1144" s="221"/>
      <c r="E1144" s="221"/>
      <c r="F1144" s="219">
        <v>0.21709999999999999</v>
      </c>
    </row>
    <row r="1145" spans="1:6" ht="12" thickBot="1">
      <c r="A1145" s="216">
        <v>33812</v>
      </c>
      <c r="B1145" s="217">
        <v>33818</v>
      </c>
      <c r="C1145" s="218">
        <v>0.2152</v>
      </c>
      <c r="D1145" s="221"/>
      <c r="E1145" s="221"/>
      <c r="F1145" s="219">
        <v>0.21160000000000001</v>
      </c>
    </row>
    <row r="1146" spans="1:6" ht="12" thickBot="1">
      <c r="A1146" s="216">
        <v>33805</v>
      </c>
      <c r="B1146" s="217">
        <v>33811</v>
      </c>
      <c r="C1146" s="218">
        <v>0.21829999999999999</v>
      </c>
      <c r="D1146" s="221"/>
      <c r="E1146" s="221"/>
      <c r="F1146" s="219">
        <v>0.2172</v>
      </c>
    </row>
    <row r="1147" spans="1:6" ht="12" thickBot="1">
      <c r="A1147" s="216">
        <v>33798</v>
      </c>
      <c r="B1147" s="217">
        <v>33804</v>
      </c>
      <c r="C1147" s="218">
        <v>0.2185</v>
      </c>
      <c r="D1147" s="221"/>
      <c r="E1147" s="221"/>
      <c r="F1147" s="219">
        <v>0.21990000000000001</v>
      </c>
    </row>
    <row r="1148" spans="1:6" ht="12" thickBot="1">
      <c r="A1148" s="216">
        <v>33791</v>
      </c>
      <c r="B1148" s="217">
        <v>33797</v>
      </c>
      <c r="C1148" s="218">
        <v>0.2225</v>
      </c>
      <c r="D1148" s="221"/>
      <c r="E1148" s="221"/>
      <c r="F1148" s="219">
        <v>0.22370000000000001</v>
      </c>
    </row>
    <row r="1149" spans="1:6" ht="12" thickBot="1">
      <c r="A1149" s="216">
        <v>33784</v>
      </c>
      <c r="B1149" s="217">
        <v>33790</v>
      </c>
      <c r="C1149" s="218">
        <v>0.22639999999999999</v>
      </c>
      <c r="D1149" s="221"/>
      <c r="E1149" s="221"/>
      <c r="F1149" s="219">
        <v>0.2268</v>
      </c>
    </row>
    <row r="1150" spans="1:6" ht="12" thickBot="1">
      <c r="A1150" s="216">
        <v>33777</v>
      </c>
      <c r="B1150" s="217">
        <v>33783</v>
      </c>
      <c r="C1150" s="218">
        <v>0.23050000000000001</v>
      </c>
      <c r="D1150" s="221"/>
      <c r="E1150" s="221"/>
      <c r="F1150" s="219">
        <v>0.23280000000000001</v>
      </c>
    </row>
    <row r="1151" spans="1:6" ht="12" thickBot="1">
      <c r="A1151" s="216">
        <v>33770</v>
      </c>
      <c r="B1151" s="217">
        <v>33776</v>
      </c>
      <c r="C1151" s="218">
        <v>0.2303</v>
      </c>
      <c r="D1151" s="221"/>
      <c r="E1151" s="221"/>
      <c r="F1151" s="219">
        <v>0.2354</v>
      </c>
    </row>
    <row r="1152" spans="1:6" ht="12" thickBot="1">
      <c r="A1152" s="216">
        <v>33763</v>
      </c>
      <c r="B1152" s="217">
        <v>33769</v>
      </c>
      <c r="C1152" s="218">
        <v>0.23499999999999999</v>
      </c>
      <c r="D1152" s="221"/>
      <c r="E1152" s="221"/>
      <c r="F1152" s="219">
        <v>0.24310000000000001</v>
      </c>
    </row>
    <row r="1153" spans="1:6" ht="12" thickBot="1">
      <c r="A1153" s="216">
        <v>33756</v>
      </c>
      <c r="B1153" s="217">
        <v>33762</v>
      </c>
      <c r="C1153" s="218">
        <v>0.2394</v>
      </c>
      <c r="D1153" s="221"/>
      <c r="E1153" s="221"/>
      <c r="F1153" s="219">
        <v>0.24879999999999999</v>
      </c>
    </row>
    <row r="1154" spans="1:6" ht="12" thickBot="1">
      <c r="A1154" s="216">
        <v>33749</v>
      </c>
      <c r="B1154" s="217">
        <v>33755</v>
      </c>
      <c r="C1154" s="218">
        <v>0.24179999999999999</v>
      </c>
      <c r="D1154" s="221"/>
      <c r="E1154" s="221"/>
      <c r="F1154" s="219">
        <v>0.25540000000000002</v>
      </c>
    </row>
    <row r="1155" spans="1:6" ht="12" thickBot="1">
      <c r="A1155" s="216">
        <v>33742</v>
      </c>
      <c r="B1155" s="217">
        <v>33748</v>
      </c>
      <c r="C1155" s="218">
        <v>0.251</v>
      </c>
      <c r="D1155" s="221"/>
      <c r="E1155" s="221"/>
      <c r="F1155" s="219">
        <v>0.26179999999999998</v>
      </c>
    </row>
    <row r="1156" spans="1:6" ht="12" thickBot="1">
      <c r="A1156" s="216">
        <v>33735</v>
      </c>
      <c r="B1156" s="217">
        <v>33741</v>
      </c>
      <c r="C1156" s="218">
        <v>0.25929999999999997</v>
      </c>
      <c r="D1156" s="221"/>
      <c r="E1156" s="221"/>
      <c r="F1156" s="219">
        <v>0.26719999999999999</v>
      </c>
    </row>
    <row r="1157" spans="1:6" ht="12" thickBot="1">
      <c r="A1157" s="216">
        <v>33728</v>
      </c>
      <c r="B1157" s="217">
        <v>33734</v>
      </c>
      <c r="C1157" s="218">
        <v>0.26650000000000001</v>
      </c>
      <c r="D1157" s="221"/>
      <c r="E1157" s="221"/>
      <c r="F1157" s="219">
        <v>0.2681</v>
      </c>
    </row>
    <row r="1158" spans="1:6" ht="12" thickBot="1">
      <c r="A1158" s="216">
        <v>33721</v>
      </c>
      <c r="B1158" s="217">
        <v>33727</v>
      </c>
      <c r="C1158" s="218">
        <v>0.26300000000000001</v>
      </c>
      <c r="D1158" s="221"/>
      <c r="E1158" s="221"/>
      <c r="F1158" s="219">
        <v>0.27279999999999999</v>
      </c>
    </row>
    <row r="1159" spans="1:6" ht="12" thickBot="1">
      <c r="A1159" s="216">
        <v>33714</v>
      </c>
      <c r="B1159" s="217">
        <v>33720</v>
      </c>
      <c r="C1159" s="218">
        <v>0.2712</v>
      </c>
      <c r="D1159" s="221"/>
      <c r="E1159" s="221"/>
      <c r="F1159" s="219">
        <v>0.2777</v>
      </c>
    </row>
    <row r="1160" spans="1:6" ht="12" thickBot="1">
      <c r="A1160" s="216">
        <v>33707</v>
      </c>
      <c r="B1160" s="217">
        <v>33713</v>
      </c>
      <c r="C1160" s="218">
        <v>0.27689999999999998</v>
      </c>
      <c r="D1160" s="221"/>
      <c r="E1160" s="221"/>
      <c r="F1160" s="219">
        <v>0.28110000000000002</v>
      </c>
    </row>
    <row r="1161" spans="1:6" ht="12" thickBot="1">
      <c r="A1161" s="216">
        <v>33700</v>
      </c>
      <c r="B1161" s="217">
        <v>33706</v>
      </c>
      <c r="C1161" s="218">
        <v>0.2792</v>
      </c>
      <c r="D1161" s="221"/>
      <c r="E1161" s="221"/>
      <c r="F1161" s="219">
        <v>0.28360000000000002</v>
      </c>
    </row>
    <row r="1162" spans="1:6" ht="12" thickBot="1">
      <c r="A1162" s="216">
        <v>33693</v>
      </c>
      <c r="B1162" s="217">
        <v>33699</v>
      </c>
      <c r="C1162" s="218">
        <v>0.28399999999999997</v>
      </c>
      <c r="D1162" s="221"/>
      <c r="E1162" s="221"/>
      <c r="F1162" s="219">
        <v>0.28549999999999998</v>
      </c>
    </row>
    <row r="1163" spans="1:6" ht="12" thickBot="1">
      <c r="A1163" s="216">
        <v>33686</v>
      </c>
      <c r="B1163" s="217">
        <v>33692</v>
      </c>
      <c r="C1163" s="218">
        <v>0.28189999999999998</v>
      </c>
      <c r="D1163" s="221"/>
      <c r="E1163" s="221"/>
      <c r="F1163" s="219">
        <v>0.28489999999999999</v>
      </c>
    </row>
    <row r="1164" spans="1:6" ht="12" thickBot="1">
      <c r="A1164" s="216">
        <v>33679</v>
      </c>
      <c r="B1164" s="217">
        <v>33685</v>
      </c>
      <c r="C1164" s="218">
        <v>0.28560000000000002</v>
      </c>
      <c r="D1164" s="221"/>
      <c r="E1164" s="221"/>
      <c r="F1164" s="219">
        <v>0.28670000000000001</v>
      </c>
    </row>
    <row r="1165" spans="1:6" ht="12" thickBot="1">
      <c r="A1165" s="216">
        <v>33672</v>
      </c>
      <c r="B1165" s="217">
        <v>33678</v>
      </c>
      <c r="C1165" s="218">
        <v>0.28860000000000002</v>
      </c>
      <c r="D1165" s="221"/>
      <c r="E1165" s="221"/>
      <c r="F1165" s="219">
        <v>0.28989999999999999</v>
      </c>
    </row>
    <row r="1166" spans="1:6" ht="12" thickBot="1">
      <c r="A1166" s="216">
        <v>33665</v>
      </c>
      <c r="B1166" s="217">
        <v>33671</v>
      </c>
      <c r="C1166" s="218">
        <v>0.28899999999999998</v>
      </c>
      <c r="D1166" s="221"/>
      <c r="E1166" s="221"/>
      <c r="F1166" s="219">
        <v>0.29449999999999998</v>
      </c>
    </row>
    <row r="1167" spans="1:6" ht="12" thickBot="1">
      <c r="A1167" s="216">
        <v>33658</v>
      </c>
      <c r="B1167" s="217">
        <v>33664</v>
      </c>
      <c r="C1167" s="218">
        <v>0.28249999999999997</v>
      </c>
      <c r="D1167" s="221"/>
      <c r="E1167" s="221"/>
      <c r="F1167" s="219">
        <v>0.28670000000000001</v>
      </c>
    </row>
    <row r="1168" spans="1:6" ht="12" thickBot="1">
      <c r="A1168" s="216">
        <v>33651</v>
      </c>
      <c r="B1168" s="217">
        <v>33657</v>
      </c>
      <c r="C1168" s="218">
        <v>0.28749999999999998</v>
      </c>
      <c r="D1168" s="221"/>
      <c r="E1168" s="221"/>
      <c r="F1168" s="219">
        <v>0.30099999999999999</v>
      </c>
    </row>
    <row r="1169" spans="1:6" ht="12" thickBot="1">
      <c r="A1169" s="216">
        <v>33644</v>
      </c>
      <c r="B1169" s="217">
        <v>33650</v>
      </c>
      <c r="C1169" s="218">
        <v>0.29899999999999999</v>
      </c>
      <c r="D1169" s="221"/>
      <c r="E1169" s="221"/>
      <c r="F1169" s="219">
        <v>0.30790000000000001</v>
      </c>
    </row>
    <row r="1170" spans="1:6" ht="12" thickBot="1">
      <c r="A1170" s="216">
        <v>33637</v>
      </c>
      <c r="B1170" s="217">
        <v>33643</v>
      </c>
      <c r="C1170" s="218">
        <v>0.3125</v>
      </c>
      <c r="D1170" s="221"/>
      <c r="E1170" s="221"/>
      <c r="F1170" s="219">
        <v>0.33179999999999998</v>
      </c>
    </row>
    <row r="1171" spans="1:6" ht="12" thickBot="1">
      <c r="A1171" s="216">
        <v>33630</v>
      </c>
      <c r="B1171" s="217">
        <v>33636</v>
      </c>
      <c r="C1171" s="218">
        <v>0.3427</v>
      </c>
      <c r="D1171" s="221"/>
      <c r="E1171" s="221"/>
      <c r="F1171" s="219">
        <v>0.34870000000000001</v>
      </c>
    </row>
    <row r="1172" spans="1:6" ht="12" thickBot="1">
      <c r="A1172" s="216">
        <v>33623</v>
      </c>
      <c r="B1172" s="217">
        <v>33629</v>
      </c>
      <c r="C1172" s="218">
        <v>0.35980000000000001</v>
      </c>
      <c r="D1172" s="221"/>
      <c r="E1172" s="221"/>
      <c r="F1172" s="219">
        <v>0.36820000000000003</v>
      </c>
    </row>
    <row r="1173" spans="1:6" ht="12" thickBot="1">
      <c r="A1173" s="216">
        <v>33616</v>
      </c>
      <c r="B1173" s="217">
        <v>33622</v>
      </c>
      <c r="C1173" s="218">
        <v>0.36559999999999998</v>
      </c>
      <c r="D1173" s="221"/>
      <c r="E1173" s="221"/>
      <c r="F1173" s="219">
        <v>0.37140000000000001</v>
      </c>
    </row>
    <row r="1174" spans="1:6" ht="12" thickBot="1">
      <c r="A1174" s="216">
        <v>33609</v>
      </c>
      <c r="B1174" s="217">
        <v>33615</v>
      </c>
      <c r="C1174" s="218">
        <v>0.36580000000000001</v>
      </c>
      <c r="D1174" s="221"/>
      <c r="E1174" s="221"/>
      <c r="F1174" s="219">
        <v>0.37319999999999998</v>
      </c>
    </row>
    <row r="1175" spans="1:6" ht="12" thickBot="1">
      <c r="A1175" s="216">
        <v>33602</v>
      </c>
      <c r="B1175" s="217">
        <v>33608</v>
      </c>
      <c r="C1175" s="218">
        <v>0.36990000000000001</v>
      </c>
      <c r="D1175" s="221"/>
      <c r="E1175" s="221"/>
      <c r="F1175" s="219">
        <v>0.37569999999999998</v>
      </c>
    </row>
    <row r="1176" spans="1:6" ht="12" thickBot="1">
      <c r="A1176" s="216">
        <v>33595</v>
      </c>
      <c r="B1176" s="217">
        <v>33601</v>
      </c>
      <c r="C1176" s="218">
        <v>0.37859999999999999</v>
      </c>
      <c r="D1176" s="221"/>
      <c r="E1176" s="221"/>
      <c r="F1176" s="219">
        <v>0.38440000000000002</v>
      </c>
    </row>
    <row r="1177" spans="1:6" ht="12" thickBot="1">
      <c r="A1177" s="216">
        <v>33588</v>
      </c>
      <c r="B1177" s="217">
        <v>33594</v>
      </c>
      <c r="C1177" s="218">
        <v>0.38069999999999998</v>
      </c>
      <c r="D1177" s="221"/>
      <c r="E1177" s="221"/>
      <c r="F1177" s="219">
        <v>0.38819999999999999</v>
      </c>
    </row>
    <row r="1178" spans="1:6" ht="12" thickBot="1">
      <c r="A1178" s="216">
        <v>33581</v>
      </c>
      <c r="B1178" s="217">
        <v>33587</v>
      </c>
      <c r="C1178" s="218">
        <v>0.38229999999999997</v>
      </c>
      <c r="D1178" s="221"/>
      <c r="E1178" s="221"/>
      <c r="F1178" s="219">
        <v>0.38800000000000001</v>
      </c>
    </row>
    <row r="1179" spans="1:6" ht="12" thickBot="1">
      <c r="A1179" s="216">
        <v>33574</v>
      </c>
      <c r="B1179" s="217">
        <v>33580</v>
      </c>
      <c r="C1179" s="218">
        <v>0.37930000000000003</v>
      </c>
      <c r="D1179" s="221"/>
      <c r="E1179" s="221"/>
      <c r="F1179" s="219">
        <v>0.38890000000000002</v>
      </c>
    </row>
    <row r="1180" spans="1:6" ht="12" thickBot="1">
      <c r="A1180" s="216">
        <v>33567</v>
      </c>
      <c r="B1180" s="217">
        <v>33573</v>
      </c>
      <c r="C1180" s="218">
        <v>0.37630000000000002</v>
      </c>
      <c r="D1180" s="221"/>
      <c r="E1180" s="221"/>
      <c r="F1180" s="219">
        <v>0.3876</v>
      </c>
    </row>
    <row r="1181" spans="1:6" ht="12" thickBot="1">
      <c r="A1181" s="216">
        <v>33560</v>
      </c>
      <c r="B1181" s="217">
        <v>33566</v>
      </c>
      <c r="C1181" s="218">
        <v>0.37869999999999998</v>
      </c>
      <c r="D1181" s="221"/>
      <c r="E1181" s="221"/>
      <c r="F1181" s="219">
        <v>0.3906</v>
      </c>
    </row>
    <row r="1182" spans="1:6" ht="12" thickBot="1">
      <c r="A1182" s="216">
        <v>33553</v>
      </c>
      <c r="B1182" s="217">
        <v>33559</v>
      </c>
      <c r="C1182" s="218">
        <v>0.38019999999999998</v>
      </c>
      <c r="D1182" s="221"/>
      <c r="E1182" s="221"/>
      <c r="F1182" s="219">
        <v>0.3901</v>
      </c>
    </row>
    <row r="1183" spans="1:6" ht="12" thickBot="1">
      <c r="A1183" s="216">
        <v>33546</v>
      </c>
      <c r="B1183" s="217">
        <v>33552</v>
      </c>
      <c r="C1183" s="218">
        <v>0.37869999999999998</v>
      </c>
      <c r="D1183" s="221"/>
      <c r="E1183" s="221"/>
      <c r="F1183" s="219">
        <v>0.38979999999999998</v>
      </c>
    </row>
    <row r="1184" spans="1:6" ht="12" thickBot="1">
      <c r="A1184" s="216">
        <v>33539</v>
      </c>
      <c r="B1184" s="217">
        <v>33545</v>
      </c>
      <c r="C1184" s="218">
        <v>0.38159999999999999</v>
      </c>
      <c r="D1184" s="221"/>
      <c r="E1184" s="221"/>
      <c r="F1184" s="219">
        <v>0.39439999999999997</v>
      </c>
    </row>
    <row r="1185" spans="1:6" ht="12" thickBot="1">
      <c r="A1185" s="216">
        <v>33532</v>
      </c>
      <c r="B1185" s="217">
        <v>33538</v>
      </c>
      <c r="C1185" s="218">
        <v>0.38290000000000002</v>
      </c>
      <c r="D1185" s="221"/>
      <c r="E1185" s="221"/>
      <c r="F1185" s="219">
        <v>0.3906</v>
      </c>
    </row>
    <row r="1186" spans="1:6" ht="12" thickBot="1">
      <c r="A1186" s="216">
        <v>33525</v>
      </c>
      <c r="B1186" s="217">
        <v>33531</v>
      </c>
      <c r="C1186" s="218">
        <v>0.38919999999999999</v>
      </c>
      <c r="D1186" s="221"/>
      <c r="E1186" s="221"/>
      <c r="F1186" s="219">
        <v>0.40110000000000001</v>
      </c>
    </row>
    <row r="1187" spans="1:6" ht="12" thickBot="1">
      <c r="A1187" s="216">
        <v>33518</v>
      </c>
      <c r="B1187" s="217">
        <v>33524</v>
      </c>
      <c r="C1187" s="218">
        <v>0.39600000000000002</v>
      </c>
      <c r="D1187" s="221"/>
      <c r="E1187" s="221"/>
      <c r="F1187" s="219">
        <v>0.40460000000000002</v>
      </c>
    </row>
    <row r="1188" spans="1:6" ht="12" thickBot="1">
      <c r="A1188" s="216">
        <v>33511</v>
      </c>
      <c r="B1188" s="217">
        <v>33517</v>
      </c>
      <c r="C1188" s="218">
        <v>0.39119999999999999</v>
      </c>
      <c r="D1188" s="221"/>
      <c r="E1188" s="221"/>
      <c r="F1188" s="219">
        <v>0.40589999999999998</v>
      </c>
    </row>
    <row r="1189" spans="1:6" ht="12" thickBot="1">
      <c r="A1189" s="216">
        <v>33504</v>
      </c>
      <c r="B1189" s="217">
        <v>33510</v>
      </c>
      <c r="C1189" s="218">
        <v>0.39419999999999999</v>
      </c>
      <c r="D1189" s="221"/>
      <c r="E1189" s="221"/>
      <c r="F1189" s="219">
        <v>0.40239999999999998</v>
      </c>
    </row>
    <row r="1190" spans="1:6" ht="12" thickBot="1">
      <c r="A1190" s="216">
        <v>33497</v>
      </c>
      <c r="B1190" s="217">
        <v>33503</v>
      </c>
      <c r="C1190" s="218">
        <v>0.3916</v>
      </c>
      <c r="D1190" s="221"/>
      <c r="E1190" s="221"/>
      <c r="F1190" s="219">
        <v>0.40229999999999999</v>
      </c>
    </row>
    <row r="1191" spans="1:6" ht="12" thickBot="1">
      <c r="A1191" s="216">
        <v>33490</v>
      </c>
      <c r="B1191" s="217">
        <v>33496</v>
      </c>
      <c r="C1191" s="218">
        <v>0.38429999999999997</v>
      </c>
      <c r="D1191" s="221"/>
      <c r="E1191" s="221"/>
      <c r="F1191" s="219">
        <v>0.40289999999999998</v>
      </c>
    </row>
    <row r="1192" spans="1:6" ht="12" thickBot="1">
      <c r="A1192" s="216">
        <v>33483</v>
      </c>
      <c r="B1192" s="217">
        <v>33489</v>
      </c>
      <c r="C1192" s="218">
        <v>0.38100000000000001</v>
      </c>
      <c r="D1192" s="221"/>
      <c r="E1192" s="221"/>
      <c r="F1192" s="219">
        <v>0.40260000000000001</v>
      </c>
    </row>
    <row r="1193" spans="1:6" ht="12" thickBot="1">
      <c r="A1193" s="216">
        <v>33476</v>
      </c>
      <c r="B1193" s="217">
        <v>33482</v>
      </c>
      <c r="C1193" s="218">
        <v>0.37959999999999999</v>
      </c>
      <c r="D1193" s="221"/>
      <c r="E1193" s="221"/>
      <c r="F1193" s="219">
        <v>0.39240000000000003</v>
      </c>
    </row>
    <row r="1194" spans="1:6" ht="12" thickBot="1">
      <c r="A1194" s="216">
        <v>33469</v>
      </c>
      <c r="B1194" s="217">
        <v>33475</v>
      </c>
      <c r="C1194" s="218">
        <v>0.37890000000000001</v>
      </c>
      <c r="D1194" s="221"/>
      <c r="E1194" s="221"/>
      <c r="F1194" s="219">
        <v>0.4</v>
      </c>
    </row>
    <row r="1195" spans="1:6" ht="12" thickBot="1">
      <c r="A1195" s="216">
        <v>33462</v>
      </c>
      <c r="B1195" s="217">
        <v>33468</v>
      </c>
      <c r="C1195" s="218">
        <v>0.37959999999999999</v>
      </c>
      <c r="D1195" s="221"/>
      <c r="E1195" s="221"/>
      <c r="F1195" s="219">
        <v>0.4</v>
      </c>
    </row>
    <row r="1196" spans="1:6" ht="12" thickBot="1">
      <c r="A1196" s="216">
        <v>33455</v>
      </c>
      <c r="B1196" s="217">
        <v>33461</v>
      </c>
      <c r="C1196" s="218">
        <v>0.3725</v>
      </c>
      <c r="D1196" s="221"/>
      <c r="E1196" s="221"/>
      <c r="F1196" s="219">
        <v>0.40660000000000002</v>
      </c>
    </row>
    <row r="1197" spans="1:6" ht="12" thickBot="1">
      <c r="A1197" s="216">
        <v>33448</v>
      </c>
      <c r="B1197" s="217">
        <v>33454</v>
      </c>
      <c r="C1197" s="218">
        <v>0.37509999999999999</v>
      </c>
      <c r="D1197" s="221"/>
      <c r="E1197" s="221"/>
      <c r="F1197" s="219">
        <v>0.39939999999999998</v>
      </c>
    </row>
    <row r="1198" spans="1:6" ht="12" thickBot="1">
      <c r="A1198" s="216">
        <v>33441</v>
      </c>
      <c r="B1198" s="217">
        <v>33447</v>
      </c>
      <c r="C1198" s="218">
        <v>0.37280000000000002</v>
      </c>
      <c r="D1198" s="221"/>
      <c r="E1198" s="221"/>
      <c r="F1198" s="219">
        <v>0.40229999999999999</v>
      </c>
    </row>
    <row r="1199" spans="1:6" ht="12" thickBot="1">
      <c r="A1199" s="216">
        <v>33434</v>
      </c>
      <c r="B1199" s="217">
        <v>33440</v>
      </c>
      <c r="C1199" s="218">
        <v>0.37559999999999999</v>
      </c>
      <c r="D1199" s="221"/>
      <c r="E1199" s="221"/>
      <c r="F1199" s="219">
        <v>0.40410000000000001</v>
      </c>
    </row>
    <row r="1200" spans="1:6" ht="12" thickBot="1">
      <c r="A1200" s="216">
        <v>33427</v>
      </c>
      <c r="B1200" s="217">
        <v>33433</v>
      </c>
      <c r="C1200" s="218">
        <v>0.3705</v>
      </c>
      <c r="D1200" s="221"/>
      <c r="E1200" s="221"/>
      <c r="F1200" s="219">
        <v>0.39389999999999997</v>
      </c>
    </row>
    <row r="1201" spans="1:6" ht="12" thickBot="1">
      <c r="A1201" s="216">
        <v>33420</v>
      </c>
      <c r="B1201" s="217">
        <v>33426</v>
      </c>
      <c r="C1201" s="218">
        <v>0.36549999999999999</v>
      </c>
      <c r="D1201" s="221"/>
      <c r="E1201" s="221"/>
      <c r="F1201" s="219">
        <v>0.38790000000000002</v>
      </c>
    </row>
    <row r="1202" spans="1:6" ht="12" thickBot="1">
      <c r="A1202" s="216">
        <v>33413</v>
      </c>
      <c r="B1202" s="217">
        <v>33419</v>
      </c>
      <c r="C1202" s="218">
        <v>0.35110000000000002</v>
      </c>
      <c r="D1202" s="221"/>
      <c r="E1202" s="221"/>
      <c r="F1202" s="219">
        <v>0.37809999999999999</v>
      </c>
    </row>
    <row r="1203" spans="1:6" ht="12" thickBot="1">
      <c r="A1203" s="216">
        <v>33406</v>
      </c>
      <c r="B1203" s="217">
        <v>33412</v>
      </c>
      <c r="C1203" s="218">
        <v>0.35610000000000003</v>
      </c>
      <c r="D1203" s="221"/>
      <c r="E1203" s="221"/>
      <c r="F1203" s="219">
        <v>0.37590000000000001</v>
      </c>
    </row>
    <row r="1204" spans="1:6" ht="12" thickBot="1">
      <c r="A1204" s="216">
        <v>33399</v>
      </c>
      <c r="B1204" s="217">
        <v>33405</v>
      </c>
      <c r="C1204" s="218">
        <v>0.35809999999999997</v>
      </c>
      <c r="D1204" s="221"/>
      <c r="E1204" s="221"/>
      <c r="F1204" s="219">
        <v>0.37509999999999999</v>
      </c>
    </row>
    <row r="1205" spans="1:6" ht="12" thickBot="1">
      <c r="A1205" s="216">
        <v>33392</v>
      </c>
      <c r="B1205" s="217">
        <v>33398</v>
      </c>
      <c r="C1205" s="218">
        <v>0.36890000000000001</v>
      </c>
      <c r="D1205" s="221"/>
      <c r="E1205" s="221"/>
      <c r="F1205" s="219">
        <v>0.37419999999999998</v>
      </c>
    </row>
    <row r="1206" spans="1:6" ht="12" thickBot="1">
      <c r="A1206" s="216">
        <v>33385</v>
      </c>
      <c r="B1206" s="217">
        <v>33391</v>
      </c>
      <c r="C1206" s="218">
        <v>0.36959999999999998</v>
      </c>
      <c r="D1206" s="221"/>
      <c r="E1206" s="221"/>
      <c r="F1206" s="219">
        <v>0.38379999999999997</v>
      </c>
    </row>
    <row r="1207" spans="1:6" ht="12" thickBot="1">
      <c r="A1207" s="216">
        <v>33378</v>
      </c>
      <c r="B1207" s="217">
        <v>33384</v>
      </c>
      <c r="C1207" s="218">
        <v>0.37659999999999999</v>
      </c>
      <c r="D1207" s="221"/>
      <c r="E1207" s="221"/>
      <c r="F1207" s="219">
        <v>0.39069999999999999</v>
      </c>
    </row>
    <row r="1208" spans="1:6" ht="12" thickBot="1">
      <c r="A1208" s="216">
        <v>33371</v>
      </c>
      <c r="B1208" s="217">
        <v>33377</v>
      </c>
      <c r="C1208" s="218">
        <v>0.38290000000000002</v>
      </c>
      <c r="D1208" s="221"/>
      <c r="E1208" s="221"/>
      <c r="F1208" s="219">
        <v>0.39439999999999997</v>
      </c>
    </row>
    <row r="1209" spans="1:6" ht="12" thickBot="1">
      <c r="A1209" s="216">
        <v>33364</v>
      </c>
      <c r="B1209" s="217">
        <v>33370</v>
      </c>
      <c r="C1209" s="218">
        <v>0.38159999999999999</v>
      </c>
      <c r="D1209" s="221"/>
      <c r="E1209" s="221"/>
      <c r="F1209" s="219">
        <v>0.40500000000000003</v>
      </c>
    </row>
    <row r="1210" spans="1:6" ht="12" thickBot="1">
      <c r="A1210" s="216">
        <v>33357</v>
      </c>
      <c r="B1210" s="217">
        <v>33363</v>
      </c>
      <c r="C1210" s="218">
        <v>0.37980000000000003</v>
      </c>
      <c r="D1210" s="221"/>
      <c r="E1210" s="221"/>
      <c r="F1210" s="219">
        <v>0.4118</v>
      </c>
    </row>
    <row r="1211" spans="1:6" ht="12" thickBot="1">
      <c r="A1211" s="216">
        <v>33350</v>
      </c>
      <c r="B1211" s="217">
        <v>33356</v>
      </c>
      <c r="C1211" s="218">
        <v>0.37659999999999999</v>
      </c>
      <c r="D1211" s="221"/>
      <c r="E1211" s="221"/>
      <c r="F1211" s="219">
        <v>0.40820000000000001</v>
      </c>
    </row>
    <row r="1212" spans="1:6" ht="12" thickBot="1">
      <c r="A1212" s="216">
        <v>33343</v>
      </c>
      <c r="B1212" s="217">
        <v>33349</v>
      </c>
      <c r="C1212" s="218">
        <v>0.37069999999999997</v>
      </c>
      <c r="D1212" s="221"/>
      <c r="E1212" s="221"/>
      <c r="F1212" s="219">
        <v>0.41120000000000001</v>
      </c>
    </row>
    <row r="1213" spans="1:6" ht="12" thickBot="1">
      <c r="A1213" s="216">
        <v>33336</v>
      </c>
      <c r="B1213" s="217">
        <v>33342</v>
      </c>
      <c r="C1213" s="218">
        <v>0.37859999999999999</v>
      </c>
      <c r="D1213" s="221"/>
      <c r="E1213" s="221"/>
      <c r="F1213" s="219">
        <v>0.39410000000000001</v>
      </c>
    </row>
    <row r="1214" spans="1:6" ht="12" thickBot="1">
      <c r="A1214" s="216">
        <v>33329</v>
      </c>
      <c r="B1214" s="217">
        <v>33335</v>
      </c>
      <c r="C1214" s="218">
        <v>0.3705</v>
      </c>
      <c r="D1214" s="221"/>
      <c r="E1214" s="221"/>
      <c r="F1214" s="219">
        <v>0.39850000000000002</v>
      </c>
    </row>
    <row r="1215" spans="1:6" ht="12" thickBot="1">
      <c r="A1215" s="216">
        <v>33322</v>
      </c>
      <c r="B1215" s="217">
        <v>33328</v>
      </c>
      <c r="C1215" s="218">
        <v>0.3579</v>
      </c>
      <c r="D1215" s="221"/>
      <c r="E1215" s="221"/>
      <c r="F1215" s="219">
        <v>0.39240000000000003</v>
      </c>
    </row>
    <row r="1216" spans="1:6" ht="12" thickBot="1">
      <c r="A1216" s="216">
        <v>33315</v>
      </c>
      <c r="B1216" s="217">
        <v>33321</v>
      </c>
      <c r="C1216" s="218">
        <v>0.34939999999999999</v>
      </c>
      <c r="D1216" s="221"/>
      <c r="E1216" s="221"/>
      <c r="F1216" s="219">
        <v>0.37719999999999998</v>
      </c>
    </row>
    <row r="1217" spans="1:6" ht="12" thickBot="1">
      <c r="A1217" s="216">
        <v>33308</v>
      </c>
      <c r="B1217" s="217">
        <v>33314</v>
      </c>
      <c r="C1217" s="218">
        <v>0.34499999999999997</v>
      </c>
      <c r="D1217" s="221"/>
      <c r="E1217" s="221"/>
      <c r="F1217" s="219">
        <v>0.37069999999999997</v>
      </c>
    </row>
    <row r="1218" spans="1:6" ht="12" thickBot="1">
      <c r="A1218" s="216">
        <v>33301</v>
      </c>
      <c r="B1218" s="217">
        <v>33307</v>
      </c>
      <c r="C1218" s="218">
        <v>0.35110000000000002</v>
      </c>
      <c r="D1218" s="221"/>
      <c r="E1218" s="221"/>
      <c r="F1218" s="219">
        <v>0.36670000000000003</v>
      </c>
    </row>
    <row r="1219" spans="1:6" ht="12" thickBot="1">
      <c r="A1219" s="216">
        <v>33294</v>
      </c>
      <c r="B1219" s="217">
        <v>33300</v>
      </c>
      <c r="C1219" s="218">
        <v>0.3503</v>
      </c>
      <c r="D1219" s="221"/>
      <c r="E1219" s="221"/>
      <c r="F1219" s="219">
        <v>0.36609999999999998</v>
      </c>
    </row>
    <row r="1220" spans="1:6" ht="12" thickBot="1">
      <c r="A1220" s="216">
        <v>33287</v>
      </c>
      <c r="B1220" s="217">
        <v>33293</v>
      </c>
      <c r="C1220" s="218">
        <v>0.35220000000000001</v>
      </c>
      <c r="D1220" s="221"/>
      <c r="E1220" s="221"/>
      <c r="F1220" s="219">
        <v>0.36480000000000001</v>
      </c>
    </row>
    <row r="1221" spans="1:6" ht="12" thickBot="1">
      <c r="A1221" s="216">
        <v>33280</v>
      </c>
      <c r="B1221" s="217">
        <v>33286</v>
      </c>
      <c r="C1221" s="218">
        <v>0.3342</v>
      </c>
      <c r="D1221" s="221"/>
      <c r="E1221" s="221"/>
      <c r="F1221" s="219">
        <v>0.36609999999999998</v>
      </c>
    </row>
    <row r="1222" spans="1:6" ht="12" thickBot="1">
      <c r="A1222" s="216">
        <v>33273</v>
      </c>
      <c r="B1222" s="217">
        <v>33279</v>
      </c>
      <c r="C1222" s="218">
        <v>0.33850000000000002</v>
      </c>
      <c r="D1222" s="221"/>
      <c r="E1222" s="221"/>
      <c r="F1222" s="219">
        <v>0.36509999999999998</v>
      </c>
    </row>
    <row r="1223" spans="1:6" ht="12" thickBot="1">
      <c r="A1223" s="216">
        <v>33266</v>
      </c>
      <c r="B1223" s="217">
        <v>33272</v>
      </c>
      <c r="C1223" s="218">
        <v>0.37140000000000001</v>
      </c>
      <c r="D1223" s="221"/>
      <c r="E1223" s="221"/>
      <c r="F1223" s="219">
        <v>0.35920000000000002</v>
      </c>
    </row>
    <row r="1224" spans="1:6" ht="12" thickBot="1">
      <c r="A1224" s="216">
        <v>33259</v>
      </c>
      <c r="B1224" s="217">
        <v>33265</v>
      </c>
      <c r="C1224" s="218">
        <v>0.38579999999999998</v>
      </c>
      <c r="D1224" s="221"/>
      <c r="E1224" s="221"/>
      <c r="F1224" s="219">
        <v>0.40699999999999997</v>
      </c>
    </row>
    <row r="1225" spans="1:6" ht="12" thickBot="1">
      <c r="A1225" s="216">
        <v>33252</v>
      </c>
      <c r="B1225" s="217">
        <v>33258</v>
      </c>
      <c r="C1225" s="218">
        <v>0.38640000000000002</v>
      </c>
      <c r="D1225" s="221"/>
      <c r="E1225" s="221"/>
      <c r="F1225" s="219">
        <v>0.43020000000000003</v>
      </c>
    </row>
    <row r="1226" spans="1:6" ht="12" thickBot="1">
      <c r="A1226" s="216">
        <v>33245</v>
      </c>
      <c r="B1226" s="217">
        <v>33251</v>
      </c>
      <c r="C1226" s="218">
        <v>0.38890000000000002</v>
      </c>
      <c r="D1226" s="221"/>
      <c r="E1226" s="221"/>
      <c r="F1226" s="219">
        <v>0.41839999999999999</v>
      </c>
    </row>
    <row r="1227" spans="1:6" ht="12" thickBot="1">
      <c r="A1227" s="216">
        <v>33238</v>
      </c>
      <c r="B1227" s="217">
        <v>33244</v>
      </c>
      <c r="C1227" s="218">
        <v>0.3805</v>
      </c>
      <c r="D1227" s="221"/>
      <c r="E1227" s="221"/>
      <c r="F1227" s="219">
        <v>0.4209</v>
      </c>
    </row>
    <row r="1228" spans="1:6" ht="12" thickBot="1">
      <c r="A1228" s="216">
        <v>33231</v>
      </c>
      <c r="B1228" s="217">
        <v>33237</v>
      </c>
      <c r="C1228" s="218">
        <v>0.38129999999999997</v>
      </c>
      <c r="D1228" s="221"/>
      <c r="E1228" s="221"/>
      <c r="F1228" s="219">
        <v>0.41320000000000001</v>
      </c>
    </row>
    <row r="1229" spans="1:6" ht="12" thickBot="1">
      <c r="A1229" s="216">
        <v>33224</v>
      </c>
      <c r="B1229" s="217">
        <v>33230</v>
      </c>
      <c r="C1229" s="218">
        <v>0.378</v>
      </c>
      <c r="D1229" s="221"/>
      <c r="E1229" s="221"/>
      <c r="F1229" s="219">
        <v>0.4032</v>
      </c>
    </row>
    <row r="1230" spans="1:6" ht="12" thickBot="1">
      <c r="A1230" s="216">
        <v>33217</v>
      </c>
      <c r="B1230" s="217">
        <v>33223</v>
      </c>
      <c r="C1230" s="218">
        <v>0.3745</v>
      </c>
      <c r="D1230" s="221"/>
      <c r="E1230" s="221"/>
      <c r="F1230" s="219">
        <v>0.40089999999999998</v>
      </c>
    </row>
    <row r="1231" spans="1:6" ht="12" thickBot="1">
      <c r="A1231" s="216">
        <v>33210</v>
      </c>
      <c r="B1231" s="217">
        <v>33216</v>
      </c>
      <c r="C1231" s="218">
        <v>0.37219999999999998</v>
      </c>
      <c r="D1231" s="221"/>
      <c r="E1231" s="221"/>
      <c r="F1231" s="219">
        <v>0.39679999999999999</v>
      </c>
    </row>
    <row r="1232" spans="1:6" ht="12" thickBot="1">
      <c r="A1232" s="216">
        <v>33203</v>
      </c>
      <c r="B1232" s="217">
        <v>33209</v>
      </c>
      <c r="C1232" s="218">
        <v>0.37440000000000001</v>
      </c>
      <c r="D1232" s="221"/>
      <c r="E1232" s="221"/>
      <c r="F1232" s="219">
        <v>0.39660000000000001</v>
      </c>
    </row>
    <row r="1233" spans="1:6" ht="12" thickBot="1">
      <c r="A1233" s="216">
        <v>33196</v>
      </c>
      <c r="B1233" s="217">
        <v>33202</v>
      </c>
      <c r="C1233" s="218">
        <v>0.38340000000000002</v>
      </c>
      <c r="D1233" s="221"/>
      <c r="E1233" s="221"/>
      <c r="F1233" s="219">
        <v>0.39479999999999998</v>
      </c>
    </row>
    <row r="1234" spans="1:6" ht="12" thickBot="1">
      <c r="A1234" s="216">
        <v>33189</v>
      </c>
      <c r="B1234" s="217">
        <v>33195</v>
      </c>
      <c r="C1234" s="218">
        <v>0.38190000000000002</v>
      </c>
      <c r="D1234" s="221"/>
      <c r="E1234" s="221"/>
      <c r="F1234" s="219">
        <v>0.40010000000000001</v>
      </c>
    </row>
    <row r="1235" spans="1:6" ht="12" thickBot="1">
      <c r="A1235" s="216">
        <v>33182</v>
      </c>
      <c r="B1235" s="217">
        <v>33188</v>
      </c>
      <c r="C1235" s="218">
        <v>0.37919999999999998</v>
      </c>
      <c r="D1235" s="221"/>
      <c r="E1235" s="221"/>
      <c r="F1235" s="219">
        <v>0.3997</v>
      </c>
    </row>
    <row r="1236" spans="1:6" ht="12" thickBot="1">
      <c r="A1236" s="216">
        <v>33175</v>
      </c>
      <c r="B1236" s="217">
        <v>33181</v>
      </c>
      <c r="C1236" s="218">
        <v>0.37980000000000003</v>
      </c>
      <c r="D1236" s="221"/>
      <c r="E1236" s="221"/>
      <c r="F1236" s="219">
        <v>0.3997</v>
      </c>
    </row>
    <row r="1237" spans="1:6" ht="12" thickBot="1">
      <c r="A1237" s="216">
        <v>33168</v>
      </c>
      <c r="B1237" s="217">
        <v>33174</v>
      </c>
      <c r="C1237" s="218">
        <v>0.37659999999999999</v>
      </c>
      <c r="D1237" s="221"/>
      <c r="E1237" s="221"/>
      <c r="F1237" s="219">
        <v>0.40139999999999998</v>
      </c>
    </row>
    <row r="1238" spans="1:6" ht="12" thickBot="1">
      <c r="A1238" s="216">
        <v>33161</v>
      </c>
      <c r="B1238" s="217">
        <v>33167</v>
      </c>
      <c r="C1238" s="218">
        <v>0.38100000000000001</v>
      </c>
      <c r="D1238" s="221"/>
      <c r="E1238" s="221"/>
      <c r="F1238" s="219">
        <v>0.39939999999999998</v>
      </c>
    </row>
    <row r="1239" spans="1:6" ht="12" thickBot="1">
      <c r="A1239" s="216">
        <v>33154</v>
      </c>
      <c r="B1239" s="217">
        <v>33160</v>
      </c>
      <c r="C1239" s="218">
        <v>0.378</v>
      </c>
      <c r="D1239" s="221"/>
      <c r="E1239" s="221"/>
      <c r="F1239" s="219">
        <v>0.39879999999999999</v>
      </c>
    </row>
    <row r="1240" spans="1:6" ht="12" thickBot="1">
      <c r="A1240" s="216">
        <v>33147</v>
      </c>
      <c r="B1240" s="217">
        <v>33153</v>
      </c>
      <c r="C1240" s="218">
        <v>0.37390000000000001</v>
      </c>
      <c r="D1240" s="221"/>
      <c r="E1240" s="221"/>
      <c r="F1240" s="219">
        <v>0.40150000000000002</v>
      </c>
    </row>
    <row r="1241" spans="1:6" ht="12" thickBot="1">
      <c r="A1241" s="216">
        <v>33140</v>
      </c>
      <c r="B1241" s="217">
        <v>33146</v>
      </c>
      <c r="C1241" s="218">
        <v>0.36959999999999998</v>
      </c>
      <c r="D1241" s="221"/>
      <c r="E1241" s="221"/>
      <c r="F1241" s="219">
        <v>0.39500000000000002</v>
      </c>
    </row>
    <row r="1242" spans="1:6" ht="12" thickBot="1">
      <c r="A1242" s="216">
        <v>33133</v>
      </c>
      <c r="B1242" s="217">
        <v>33139</v>
      </c>
      <c r="C1242" s="218">
        <v>0.3745</v>
      </c>
      <c r="D1242" s="221"/>
      <c r="E1242" s="221"/>
      <c r="F1242" s="219">
        <v>0.39029999999999998</v>
      </c>
    </row>
    <row r="1243" spans="1:6" ht="12" thickBot="1">
      <c r="A1243" s="216">
        <v>33126</v>
      </c>
      <c r="B1243" s="217">
        <v>33132</v>
      </c>
      <c r="C1243" s="218">
        <v>0.36890000000000001</v>
      </c>
      <c r="D1243" s="221"/>
      <c r="E1243" s="221"/>
      <c r="F1243" s="219">
        <v>0.39379999999999998</v>
      </c>
    </row>
    <row r="1244" spans="1:6" ht="12" thickBot="1">
      <c r="A1244" s="216">
        <v>33119</v>
      </c>
      <c r="B1244" s="217">
        <v>33125</v>
      </c>
      <c r="C1244" s="218">
        <v>0.37080000000000002</v>
      </c>
      <c r="D1244" s="221"/>
      <c r="E1244" s="221"/>
      <c r="F1244" s="219">
        <v>0.3871</v>
      </c>
    </row>
    <row r="1245" spans="1:6" ht="12" thickBot="1">
      <c r="A1245" s="216">
        <v>33112</v>
      </c>
      <c r="B1245" s="217">
        <v>33118</v>
      </c>
      <c r="C1245" s="218">
        <v>0.3679</v>
      </c>
      <c r="D1245" s="221"/>
      <c r="E1245" s="221"/>
      <c r="F1245" s="219">
        <v>0.39100000000000001</v>
      </c>
    </row>
    <row r="1246" spans="1:6" ht="12" thickBot="1">
      <c r="A1246" s="216">
        <v>33105</v>
      </c>
      <c r="B1246" s="217">
        <v>33111</v>
      </c>
      <c r="C1246" s="218">
        <v>0.37319999999999998</v>
      </c>
      <c r="D1246" s="221"/>
      <c r="E1246" s="221"/>
      <c r="F1246" s="219">
        <v>0.38919999999999999</v>
      </c>
    </row>
    <row r="1247" spans="1:6" ht="12" thickBot="1">
      <c r="A1247" s="216">
        <v>33098</v>
      </c>
      <c r="B1247" s="217">
        <v>33104</v>
      </c>
      <c r="C1247" s="218">
        <v>0.38279999999999997</v>
      </c>
      <c r="D1247" s="221"/>
      <c r="E1247" s="221"/>
      <c r="F1247" s="219">
        <v>0.39119999999999999</v>
      </c>
    </row>
    <row r="1248" spans="1:6" ht="12" thickBot="1">
      <c r="A1248" s="216">
        <v>33091</v>
      </c>
      <c r="B1248" s="217">
        <v>33097</v>
      </c>
      <c r="C1248" s="218">
        <v>0.37959999999999999</v>
      </c>
      <c r="D1248" s="221"/>
      <c r="E1248" s="221"/>
      <c r="F1248" s="219">
        <v>0.40329999999999999</v>
      </c>
    </row>
    <row r="1249" spans="1:6" ht="12" thickBot="1">
      <c r="A1249" s="216">
        <v>33084</v>
      </c>
      <c r="B1249" s="217">
        <v>33090</v>
      </c>
      <c r="C1249" s="218">
        <v>0.36980000000000002</v>
      </c>
      <c r="D1249" s="221"/>
      <c r="E1249" s="221"/>
      <c r="F1249" s="219">
        <v>0.40749999999999997</v>
      </c>
    </row>
    <row r="1250" spans="1:6" ht="12" thickBot="1">
      <c r="A1250" s="216">
        <v>33077</v>
      </c>
      <c r="B1250" s="217">
        <v>33083</v>
      </c>
      <c r="C1250" s="218">
        <v>0.3705</v>
      </c>
      <c r="D1250" s="221"/>
      <c r="E1250" s="221"/>
      <c r="F1250" s="219">
        <v>0.3997</v>
      </c>
    </row>
    <row r="1251" spans="1:6" ht="12" thickBot="1">
      <c r="A1251" s="216">
        <v>33070</v>
      </c>
      <c r="B1251" s="217">
        <v>33076</v>
      </c>
      <c r="C1251" s="218">
        <v>0.36799999999999999</v>
      </c>
      <c r="D1251" s="221"/>
      <c r="E1251" s="221"/>
      <c r="F1251" s="219">
        <v>0.39389999999999997</v>
      </c>
    </row>
    <row r="1252" spans="1:6" ht="12" thickBot="1">
      <c r="A1252" s="216">
        <v>33063</v>
      </c>
      <c r="B1252" s="217">
        <v>33069</v>
      </c>
      <c r="C1252" s="218">
        <v>0.36409999999999998</v>
      </c>
      <c r="D1252" s="221"/>
      <c r="E1252" s="221"/>
      <c r="F1252" s="219">
        <v>0.38490000000000002</v>
      </c>
    </row>
    <row r="1253" spans="1:6" ht="12" thickBot="1">
      <c r="A1253" s="216">
        <v>33056</v>
      </c>
      <c r="B1253" s="217">
        <v>33062</v>
      </c>
      <c r="C1253" s="218">
        <v>0.36120000000000002</v>
      </c>
      <c r="D1253" s="221"/>
      <c r="E1253" s="221"/>
      <c r="F1253" s="219">
        <v>0.38440000000000002</v>
      </c>
    </row>
    <row r="1254" spans="1:6" ht="12" thickBot="1">
      <c r="A1254" s="216">
        <v>33049</v>
      </c>
      <c r="B1254" s="217">
        <v>33055</v>
      </c>
      <c r="C1254" s="218">
        <v>0.35949999999999999</v>
      </c>
      <c r="D1254" s="221"/>
      <c r="E1254" s="221"/>
      <c r="F1254" s="219">
        <v>0.38080000000000003</v>
      </c>
    </row>
    <row r="1255" spans="1:6" ht="12" thickBot="1">
      <c r="A1255" s="216">
        <v>33042</v>
      </c>
      <c r="B1255" s="217">
        <v>33048</v>
      </c>
      <c r="C1255" s="218">
        <v>0.35820000000000002</v>
      </c>
      <c r="D1255" s="221"/>
      <c r="E1255" s="221"/>
      <c r="F1255" s="219">
        <v>0.38069999999999998</v>
      </c>
    </row>
    <row r="1256" spans="1:6" ht="12" thickBot="1">
      <c r="A1256" s="216">
        <v>33035</v>
      </c>
      <c r="B1256" s="217">
        <v>33041</v>
      </c>
      <c r="C1256" s="218">
        <v>0.35959999999999998</v>
      </c>
      <c r="D1256" s="221"/>
      <c r="E1256" s="221"/>
      <c r="F1256" s="219">
        <v>0.379</v>
      </c>
    </row>
    <row r="1257" spans="1:6" ht="12" thickBot="1">
      <c r="A1257" s="216">
        <v>33028</v>
      </c>
      <c r="B1257" s="217">
        <v>33034</v>
      </c>
      <c r="C1257" s="218">
        <v>0.36109999999999998</v>
      </c>
      <c r="D1257" s="221"/>
      <c r="E1257" s="221"/>
      <c r="F1257" s="219">
        <v>0.37859999999999999</v>
      </c>
    </row>
    <row r="1258" spans="1:6" ht="12" thickBot="1">
      <c r="A1258" s="216">
        <v>33021</v>
      </c>
      <c r="B1258" s="217">
        <v>33027</v>
      </c>
      <c r="C1258" s="218">
        <v>0.3543</v>
      </c>
      <c r="D1258" s="221"/>
      <c r="E1258" s="221"/>
      <c r="F1258" s="219">
        <v>0.37809999999999999</v>
      </c>
    </row>
    <row r="1259" spans="1:6" ht="12" thickBot="1">
      <c r="A1259" s="216">
        <v>33014</v>
      </c>
      <c r="B1259" s="217">
        <v>33020</v>
      </c>
      <c r="C1259" s="218">
        <v>0.3548</v>
      </c>
      <c r="D1259" s="221"/>
      <c r="E1259" s="221"/>
      <c r="F1259" s="219">
        <v>0.37259999999999999</v>
      </c>
    </row>
    <row r="1260" spans="1:6" ht="12" thickBot="1">
      <c r="A1260" s="216">
        <v>33007</v>
      </c>
      <c r="B1260" s="217">
        <v>33013</v>
      </c>
      <c r="C1260" s="218">
        <v>0.35720000000000002</v>
      </c>
      <c r="D1260" s="221"/>
      <c r="E1260" s="221"/>
      <c r="F1260" s="219">
        <v>0.37369999999999998</v>
      </c>
    </row>
    <row r="1261" spans="1:6" ht="12" thickBot="1">
      <c r="A1261" s="216">
        <v>33000</v>
      </c>
      <c r="B1261" s="217">
        <v>33006</v>
      </c>
      <c r="C1261" s="218">
        <v>0.35849999999999999</v>
      </c>
      <c r="D1261" s="221"/>
      <c r="E1261" s="221"/>
      <c r="F1261" s="219">
        <v>0.37690000000000001</v>
      </c>
    </row>
    <row r="1262" spans="1:6" ht="12" thickBot="1">
      <c r="A1262" s="216">
        <v>32993</v>
      </c>
      <c r="B1262" s="217">
        <v>32999</v>
      </c>
      <c r="C1262" s="218">
        <v>0.35489999999999999</v>
      </c>
      <c r="D1262" s="221"/>
      <c r="E1262" s="221"/>
      <c r="F1262" s="219">
        <v>0.37680000000000002</v>
      </c>
    </row>
    <row r="1263" spans="1:6" ht="12" thickBot="1">
      <c r="A1263" s="216">
        <v>32986</v>
      </c>
      <c r="B1263" s="217">
        <v>32992</v>
      </c>
      <c r="C1263" s="218">
        <v>0.35859999999999997</v>
      </c>
      <c r="D1263" s="221"/>
      <c r="E1263" s="221"/>
      <c r="F1263" s="219">
        <v>0.38009999999999999</v>
      </c>
    </row>
    <row r="1264" spans="1:6" ht="12" thickBot="1">
      <c r="A1264" s="216">
        <v>32979</v>
      </c>
      <c r="B1264" s="217">
        <v>32985</v>
      </c>
      <c r="C1264" s="218">
        <v>0.35410000000000003</v>
      </c>
      <c r="D1264" s="221"/>
      <c r="E1264" s="221"/>
      <c r="F1264" s="219">
        <v>0.38290000000000002</v>
      </c>
    </row>
    <row r="1265" spans="1:6" ht="12" thickBot="1">
      <c r="A1265" s="216">
        <v>32972</v>
      </c>
      <c r="B1265" s="217">
        <v>32978</v>
      </c>
      <c r="C1265" s="218">
        <v>0.34839999999999999</v>
      </c>
      <c r="D1265" s="221"/>
      <c r="E1265" s="221"/>
      <c r="F1265" s="219">
        <v>0.3745</v>
      </c>
    </row>
    <row r="1266" spans="1:6" ht="12" thickBot="1">
      <c r="A1266" s="216">
        <v>32965</v>
      </c>
      <c r="B1266" s="217">
        <v>32971</v>
      </c>
      <c r="C1266" s="218">
        <v>0.3473</v>
      </c>
      <c r="D1266" s="221"/>
      <c r="E1266" s="221"/>
      <c r="F1266" s="219">
        <v>0.36859999999999998</v>
      </c>
    </row>
    <row r="1267" spans="1:6" ht="12" thickBot="1">
      <c r="A1267" s="216">
        <v>32958</v>
      </c>
      <c r="B1267" s="217">
        <v>32964</v>
      </c>
      <c r="C1267" s="218">
        <v>0.3412</v>
      </c>
      <c r="D1267" s="221"/>
      <c r="E1267" s="221"/>
      <c r="F1267" s="219">
        <v>0.3654</v>
      </c>
    </row>
    <row r="1268" spans="1:6" ht="12" thickBot="1">
      <c r="A1268" s="216">
        <v>32951</v>
      </c>
      <c r="B1268" s="217">
        <v>32957</v>
      </c>
      <c r="C1268" s="218">
        <v>0.3422</v>
      </c>
      <c r="D1268" s="221"/>
      <c r="E1268" s="221"/>
      <c r="F1268" s="219">
        <v>0.35949999999999999</v>
      </c>
    </row>
    <row r="1269" spans="1:6" ht="12" thickBot="1">
      <c r="A1269" s="216">
        <v>32944</v>
      </c>
      <c r="B1269" s="217">
        <v>32950</v>
      </c>
      <c r="C1269" s="218">
        <v>0.34289999999999998</v>
      </c>
      <c r="D1269" s="221"/>
      <c r="E1269" s="221"/>
      <c r="F1269" s="219">
        <v>0.35770000000000002</v>
      </c>
    </row>
    <row r="1270" spans="1:6" ht="12" thickBot="1">
      <c r="A1270" s="216">
        <v>32937</v>
      </c>
      <c r="B1270" s="217">
        <v>32943</v>
      </c>
      <c r="C1270" s="218">
        <v>0.34060000000000001</v>
      </c>
      <c r="D1270" s="221"/>
      <c r="E1270" s="221"/>
      <c r="F1270" s="219">
        <v>0.35510000000000003</v>
      </c>
    </row>
    <row r="1271" spans="1:6" ht="12" thickBot="1">
      <c r="A1271" s="216">
        <v>32930</v>
      </c>
      <c r="B1271" s="217">
        <v>32936</v>
      </c>
      <c r="C1271" s="218">
        <v>0.34160000000000001</v>
      </c>
      <c r="D1271" s="221"/>
      <c r="E1271" s="221"/>
      <c r="F1271" s="219">
        <v>0.35520000000000002</v>
      </c>
    </row>
    <row r="1272" spans="1:6" ht="12" thickBot="1">
      <c r="A1272" s="216">
        <v>32923</v>
      </c>
      <c r="B1272" s="217">
        <v>32929</v>
      </c>
      <c r="C1272" s="218">
        <v>0.3407</v>
      </c>
      <c r="D1272" s="221"/>
      <c r="E1272" s="221"/>
      <c r="F1272" s="219">
        <v>0.3453</v>
      </c>
    </row>
    <row r="1273" spans="1:6" ht="12" thickBot="1">
      <c r="A1273" s="216">
        <v>32916</v>
      </c>
      <c r="B1273" s="217">
        <v>32922</v>
      </c>
      <c r="C1273" s="218">
        <v>0.3407</v>
      </c>
      <c r="D1273" s="221"/>
      <c r="E1273" s="221"/>
      <c r="F1273" s="219">
        <v>0.34710000000000002</v>
      </c>
    </row>
    <row r="1274" spans="1:6" ht="12" thickBot="1">
      <c r="A1274" s="216">
        <v>32909</v>
      </c>
      <c r="B1274" s="217">
        <v>32915</v>
      </c>
      <c r="C1274" s="218">
        <v>0.34110000000000001</v>
      </c>
      <c r="D1274" s="221"/>
      <c r="E1274" s="221"/>
      <c r="F1274" s="219">
        <v>0.35</v>
      </c>
    </row>
    <row r="1275" spans="1:6" ht="12" thickBot="1">
      <c r="A1275" s="216">
        <v>32902</v>
      </c>
      <c r="B1275" s="217">
        <v>32908</v>
      </c>
      <c r="C1275" s="218">
        <v>0.34429999999999999</v>
      </c>
      <c r="D1275" s="221"/>
      <c r="E1275" s="221"/>
      <c r="F1275" s="219">
        <v>0.3548</v>
      </c>
    </row>
    <row r="1276" spans="1:6" ht="12" thickBot="1">
      <c r="A1276" s="216">
        <v>32895</v>
      </c>
      <c r="B1276" s="217">
        <v>32901</v>
      </c>
      <c r="C1276" s="218">
        <v>0.34860000000000002</v>
      </c>
      <c r="D1276" s="221"/>
      <c r="E1276" s="221"/>
      <c r="F1276" s="219">
        <v>0.3624</v>
      </c>
    </row>
    <row r="1277" spans="1:6" ht="12" thickBot="1">
      <c r="A1277" s="216">
        <v>32888</v>
      </c>
      <c r="B1277" s="217">
        <v>32894</v>
      </c>
      <c r="C1277" s="218">
        <v>0.35110000000000002</v>
      </c>
      <c r="D1277" s="221"/>
      <c r="E1277" s="221"/>
      <c r="F1277" s="219">
        <v>0.37469999999999998</v>
      </c>
    </row>
    <row r="1278" spans="1:6" ht="12" thickBot="1">
      <c r="A1278" s="216">
        <v>32881</v>
      </c>
      <c r="B1278" s="217">
        <v>32887</v>
      </c>
      <c r="C1278" s="218">
        <v>0.35470000000000002</v>
      </c>
      <c r="D1278" s="221"/>
      <c r="E1278" s="221"/>
      <c r="F1278" s="219">
        <v>0.3775</v>
      </c>
    </row>
    <row r="1279" spans="1:6" ht="12" thickBot="1">
      <c r="A1279" s="216">
        <v>32874</v>
      </c>
      <c r="B1279" s="217">
        <v>32880</v>
      </c>
      <c r="C1279" s="218">
        <v>0.34870000000000001</v>
      </c>
      <c r="D1279" s="221"/>
      <c r="E1279" s="221"/>
      <c r="F1279" s="219">
        <v>0.37569999999999998</v>
      </c>
    </row>
    <row r="1280" spans="1:6" ht="12" thickBot="1">
      <c r="A1280" s="216">
        <v>32867</v>
      </c>
      <c r="B1280" s="217">
        <v>32873</v>
      </c>
      <c r="C1280" s="218">
        <v>0.34570000000000001</v>
      </c>
      <c r="D1280" s="221"/>
      <c r="E1280" s="221"/>
      <c r="F1280" s="219">
        <v>0.37130000000000002</v>
      </c>
    </row>
    <row r="1281" spans="1:6" ht="12" thickBot="1">
      <c r="A1281" s="216">
        <v>32860</v>
      </c>
      <c r="B1281" s="217">
        <v>32866</v>
      </c>
      <c r="C1281" s="218">
        <v>0.34549999999999997</v>
      </c>
      <c r="D1281" s="221"/>
      <c r="E1281" s="221"/>
      <c r="F1281" s="219">
        <v>0.37109999999999999</v>
      </c>
    </row>
    <row r="1282" spans="1:6" ht="12" thickBot="1">
      <c r="A1282" s="216">
        <v>32853</v>
      </c>
      <c r="B1282" s="217">
        <v>32859</v>
      </c>
      <c r="C1282" s="218">
        <v>0.34710000000000002</v>
      </c>
      <c r="D1282" s="221"/>
      <c r="E1282" s="221"/>
      <c r="F1282" s="219">
        <v>0.37169999999999997</v>
      </c>
    </row>
    <row r="1283" spans="1:6" ht="12" thickBot="1">
      <c r="A1283" s="216">
        <v>32846</v>
      </c>
      <c r="B1283" s="217">
        <v>32852</v>
      </c>
      <c r="C1283" s="218">
        <v>0.34620000000000001</v>
      </c>
      <c r="D1283" s="221"/>
      <c r="E1283" s="221"/>
      <c r="F1283" s="219">
        <v>0.37080000000000002</v>
      </c>
    </row>
    <row r="1284" spans="1:6" ht="12" thickBot="1">
      <c r="A1284" s="216">
        <v>32839</v>
      </c>
      <c r="B1284" s="217">
        <v>32845</v>
      </c>
      <c r="C1284" s="218">
        <v>0.34720000000000001</v>
      </c>
      <c r="D1284" s="221"/>
      <c r="E1284" s="221"/>
      <c r="F1284" s="219">
        <v>0.36890000000000001</v>
      </c>
    </row>
    <row r="1285" spans="1:6" ht="12" thickBot="1">
      <c r="A1285" s="216">
        <v>32832</v>
      </c>
      <c r="B1285" s="217">
        <v>32838</v>
      </c>
      <c r="C1285" s="218">
        <v>0.34449999999999997</v>
      </c>
      <c r="D1285" s="221"/>
      <c r="E1285" s="221"/>
      <c r="F1285" s="219">
        <v>0.36449999999999999</v>
      </c>
    </row>
    <row r="1286" spans="1:6" ht="12" thickBot="1">
      <c r="A1286" s="216">
        <v>32825</v>
      </c>
      <c r="B1286" s="217">
        <v>32831</v>
      </c>
      <c r="C1286" s="218">
        <v>0.34920000000000001</v>
      </c>
      <c r="D1286" s="221"/>
      <c r="E1286" s="221"/>
      <c r="F1286" s="219">
        <v>0.36299999999999999</v>
      </c>
    </row>
    <row r="1287" spans="1:6" ht="12" thickBot="1">
      <c r="A1287" s="216">
        <v>32818</v>
      </c>
      <c r="B1287" s="217">
        <v>32824</v>
      </c>
      <c r="C1287" s="218">
        <v>0.3392</v>
      </c>
      <c r="D1287" s="221"/>
      <c r="E1287" s="221"/>
      <c r="F1287" s="219">
        <v>0.35920000000000002</v>
      </c>
    </row>
    <row r="1288" spans="1:6" ht="12" thickBot="1">
      <c r="A1288" s="216">
        <v>32811</v>
      </c>
      <c r="B1288" s="217">
        <v>32817</v>
      </c>
      <c r="C1288" s="218">
        <v>0.33710000000000001</v>
      </c>
      <c r="D1288" s="221"/>
      <c r="E1288" s="221"/>
      <c r="F1288" s="219">
        <v>0.35680000000000001</v>
      </c>
    </row>
    <row r="1289" spans="1:6" ht="12" thickBot="1">
      <c r="A1289" s="216">
        <v>32804</v>
      </c>
      <c r="B1289" s="217">
        <v>32810</v>
      </c>
      <c r="C1289" s="218">
        <v>0.33789999999999998</v>
      </c>
      <c r="D1289" s="221"/>
      <c r="E1289" s="221"/>
      <c r="F1289" s="219">
        <v>0.35349999999999998</v>
      </c>
    </row>
    <row r="1290" spans="1:6" ht="12" thickBot="1">
      <c r="A1290" s="216">
        <v>32797</v>
      </c>
      <c r="B1290" s="217">
        <v>32803</v>
      </c>
      <c r="C1290" s="218">
        <v>0.33489999999999998</v>
      </c>
      <c r="D1290" s="221"/>
      <c r="E1290" s="221"/>
      <c r="F1290" s="219">
        <v>0.35170000000000001</v>
      </c>
    </row>
    <row r="1291" spans="1:6" ht="12" thickBot="1">
      <c r="A1291" s="216">
        <v>32790</v>
      </c>
      <c r="B1291" s="217">
        <v>32796</v>
      </c>
      <c r="C1291" s="218">
        <v>0.33900000000000002</v>
      </c>
      <c r="D1291" s="221"/>
      <c r="E1291" s="221"/>
      <c r="F1291" s="219">
        <v>0.34660000000000002</v>
      </c>
    </row>
    <row r="1292" spans="1:6" ht="12" thickBot="1">
      <c r="A1292" s="216">
        <v>32783</v>
      </c>
      <c r="B1292" s="217">
        <v>32789</v>
      </c>
      <c r="C1292" s="218">
        <v>0.3347</v>
      </c>
      <c r="D1292" s="221"/>
      <c r="E1292" s="221"/>
      <c r="F1292" s="219">
        <v>0.34710000000000002</v>
      </c>
    </row>
    <row r="1293" spans="1:6" ht="12" thickBot="1">
      <c r="A1293" s="216">
        <v>32776</v>
      </c>
      <c r="B1293" s="217">
        <v>32782</v>
      </c>
      <c r="C1293" s="218">
        <v>0.33350000000000002</v>
      </c>
      <c r="D1293" s="221"/>
      <c r="E1293" s="221"/>
      <c r="F1293" s="219">
        <v>0.34589999999999999</v>
      </c>
    </row>
    <row r="1294" spans="1:6" ht="12" thickBot="1">
      <c r="A1294" s="216">
        <v>32769</v>
      </c>
      <c r="B1294" s="217">
        <v>32775</v>
      </c>
      <c r="C1294" s="218">
        <v>0.33860000000000001</v>
      </c>
      <c r="D1294" s="221"/>
      <c r="E1294" s="221"/>
      <c r="F1294" s="219">
        <v>0.34839999999999999</v>
      </c>
    </row>
    <row r="1295" spans="1:6" ht="12" thickBot="1">
      <c r="A1295" s="216">
        <v>32762</v>
      </c>
      <c r="B1295" s="217">
        <v>32768</v>
      </c>
      <c r="C1295" s="218">
        <v>0.33879999999999999</v>
      </c>
      <c r="D1295" s="221"/>
      <c r="E1295" s="221"/>
      <c r="F1295" s="219">
        <v>0.35349999999999998</v>
      </c>
    </row>
    <row r="1296" spans="1:6" ht="12" thickBot="1">
      <c r="A1296" s="216">
        <v>32755</v>
      </c>
      <c r="B1296" s="217">
        <v>32761</v>
      </c>
      <c r="C1296" s="218">
        <v>0.33929999999999999</v>
      </c>
      <c r="D1296" s="221"/>
      <c r="E1296" s="221"/>
      <c r="F1296" s="219">
        <v>0.35570000000000002</v>
      </c>
    </row>
    <row r="1297" spans="1:6" ht="12" thickBot="1">
      <c r="A1297" s="216">
        <v>32748</v>
      </c>
      <c r="B1297" s="217">
        <v>32754</v>
      </c>
      <c r="C1297" s="218">
        <v>0.3407</v>
      </c>
      <c r="D1297" s="221"/>
      <c r="E1297" s="221"/>
      <c r="F1297" s="219">
        <v>0.35520000000000002</v>
      </c>
    </row>
    <row r="1298" spans="1:6" ht="12" thickBot="1">
      <c r="A1298" s="216">
        <v>32741</v>
      </c>
      <c r="B1298" s="217">
        <v>32747</v>
      </c>
      <c r="C1298" s="218">
        <v>0.34100000000000003</v>
      </c>
      <c r="D1298" s="221"/>
      <c r="E1298" s="221"/>
      <c r="F1298" s="219">
        <v>0.35709999999999997</v>
      </c>
    </row>
    <row r="1299" spans="1:6" ht="12" thickBot="1">
      <c r="A1299" s="216">
        <v>32734</v>
      </c>
      <c r="B1299" s="217">
        <v>32740</v>
      </c>
      <c r="C1299" s="218">
        <v>0.34139999999999998</v>
      </c>
      <c r="D1299" s="221"/>
      <c r="E1299" s="221"/>
      <c r="F1299" s="219">
        <v>0.35620000000000002</v>
      </c>
    </row>
    <row r="1300" spans="1:6" ht="12" thickBot="1">
      <c r="A1300" s="216">
        <v>32727</v>
      </c>
      <c r="B1300" s="217">
        <v>32733</v>
      </c>
      <c r="C1300" s="218">
        <v>0.3407</v>
      </c>
      <c r="D1300" s="221"/>
      <c r="E1300" s="221"/>
      <c r="F1300" s="219">
        <v>0.35670000000000002</v>
      </c>
    </row>
    <row r="1301" spans="1:6" ht="12" thickBot="1">
      <c r="A1301" s="216">
        <v>32720</v>
      </c>
      <c r="B1301" s="217">
        <v>32726</v>
      </c>
      <c r="C1301" s="218">
        <v>0.33700000000000002</v>
      </c>
      <c r="D1301" s="221"/>
      <c r="E1301" s="221"/>
      <c r="F1301" s="219">
        <v>0.35549999999999998</v>
      </c>
    </row>
    <row r="1302" spans="1:6" ht="12" thickBot="1">
      <c r="A1302" s="216">
        <v>32713</v>
      </c>
      <c r="B1302" s="217">
        <v>32719</v>
      </c>
      <c r="C1302" s="218">
        <v>0.33710000000000001</v>
      </c>
      <c r="D1302" s="221"/>
      <c r="E1302" s="221"/>
      <c r="F1302" s="219">
        <v>0.3574</v>
      </c>
    </row>
    <row r="1303" spans="1:6" ht="12" thickBot="1">
      <c r="A1303" s="216">
        <v>32706</v>
      </c>
      <c r="B1303" s="217">
        <v>32712</v>
      </c>
      <c r="C1303" s="218">
        <v>0.34089999999999998</v>
      </c>
      <c r="D1303" s="221"/>
      <c r="E1303" s="221"/>
      <c r="F1303" s="219">
        <v>0.35670000000000002</v>
      </c>
    </row>
    <row r="1304" spans="1:6" ht="12" thickBot="1">
      <c r="A1304" s="216">
        <v>32699</v>
      </c>
      <c r="B1304" s="217">
        <v>32705</v>
      </c>
      <c r="C1304" s="218">
        <v>0.33779999999999999</v>
      </c>
      <c r="D1304" s="221"/>
      <c r="E1304" s="221"/>
      <c r="F1304" s="219">
        <v>0.35639999999999999</v>
      </c>
    </row>
    <row r="1305" spans="1:6" ht="12" thickBot="1">
      <c r="A1305" s="216">
        <v>32692</v>
      </c>
      <c r="B1305" s="217">
        <v>32698</v>
      </c>
      <c r="C1305" s="218">
        <v>0.33760000000000001</v>
      </c>
      <c r="D1305" s="221"/>
      <c r="E1305" s="221"/>
      <c r="F1305" s="219">
        <v>0.35320000000000001</v>
      </c>
    </row>
    <row r="1306" spans="1:6" ht="12" thickBot="1">
      <c r="A1306" s="216">
        <v>32685</v>
      </c>
      <c r="B1306" s="217">
        <v>32691</v>
      </c>
      <c r="C1306" s="218">
        <v>0.33760000000000001</v>
      </c>
      <c r="D1306" s="221"/>
      <c r="E1306" s="221"/>
      <c r="F1306" s="219">
        <v>0.35349999999999998</v>
      </c>
    </row>
    <row r="1307" spans="1:6" ht="12" thickBot="1">
      <c r="A1307" s="216">
        <v>32678</v>
      </c>
      <c r="B1307" s="217">
        <v>32684</v>
      </c>
      <c r="C1307" s="218">
        <v>0.34050000000000002</v>
      </c>
      <c r="D1307" s="221"/>
      <c r="E1307" s="221"/>
      <c r="F1307" s="219">
        <v>0.3533</v>
      </c>
    </row>
    <row r="1308" spans="1:6" ht="12" thickBot="1">
      <c r="A1308" s="216">
        <v>32671</v>
      </c>
      <c r="B1308" s="217">
        <v>32677</v>
      </c>
      <c r="C1308" s="218">
        <v>0.33210000000000001</v>
      </c>
      <c r="D1308" s="221"/>
      <c r="E1308" s="221"/>
      <c r="F1308" s="219">
        <v>0.35399999999999998</v>
      </c>
    </row>
    <row r="1309" spans="1:6" ht="12" thickBot="1">
      <c r="A1309" s="216">
        <v>32664</v>
      </c>
      <c r="B1309" s="217">
        <v>32670</v>
      </c>
      <c r="C1309" s="218">
        <v>0.33910000000000001</v>
      </c>
      <c r="D1309" s="221"/>
      <c r="E1309" s="221"/>
      <c r="F1309" s="219">
        <v>0.3543</v>
      </c>
    </row>
    <row r="1310" spans="1:6" ht="12" thickBot="1">
      <c r="A1310" s="216">
        <v>32657</v>
      </c>
      <c r="B1310" s="217">
        <v>32663</v>
      </c>
      <c r="C1310" s="218">
        <v>0.33810000000000001</v>
      </c>
      <c r="D1310" s="221"/>
      <c r="E1310" s="221"/>
      <c r="F1310" s="219">
        <v>0.35220000000000001</v>
      </c>
    </row>
    <row r="1311" spans="1:6" ht="12" thickBot="1">
      <c r="A1311" s="216">
        <v>32650</v>
      </c>
      <c r="B1311" s="217">
        <v>32656</v>
      </c>
      <c r="C1311" s="218">
        <v>0.33850000000000002</v>
      </c>
      <c r="D1311" s="221"/>
      <c r="E1311" s="221"/>
      <c r="F1311" s="219">
        <v>0.35220000000000001</v>
      </c>
    </row>
    <row r="1312" spans="1:6" ht="12" thickBot="1">
      <c r="A1312" s="216">
        <v>32643</v>
      </c>
      <c r="B1312" s="217">
        <v>32649</v>
      </c>
      <c r="C1312" s="218">
        <v>0.3402</v>
      </c>
      <c r="D1312" s="221"/>
      <c r="E1312" s="221"/>
      <c r="F1312" s="219">
        <v>0.3523</v>
      </c>
    </row>
    <row r="1313" spans="1:6" ht="12" thickBot="1">
      <c r="A1313" s="216">
        <v>32636</v>
      </c>
      <c r="B1313" s="217">
        <v>32642</v>
      </c>
      <c r="C1313" s="218">
        <v>0.33729999999999999</v>
      </c>
      <c r="D1313" s="221"/>
      <c r="E1313" s="221"/>
      <c r="F1313" s="219">
        <v>0.3523</v>
      </c>
    </row>
    <row r="1314" spans="1:6" ht="12" thickBot="1">
      <c r="A1314" s="216">
        <v>32629</v>
      </c>
      <c r="B1314" s="217">
        <v>32635</v>
      </c>
      <c r="C1314" s="218">
        <v>0.33579999999999999</v>
      </c>
      <c r="D1314" s="221"/>
      <c r="E1314" s="221"/>
      <c r="F1314" s="219">
        <v>0.3538</v>
      </c>
    </row>
    <row r="1315" spans="1:6" ht="12" thickBot="1">
      <c r="A1315" s="216">
        <v>32622</v>
      </c>
      <c r="B1315" s="217">
        <v>32628</v>
      </c>
      <c r="C1315" s="218">
        <v>0.33450000000000002</v>
      </c>
      <c r="D1315" s="221"/>
      <c r="E1315" s="221"/>
      <c r="F1315" s="219">
        <v>0.35189999999999999</v>
      </c>
    </row>
    <row r="1316" spans="1:6" ht="12" thickBot="1">
      <c r="A1316" s="216">
        <v>32615</v>
      </c>
      <c r="B1316" s="217">
        <v>32621</v>
      </c>
      <c r="C1316" s="218">
        <v>0.33689999999999998</v>
      </c>
      <c r="D1316" s="221"/>
      <c r="E1316" s="221"/>
      <c r="F1316" s="219">
        <v>0.34870000000000001</v>
      </c>
    </row>
    <row r="1317" spans="1:6" ht="12" thickBot="1">
      <c r="A1317" s="216">
        <v>32608</v>
      </c>
      <c r="B1317" s="217">
        <v>32614</v>
      </c>
      <c r="C1317" s="218">
        <v>0.33090000000000003</v>
      </c>
      <c r="D1317" s="221"/>
      <c r="E1317" s="221"/>
      <c r="F1317" s="219">
        <v>0.34470000000000001</v>
      </c>
    </row>
    <row r="1318" spans="1:6" ht="12" thickBot="1">
      <c r="A1318" s="216">
        <v>32601</v>
      </c>
      <c r="B1318" s="217">
        <v>32607</v>
      </c>
      <c r="C1318" s="218">
        <v>0.33079999999999998</v>
      </c>
      <c r="D1318" s="221"/>
      <c r="E1318" s="221"/>
      <c r="F1318" s="219">
        <v>0.3397</v>
      </c>
    </row>
    <row r="1319" spans="1:6" ht="12" thickBot="1">
      <c r="A1319" s="216">
        <v>32594</v>
      </c>
      <c r="B1319" s="217">
        <v>32600</v>
      </c>
      <c r="C1319" s="218">
        <v>0.3301</v>
      </c>
      <c r="D1319" s="221"/>
      <c r="E1319" s="221"/>
      <c r="F1319" s="219">
        <v>0.33900000000000002</v>
      </c>
    </row>
    <row r="1320" spans="1:6" ht="12" thickBot="1">
      <c r="A1320" s="216">
        <v>32587</v>
      </c>
      <c r="B1320" s="217">
        <v>32593</v>
      </c>
      <c r="C1320" s="218">
        <v>0.33189999999999997</v>
      </c>
      <c r="D1320" s="221"/>
      <c r="E1320" s="221"/>
      <c r="F1320" s="219">
        <v>0.34139999999999998</v>
      </c>
    </row>
    <row r="1321" spans="1:6" ht="12" thickBot="1">
      <c r="A1321" s="216">
        <v>32580</v>
      </c>
      <c r="B1321" s="217">
        <v>32586</v>
      </c>
      <c r="C1321" s="218">
        <v>0.3322</v>
      </c>
      <c r="D1321" s="221"/>
      <c r="E1321" s="221"/>
      <c r="F1321" s="219">
        <v>0.34229999999999999</v>
      </c>
    </row>
    <row r="1322" spans="1:6" ht="12" thickBot="1">
      <c r="A1322" s="216">
        <v>32573</v>
      </c>
      <c r="B1322" s="217">
        <v>32579</v>
      </c>
      <c r="C1322" s="218">
        <v>0.32940000000000003</v>
      </c>
      <c r="D1322" s="221"/>
      <c r="E1322" s="221"/>
      <c r="F1322" s="219">
        <v>0.33929999999999999</v>
      </c>
    </row>
    <row r="1323" spans="1:6" ht="12" thickBot="1">
      <c r="A1323" s="216">
        <v>32566</v>
      </c>
      <c r="B1323" s="217">
        <v>32572</v>
      </c>
      <c r="C1323" s="218">
        <v>0.3306</v>
      </c>
      <c r="D1323" s="221"/>
      <c r="E1323" s="221"/>
      <c r="F1323" s="219">
        <v>0.33550000000000002</v>
      </c>
    </row>
    <row r="1324" spans="1:6" ht="12" thickBot="1">
      <c r="A1324" s="216">
        <v>32559</v>
      </c>
      <c r="B1324" s="217">
        <v>32565</v>
      </c>
      <c r="C1324" s="218">
        <v>0.32640000000000002</v>
      </c>
      <c r="D1324" s="221"/>
      <c r="E1324" s="221"/>
      <c r="F1324" s="219">
        <v>0.32640000000000002</v>
      </c>
    </row>
    <row r="1325" spans="1:6" ht="12" thickBot="1">
      <c r="A1325" s="216">
        <v>32552</v>
      </c>
      <c r="B1325" s="217">
        <v>32558</v>
      </c>
      <c r="C1325" s="218">
        <v>0.32719999999999999</v>
      </c>
      <c r="D1325" s="221"/>
      <c r="E1325" s="221"/>
      <c r="F1325" s="219">
        <v>0.33150000000000002</v>
      </c>
    </row>
    <row r="1326" spans="1:6" ht="12" thickBot="1">
      <c r="A1326" s="216">
        <v>32545</v>
      </c>
      <c r="B1326" s="217">
        <v>32551</v>
      </c>
      <c r="C1326" s="218">
        <v>0.32300000000000001</v>
      </c>
      <c r="D1326" s="221"/>
      <c r="E1326" s="221"/>
      <c r="F1326" s="219">
        <v>0.33040000000000003</v>
      </c>
    </row>
    <row r="1327" spans="1:6" ht="12" thickBot="1">
      <c r="A1327" s="216">
        <v>32538</v>
      </c>
      <c r="B1327" s="217">
        <v>32544</v>
      </c>
      <c r="C1327" s="218">
        <v>0.32150000000000001</v>
      </c>
      <c r="D1327" s="221"/>
      <c r="E1327" s="221"/>
      <c r="F1327" s="219">
        <v>0.33050000000000002</v>
      </c>
    </row>
    <row r="1328" spans="1:6" ht="12" thickBot="1">
      <c r="A1328" s="216">
        <v>32531</v>
      </c>
      <c r="B1328" s="217">
        <v>32537</v>
      </c>
      <c r="C1328" s="218">
        <v>0.32140000000000002</v>
      </c>
      <c r="D1328" s="221"/>
      <c r="E1328" s="221"/>
      <c r="F1328" s="219">
        <v>0.33040000000000003</v>
      </c>
    </row>
    <row r="1329" spans="1:6" ht="12" thickBot="1">
      <c r="A1329" s="216">
        <v>32524</v>
      </c>
      <c r="B1329" s="217">
        <v>32530</v>
      </c>
      <c r="C1329" s="218">
        <v>0.32369999999999999</v>
      </c>
      <c r="D1329" s="221"/>
      <c r="E1329" s="221"/>
      <c r="F1329" s="219">
        <v>0.32979999999999998</v>
      </c>
    </row>
    <row r="1330" spans="1:6" ht="12" thickBot="1">
      <c r="A1330" s="216">
        <v>32517</v>
      </c>
      <c r="B1330" s="217">
        <v>32523</v>
      </c>
      <c r="C1330" s="218">
        <v>0.32269999999999999</v>
      </c>
      <c r="D1330" s="221"/>
      <c r="E1330" s="221"/>
      <c r="F1330" s="219">
        <v>0.33050000000000002</v>
      </c>
    </row>
    <row r="1331" spans="1:6" ht="12" thickBot="1">
      <c r="A1331" s="216">
        <v>32510</v>
      </c>
      <c r="B1331" s="217">
        <v>32516</v>
      </c>
      <c r="C1331" s="218">
        <v>0.32469999999999999</v>
      </c>
      <c r="D1331" s="221"/>
      <c r="E1331" s="221"/>
      <c r="F1331" s="219">
        <v>0.33040000000000003</v>
      </c>
    </row>
    <row r="1332" spans="1:6" ht="12" thickBot="1">
      <c r="A1332" s="216">
        <v>32503</v>
      </c>
      <c r="B1332" s="217">
        <v>32509</v>
      </c>
      <c r="C1332" s="218">
        <v>0.32069999999999999</v>
      </c>
      <c r="D1332" s="221"/>
      <c r="E1332" s="221"/>
      <c r="F1332" s="219">
        <v>0.33040000000000003</v>
      </c>
    </row>
    <row r="1333" spans="1:6" ht="12" thickBot="1">
      <c r="A1333" s="216">
        <v>32496</v>
      </c>
      <c r="B1333" s="217">
        <v>32502</v>
      </c>
      <c r="C1333" s="218">
        <v>0.32129999999999997</v>
      </c>
      <c r="D1333" s="221"/>
      <c r="E1333" s="221"/>
      <c r="F1333" s="219">
        <v>0.33040000000000003</v>
      </c>
    </row>
    <row r="1334" spans="1:6" ht="12" thickBot="1">
      <c r="A1334" s="216">
        <v>32489</v>
      </c>
      <c r="B1334" s="217">
        <v>32495</v>
      </c>
      <c r="C1334" s="218">
        <v>0.32050000000000001</v>
      </c>
      <c r="D1334" s="221"/>
      <c r="E1334" s="221"/>
      <c r="F1334" s="219">
        <v>0.33019999999999999</v>
      </c>
    </row>
    <row r="1335" spans="1:6" ht="12" thickBot="1">
      <c r="A1335" s="216">
        <v>32482</v>
      </c>
      <c r="B1335" s="217">
        <v>32488</v>
      </c>
      <c r="C1335" s="218">
        <v>0.32369999999999999</v>
      </c>
      <c r="D1335" s="221"/>
      <c r="E1335" s="221"/>
      <c r="F1335" s="219">
        <v>0.3291</v>
      </c>
    </row>
    <row r="1336" spans="1:6" ht="12" thickBot="1">
      <c r="A1336" s="216">
        <v>32475</v>
      </c>
      <c r="B1336" s="217">
        <v>32481</v>
      </c>
      <c r="C1336" s="218">
        <v>0.32279999999999998</v>
      </c>
      <c r="D1336" s="221"/>
      <c r="E1336" s="221"/>
      <c r="F1336" s="219">
        <v>0.33040000000000003</v>
      </c>
    </row>
    <row r="1337" spans="1:6" ht="12" thickBot="1">
      <c r="A1337" s="216">
        <v>32468</v>
      </c>
      <c r="B1337" s="217">
        <v>32474</v>
      </c>
      <c r="C1337" s="218">
        <v>0.32219999999999999</v>
      </c>
      <c r="D1337" s="221"/>
      <c r="E1337" s="221"/>
      <c r="F1337" s="219">
        <v>0.32990000000000003</v>
      </c>
    </row>
    <row r="1338" spans="1:6" ht="12" thickBot="1">
      <c r="A1338" s="216">
        <v>32461</v>
      </c>
      <c r="B1338" s="217">
        <v>32467</v>
      </c>
      <c r="C1338" s="218">
        <v>0.32219999999999999</v>
      </c>
      <c r="D1338" s="221"/>
      <c r="E1338" s="221"/>
      <c r="F1338" s="219">
        <v>0.32879999999999998</v>
      </c>
    </row>
    <row r="1339" spans="1:6" ht="12" thickBot="1">
      <c r="A1339" s="216">
        <v>32454</v>
      </c>
      <c r="B1339" s="217">
        <v>32460</v>
      </c>
      <c r="C1339" s="218">
        <v>0.32150000000000001</v>
      </c>
      <c r="D1339" s="221"/>
      <c r="E1339" s="221"/>
      <c r="F1339" s="219">
        <v>0.33090000000000003</v>
      </c>
    </row>
    <row r="1340" spans="1:6" ht="12" thickBot="1">
      <c r="A1340" s="216">
        <v>32447</v>
      </c>
      <c r="B1340" s="217">
        <v>32453</v>
      </c>
      <c r="C1340" s="218">
        <v>0.30909999999999999</v>
      </c>
      <c r="D1340" s="221"/>
      <c r="E1340" s="221"/>
      <c r="F1340" s="219">
        <v>0.33310000000000001</v>
      </c>
    </row>
    <row r="1341" spans="1:6" ht="12" thickBot="1">
      <c r="A1341" s="216">
        <v>32440</v>
      </c>
      <c r="B1341" s="217">
        <v>32446</v>
      </c>
      <c r="C1341" s="218">
        <v>0.32040000000000002</v>
      </c>
      <c r="D1341" s="221"/>
      <c r="E1341" s="221"/>
      <c r="F1341" s="219">
        <v>0.33189999999999997</v>
      </c>
    </row>
    <row r="1342" spans="1:6" ht="12" thickBot="1">
      <c r="A1342" s="216">
        <v>32433</v>
      </c>
      <c r="B1342" s="217">
        <v>32439</v>
      </c>
      <c r="C1342" s="218">
        <v>0.32100000000000001</v>
      </c>
      <c r="D1342" s="221"/>
      <c r="E1342" s="221"/>
      <c r="F1342" s="219">
        <v>0.33090000000000003</v>
      </c>
    </row>
    <row r="1343" spans="1:6" ht="12" thickBot="1">
      <c r="A1343" s="216">
        <v>32426</v>
      </c>
      <c r="B1343" s="217">
        <v>32432</v>
      </c>
      <c r="C1343" s="218">
        <v>0.32219999999999999</v>
      </c>
      <c r="D1343" s="221"/>
      <c r="E1343" s="221"/>
      <c r="F1343" s="219">
        <v>0.3301</v>
      </c>
    </row>
    <row r="1344" spans="1:6" ht="12" thickBot="1">
      <c r="A1344" s="216">
        <v>32419</v>
      </c>
      <c r="B1344" s="217">
        <v>32425</v>
      </c>
      <c r="C1344" s="218">
        <v>0.32369999999999999</v>
      </c>
      <c r="D1344" s="221"/>
      <c r="E1344" s="221"/>
      <c r="F1344" s="219">
        <v>0.3306</v>
      </c>
    </row>
    <row r="1345" spans="1:6" ht="12" thickBot="1">
      <c r="A1345" s="216">
        <v>32412</v>
      </c>
      <c r="B1345" s="217">
        <v>32418</v>
      </c>
      <c r="C1345" s="218">
        <v>0.32269999999999999</v>
      </c>
      <c r="D1345" s="221"/>
      <c r="E1345" s="221"/>
      <c r="F1345" s="219">
        <v>0.33079999999999998</v>
      </c>
    </row>
    <row r="1346" spans="1:6" ht="12" thickBot="1">
      <c r="A1346" s="216">
        <v>32405</v>
      </c>
      <c r="B1346" s="217">
        <v>32411</v>
      </c>
      <c r="C1346" s="218">
        <v>0.32029999999999997</v>
      </c>
      <c r="D1346" s="221"/>
      <c r="E1346" s="221"/>
      <c r="F1346" s="219">
        <v>0.33189999999999997</v>
      </c>
    </row>
    <row r="1347" spans="1:6" ht="12" thickBot="1">
      <c r="A1347" s="216">
        <v>32398</v>
      </c>
      <c r="B1347" s="217">
        <v>32404</v>
      </c>
      <c r="C1347" s="218">
        <v>0.35709999999999997</v>
      </c>
      <c r="D1347" s="221"/>
      <c r="E1347" s="221"/>
      <c r="F1347" s="219">
        <v>0.33839999999999998</v>
      </c>
    </row>
    <row r="1348" spans="1:6" ht="12" thickBot="1">
      <c r="A1348" s="216">
        <v>32391</v>
      </c>
      <c r="B1348" s="217">
        <v>32397</v>
      </c>
      <c r="C1348" s="218">
        <v>0.35809999999999997</v>
      </c>
      <c r="D1348" s="221"/>
      <c r="E1348" s="221"/>
      <c r="F1348" s="219">
        <v>0.37259999999999999</v>
      </c>
    </row>
    <row r="1349" spans="1:6" ht="12" thickBot="1">
      <c r="A1349" s="216">
        <v>32384</v>
      </c>
      <c r="B1349" s="217">
        <v>32390</v>
      </c>
      <c r="C1349" s="218">
        <v>0.34179999999999999</v>
      </c>
      <c r="D1349" s="221"/>
      <c r="E1349" s="221"/>
      <c r="F1349" s="219">
        <v>0.37380000000000002</v>
      </c>
    </row>
    <row r="1350" spans="1:6" ht="12" thickBot="1">
      <c r="A1350" s="216">
        <v>32377</v>
      </c>
      <c r="B1350" s="217">
        <v>32383</v>
      </c>
      <c r="C1350" s="218">
        <v>0.35270000000000001</v>
      </c>
      <c r="D1350" s="221"/>
      <c r="E1350" s="221"/>
      <c r="F1350" s="219">
        <v>0.37559999999999999</v>
      </c>
    </row>
    <row r="1351" spans="1:6" ht="12" thickBot="1">
      <c r="A1351" s="216">
        <v>32370</v>
      </c>
      <c r="B1351" s="217">
        <v>32376</v>
      </c>
      <c r="C1351" s="218">
        <v>0.35570000000000002</v>
      </c>
      <c r="D1351" s="221"/>
      <c r="E1351" s="221"/>
      <c r="F1351" s="219">
        <v>0.37290000000000001</v>
      </c>
    </row>
    <row r="1352" spans="1:6" ht="12" thickBot="1">
      <c r="A1352" s="216">
        <v>32363</v>
      </c>
      <c r="B1352" s="217">
        <v>32369</v>
      </c>
      <c r="C1352" s="218">
        <v>0.35320000000000001</v>
      </c>
      <c r="D1352" s="221"/>
      <c r="E1352" s="221"/>
      <c r="F1352" s="219">
        <v>0.3674</v>
      </c>
    </row>
    <row r="1353" spans="1:6" ht="12" thickBot="1">
      <c r="A1353" s="216">
        <v>32356</v>
      </c>
      <c r="B1353" s="217">
        <v>32362</v>
      </c>
      <c r="C1353" s="218">
        <v>0.35049999999999998</v>
      </c>
      <c r="D1353" s="221"/>
      <c r="E1353" s="221"/>
      <c r="F1353" s="219">
        <v>0.36820000000000003</v>
      </c>
    </row>
    <row r="1354" spans="1:6" ht="12" thickBot="1">
      <c r="A1354" s="216">
        <v>32349</v>
      </c>
      <c r="B1354" s="217">
        <v>32355</v>
      </c>
      <c r="C1354" s="218">
        <v>0.3478</v>
      </c>
      <c r="D1354" s="221"/>
      <c r="E1354" s="221"/>
      <c r="F1354" s="219">
        <v>0.36709999999999998</v>
      </c>
    </row>
    <row r="1355" spans="1:6" ht="12" thickBot="1">
      <c r="A1355" s="216">
        <v>32342</v>
      </c>
      <c r="B1355" s="217">
        <v>32348</v>
      </c>
      <c r="C1355" s="218">
        <v>0.35420000000000001</v>
      </c>
      <c r="D1355" s="221"/>
      <c r="E1355" s="221"/>
      <c r="F1355" s="219">
        <v>0.36890000000000001</v>
      </c>
    </row>
    <row r="1356" spans="1:6" ht="12" thickBot="1">
      <c r="A1356" s="216">
        <v>32335</v>
      </c>
      <c r="B1356" s="217">
        <v>32341</v>
      </c>
      <c r="C1356" s="218">
        <v>0.34820000000000001</v>
      </c>
      <c r="D1356" s="221"/>
      <c r="E1356" s="221"/>
      <c r="F1356" s="219">
        <v>0.36959999999999998</v>
      </c>
    </row>
    <row r="1357" spans="1:6" ht="12" thickBot="1">
      <c r="A1357" s="216">
        <v>32328</v>
      </c>
      <c r="B1357" s="217">
        <v>32334</v>
      </c>
      <c r="C1357" s="218">
        <v>0.36820000000000003</v>
      </c>
      <c r="D1357" s="221"/>
      <c r="E1357" s="221"/>
      <c r="F1357" s="219">
        <v>0.36820000000000003</v>
      </c>
    </row>
    <row r="1358" spans="1:6" ht="12" thickBot="1">
      <c r="A1358" s="216">
        <v>32321</v>
      </c>
      <c r="B1358" s="217">
        <v>32327</v>
      </c>
      <c r="C1358" s="218">
        <v>0.36509999999999998</v>
      </c>
      <c r="D1358" s="221"/>
      <c r="E1358" s="221"/>
      <c r="F1358" s="219">
        <v>0.36509999999999998</v>
      </c>
    </row>
    <row r="1359" spans="1:6" ht="12" thickBot="1">
      <c r="A1359" s="216">
        <v>32314</v>
      </c>
      <c r="B1359" s="217">
        <v>32320</v>
      </c>
      <c r="C1359" s="218">
        <v>0.36420000000000002</v>
      </c>
      <c r="D1359" s="221"/>
      <c r="E1359" s="221"/>
      <c r="F1359" s="219">
        <v>0.36420000000000002</v>
      </c>
    </row>
    <row r="1360" spans="1:6" ht="12" thickBot="1">
      <c r="A1360" s="216">
        <v>32307</v>
      </c>
      <c r="B1360" s="217">
        <v>32313</v>
      </c>
      <c r="C1360" s="218">
        <v>0.36180000000000001</v>
      </c>
      <c r="D1360" s="221"/>
      <c r="E1360" s="221"/>
      <c r="F1360" s="219">
        <v>0.36180000000000001</v>
      </c>
    </row>
    <row r="1361" spans="1:6" ht="12" thickBot="1">
      <c r="A1361" s="216">
        <v>32300</v>
      </c>
      <c r="B1361" s="217">
        <v>32306</v>
      </c>
      <c r="C1361" s="218">
        <v>0.36449999999999999</v>
      </c>
      <c r="D1361" s="221"/>
      <c r="E1361" s="221"/>
      <c r="F1361" s="219">
        <v>0.36449999999999999</v>
      </c>
    </row>
    <row r="1362" spans="1:6" ht="12" thickBot="1">
      <c r="A1362" s="216">
        <v>32293</v>
      </c>
      <c r="B1362" s="217">
        <v>32299</v>
      </c>
      <c r="C1362" s="218">
        <v>0.36480000000000001</v>
      </c>
      <c r="D1362" s="221"/>
      <c r="E1362" s="221"/>
      <c r="F1362" s="219">
        <v>0.36480000000000001</v>
      </c>
    </row>
    <row r="1363" spans="1:6" ht="12" thickBot="1">
      <c r="A1363" s="216">
        <v>32286</v>
      </c>
      <c r="B1363" s="217">
        <v>32292</v>
      </c>
      <c r="C1363" s="218">
        <v>0.36609999999999998</v>
      </c>
      <c r="D1363" s="221"/>
      <c r="E1363" s="221"/>
      <c r="F1363" s="219">
        <v>0.36609999999999998</v>
      </c>
    </row>
    <row r="1364" spans="1:6" ht="12" thickBot="1">
      <c r="A1364" s="216">
        <v>32279</v>
      </c>
      <c r="B1364" s="217">
        <v>32285</v>
      </c>
      <c r="C1364" s="218">
        <v>0.36699999999999999</v>
      </c>
      <c r="D1364" s="221"/>
      <c r="E1364" s="221"/>
      <c r="F1364" s="219">
        <v>0.36699999999999999</v>
      </c>
    </row>
    <row r="1365" spans="1:6" ht="12" thickBot="1">
      <c r="A1365" s="216">
        <v>32272</v>
      </c>
      <c r="B1365" s="217">
        <v>32278</v>
      </c>
      <c r="C1365" s="218">
        <v>0.36399999999999999</v>
      </c>
      <c r="D1365" s="221"/>
      <c r="E1365" s="221"/>
      <c r="F1365" s="219">
        <v>0.36399999999999999</v>
      </c>
    </row>
    <row r="1366" spans="1:6" ht="12" thickBot="1">
      <c r="A1366" s="216">
        <v>32265</v>
      </c>
      <c r="B1366" s="217">
        <v>32271</v>
      </c>
      <c r="C1366" s="218">
        <v>0.36580000000000001</v>
      </c>
      <c r="D1366" s="221"/>
      <c r="E1366" s="221"/>
      <c r="F1366" s="219">
        <v>0.36580000000000001</v>
      </c>
    </row>
    <row r="1367" spans="1:6" ht="12" thickBot="1">
      <c r="A1367" s="216">
        <v>32258</v>
      </c>
      <c r="B1367" s="217">
        <v>32264</v>
      </c>
      <c r="C1367" s="218">
        <v>0.3634</v>
      </c>
      <c r="D1367" s="221"/>
      <c r="E1367" s="221"/>
      <c r="F1367" s="219">
        <v>0.3634</v>
      </c>
    </row>
    <row r="1368" spans="1:6" ht="12" thickBot="1">
      <c r="A1368" s="216">
        <v>32251</v>
      </c>
      <c r="B1368" s="217">
        <v>32257</v>
      </c>
      <c r="C1368" s="218">
        <v>0.3654</v>
      </c>
      <c r="D1368" s="221"/>
      <c r="E1368" s="221"/>
      <c r="F1368" s="219">
        <v>0.3654</v>
      </c>
    </row>
    <row r="1369" spans="1:6" ht="12" thickBot="1">
      <c r="A1369" s="216">
        <v>32244</v>
      </c>
      <c r="B1369" s="217">
        <v>32250</v>
      </c>
      <c r="C1369" s="218">
        <v>0.35580000000000001</v>
      </c>
      <c r="D1369" s="221"/>
      <c r="E1369" s="221"/>
      <c r="F1369" s="219">
        <v>0.35580000000000001</v>
      </c>
    </row>
    <row r="1370" spans="1:6" ht="12" thickBot="1">
      <c r="A1370" s="216">
        <v>32237</v>
      </c>
      <c r="B1370" s="217">
        <v>32243</v>
      </c>
      <c r="C1370" s="218">
        <v>0.35399999999999998</v>
      </c>
      <c r="D1370" s="221"/>
      <c r="E1370" s="221"/>
      <c r="F1370" s="219">
        <v>0.35399999999999998</v>
      </c>
    </row>
    <row r="1371" spans="1:6" ht="12" thickBot="1">
      <c r="A1371" s="216">
        <v>32230</v>
      </c>
      <c r="B1371" s="217">
        <v>32236</v>
      </c>
      <c r="C1371" s="218">
        <v>0.35110000000000002</v>
      </c>
      <c r="D1371" s="221"/>
      <c r="E1371" s="221"/>
      <c r="F1371" s="219">
        <v>0.35110000000000002</v>
      </c>
    </row>
    <row r="1372" spans="1:6" ht="12" thickBot="1">
      <c r="A1372" s="216">
        <v>32223</v>
      </c>
      <c r="B1372" s="217">
        <v>32229</v>
      </c>
      <c r="C1372" s="218">
        <v>0.34370000000000001</v>
      </c>
      <c r="D1372" s="221"/>
      <c r="E1372" s="221"/>
      <c r="F1372" s="219">
        <v>0.34370000000000001</v>
      </c>
    </row>
    <row r="1373" spans="1:6" ht="12" thickBot="1">
      <c r="A1373" s="216">
        <v>32216</v>
      </c>
      <c r="B1373" s="217">
        <v>32222</v>
      </c>
      <c r="C1373" s="218">
        <v>0.34079999999999999</v>
      </c>
      <c r="D1373" s="221"/>
      <c r="E1373" s="221"/>
      <c r="F1373" s="219">
        <v>0.34079999999999999</v>
      </c>
    </row>
    <row r="1374" spans="1:6" ht="12" thickBot="1">
      <c r="A1374" s="216">
        <v>32209</v>
      </c>
      <c r="B1374" s="217">
        <v>32215</v>
      </c>
      <c r="C1374" s="218">
        <v>0.33689999999999998</v>
      </c>
      <c r="D1374" s="221"/>
      <c r="E1374" s="221"/>
      <c r="F1374" s="219">
        <v>0.33689999999999998</v>
      </c>
    </row>
    <row r="1375" spans="1:6" ht="12" thickBot="1">
      <c r="A1375" s="216">
        <v>32202</v>
      </c>
      <c r="B1375" s="217">
        <v>32208</v>
      </c>
      <c r="C1375" s="218">
        <v>0.33539999999999998</v>
      </c>
      <c r="D1375" s="221"/>
      <c r="E1375" s="221"/>
      <c r="F1375" s="219">
        <v>0.33539999999999998</v>
      </c>
    </row>
    <row r="1376" spans="1:6" ht="12" thickBot="1">
      <c r="A1376" s="216">
        <v>32195</v>
      </c>
      <c r="B1376" s="217">
        <v>32201</v>
      </c>
      <c r="C1376" s="218">
        <v>0.33350000000000002</v>
      </c>
      <c r="D1376" s="221"/>
      <c r="E1376" s="221"/>
      <c r="F1376" s="219">
        <v>0.33350000000000002</v>
      </c>
    </row>
    <row r="1377" spans="1:6" ht="12" thickBot="1">
      <c r="A1377" s="216">
        <v>32188</v>
      </c>
      <c r="B1377" s="217">
        <v>32194</v>
      </c>
      <c r="C1377" s="218">
        <v>0.3347</v>
      </c>
      <c r="D1377" s="221"/>
      <c r="E1377" s="221"/>
      <c r="F1377" s="219">
        <v>0.3347</v>
      </c>
    </row>
    <row r="1378" spans="1:6" ht="12" thickBot="1">
      <c r="A1378" s="216">
        <v>32181</v>
      </c>
      <c r="B1378" s="217">
        <v>32187</v>
      </c>
      <c r="C1378" s="218">
        <v>0.33160000000000001</v>
      </c>
      <c r="D1378" s="221"/>
      <c r="E1378" s="221"/>
      <c r="F1378" s="219">
        <v>0.33160000000000001</v>
      </c>
    </row>
    <row r="1379" spans="1:6" ht="12" thickBot="1">
      <c r="A1379" s="216">
        <v>32174</v>
      </c>
      <c r="B1379" s="217">
        <v>32180</v>
      </c>
      <c r="C1379" s="218">
        <v>0.32779999999999998</v>
      </c>
      <c r="D1379" s="221"/>
      <c r="E1379" s="221"/>
      <c r="F1379" s="219">
        <v>0.32779999999999998</v>
      </c>
    </row>
    <row r="1380" spans="1:6" ht="12" thickBot="1">
      <c r="A1380" s="216">
        <v>32167</v>
      </c>
      <c r="B1380" s="217">
        <v>32173</v>
      </c>
      <c r="C1380" s="218">
        <v>0.32690000000000002</v>
      </c>
      <c r="D1380" s="221"/>
      <c r="E1380" s="221"/>
      <c r="F1380" s="219">
        <v>0.32690000000000002</v>
      </c>
    </row>
    <row r="1381" spans="1:6" ht="12" thickBot="1">
      <c r="A1381" s="216">
        <v>32160</v>
      </c>
      <c r="B1381" s="217">
        <v>32166</v>
      </c>
      <c r="C1381" s="218">
        <v>0.33350000000000002</v>
      </c>
      <c r="D1381" s="221"/>
      <c r="E1381" s="221"/>
      <c r="F1381" s="219">
        <v>0.33350000000000002</v>
      </c>
    </row>
    <row r="1382" spans="1:6" ht="12" thickBot="1">
      <c r="A1382" s="216">
        <v>32153</v>
      </c>
      <c r="B1382" s="217">
        <v>32159</v>
      </c>
      <c r="C1382" s="218">
        <v>0.3397</v>
      </c>
      <c r="D1382" s="221"/>
      <c r="E1382" s="221"/>
      <c r="F1382" s="219">
        <v>0.3397</v>
      </c>
    </row>
    <row r="1383" spans="1:6" ht="12" thickBot="1">
      <c r="A1383" s="216">
        <v>32146</v>
      </c>
      <c r="B1383" s="217">
        <v>32152</v>
      </c>
      <c r="C1383" s="218">
        <v>0.34589999999999999</v>
      </c>
      <c r="D1383" s="221"/>
      <c r="E1383" s="221"/>
      <c r="F1383" s="219">
        <v>0.34589999999999999</v>
      </c>
    </row>
    <row r="1384" spans="1:6" ht="12" thickBot="1">
      <c r="A1384" s="216">
        <v>32139</v>
      </c>
      <c r="B1384" s="217">
        <v>32145</v>
      </c>
      <c r="C1384" s="218">
        <v>0.35139999999999999</v>
      </c>
      <c r="D1384" s="221"/>
      <c r="E1384" s="221"/>
      <c r="F1384" s="219">
        <v>0.35139999999999999</v>
      </c>
    </row>
    <row r="1385" spans="1:6" ht="12" thickBot="1">
      <c r="A1385" s="216">
        <v>32132</v>
      </c>
      <c r="B1385" s="217">
        <v>32138</v>
      </c>
      <c r="C1385" s="218">
        <v>0.34329999999999999</v>
      </c>
      <c r="D1385" s="221"/>
      <c r="E1385" s="221"/>
      <c r="F1385" s="219">
        <v>0.34329999999999999</v>
      </c>
    </row>
    <row r="1386" spans="1:6" ht="12" thickBot="1">
      <c r="A1386" s="216">
        <v>32125</v>
      </c>
      <c r="B1386" s="217">
        <v>32131</v>
      </c>
      <c r="C1386" s="218">
        <v>0.34449999999999997</v>
      </c>
      <c r="D1386" s="221"/>
      <c r="E1386" s="221"/>
      <c r="F1386" s="219">
        <v>0.34449999999999997</v>
      </c>
    </row>
    <row r="1387" spans="1:6" ht="12" thickBot="1">
      <c r="A1387" s="216">
        <v>32118</v>
      </c>
      <c r="B1387" s="217">
        <v>32124</v>
      </c>
      <c r="C1387" s="218">
        <v>0.34100000000000003</v>
      </c>
      <c r="D1387" s="221"/>
      <c r="E1387" s="221"/>
      <c r="F1387" s="219">
        <v>0.34100000000000003</v>
      </c>
    </row>
    <row r="1388" spans="1:6" ht="12" thickBot="1">
      <c r="A1388" s="216">
        <v>32111</v>
      </c>
      <c r="B1388" s="217">
        <v>32117</v>
      </c>
      <c r="C1388" s="218">
        <v>0.33250000000000002</v>
      </c>
      <c r="D1388" s="221"/>
      <c r="E1388" s="221"/>
      <c r="F1388" s="219">
        <v>0.33250000000000002</v>
      </c>
    </row>
    <row r="1389" spans="1:6" ht="12" thickBot="1">
      <c r="A1389" s="216">
        <v>32104</v>
      </c>
      <c r="B1389" s="217">
        <v>32110</v>
      </c>
      <c r="C1389" s="218">
        <v>0.3332</v>
      </c>
      <c r="D1389" s="221"/>
      <c r="E1389" s="221"/>
      <c r="F1389" s="219">
        <v>0.3332</v>
      </c>
    </row>
    <row r="1390" spans="1:6" ht="12" thickBot="1">
      <c r="A1390" s="216">
        <v>32097</v>
      </c>
      <c r="B1390" s="217">
        <v>32103</v>
      </c>
      <c r="C1390" s="218">
        <v>0.32990000000000003</v>
      </c>
      <c r="D1390" s="221"/>
      <c r="E1390" s="221"/>
      <c r="F1390" s="219">
        <v>0.32990000000000003</v>
      </c>
    </row>
    <row r="1391" spans="1:6" ht="12" thickBot="1">
      <c r="A1391" s="216">
        <v>32090</v>
      </c>
      <c r="B1391" s="217">
        <v>32096</v>
      </c>
      <c r="C1391" s="218">
        <v>0.32519999999999999</v>
      </c>
      <c r="D1391" s="221"/>
      <c r="E1391" s="221"/>
      <c r="F1391" s="219">
        <v>0.32519999999999999</v>
      </c>
    </row>
    <row r="1392" spans="1:6" ht="12" thickBot="1">
      <c r="A1392" s="216">
        <v>32083</v>
      </c>
      <c r="B1392" s="217">
        <v>32089</v>
      </c>
      <c r="C1392" s="218">
        <v>0.31830000000000003</v>
      </c>
      <c r="D1392" s="221"/>
      <c r="E1392" s="221"/>
      <c r="F1392" s="219">
        <v>0.31830000000000003</v>
      </c>
    </row>
    <row r="1393" spans="1:6" ht="12" thickBot="1">
      <c r="A1393" s="216">
        <v>32076</v>
      </c>
      <c r="B1393" s="217">
        <v>32082</v>
      </c>
      <c r="C1393" s="218">
        <v>0.31459999999999999</v>
      </c>
      <c r="D1393" s="221"/>
      <c r="E1393" s="221"/>
      <c r="F1393" s="219">
        <v>0.31459999999999999</v>
      </c>
    </row>
    <row r="1394" spans="1:6" ht="12" thickBot="1">
      <c r="A1394" s="216">
        <v>32069</v>
      </c>
      <c r="B1394" s="217">
        <v>32075</v>
      </c>
      <c r="C1394" s="218">
        <v>0.31480000000000002</v>
      </c>
      <c r="D1394" s="221"/>
      <c r="E1394" s="221"/>
      <c r="F1394" s="219">
        <v>0.31480000000000002</v>
      </c>
    </row>
    <row r="1395" spans="1:6" ht="12" thickBot="1">
      <c r="A1395" s="216">
        <v>32062</v>
      </c>
      <c r="B1395" s="217">
        <v>32068</v>
      </c>
      <c r="C1395" s="218">
        <v>0.31309999999999999</v>
      </c>
      <c r="D1395" s="221"/>
      <c r="E1395" s="221"/>
      <c r="F1395" s="219">
        <v>0.31309999999999999</v>
      </c>
    </row>
    <row r="1396" spans="1:6" ht="12" thickBot="1">
      <c r="A1396" s="216">
        <v>32055</v>
      </c>
      <c r="B1396" s="217">
        <v>32061</v>
      </c>
      <c r="C1396" s="218">
        <v>0.31209999999999999</v>
      </c>
      <c r="D1396" s="221"/>
      <c r="E1396" s="221"/>
      <c r="F1396" s="219">
        <v>0.31209999999999999</v>
      </c>
    </row>
    <row r="1397" spans="1:6" ht="12" thickBot="1">
      <c r="A1397" s="216">
        <v>32048</v>
      </c>
      <c r="B1397" s="217">
        <v>32054</v>
      </c>
      <c r="C1397" s="218">
        <v>0.31080000000000002</v>
      </c>
      <c r="D1397" s="221"/>
      <c r="E1397" s="221"/>
      <c r="F1397" s="219">
        <v>0.31080000000000002</v>
      </c>
    </row>
    <row r="1398" spans="1:6" ht="12" thickBot="1">
      <c r="A1398" s="216">
        <v>32041</v>
      </c>
      <c r="B1398" s="217">
        <v>32047</v>
      </c>
      <c r="C1398" s="218">
        <v>0.31190000000000001</v>
      </c>
      <c r="D1398" s="221"/>
      <c r="E1398" s="221"/>
      <c r="F1398" s="219">
        <v>0.31190000000000001</v>
      </c>
    </row>
    <row r="1399" spans="1:6" ht="12" thickBot="1">
      <c r="A1399" s="216">
        <v>32034</v>
      </c>
      <c r="B1399" s="217">
        <v>32040</v>
      </c>
      <c r="C1399" s="218">
        <v>0.30959999999999999</v>
      </c>
      <c r="D1399" s="221"/>
      <c r="E1399" s="221"/>
      <c r="F1399" s="219">
        <v>0.30959999999999999</v>
      </c>
    </row>
    <row r="1400" spans="1:6" ht="12" thickBot="1">
      <c r="A1400" s="216">
        <v>32027</v>
      </c>
      <c r="B1400" s="217">
        <v>32033</v>
      </c>
      <c r="C1400" s="218">
        <v>0.31</v>
      </c>
      <c r="D1400" s="221"/>
      <c r="E1400" s="221"/>
      <c r="F1400" s="219">
        <v>0.31</v>
      </c>
    </row>
    <row r="1401" spans="1:6" ht="12" thickBot="1">
      <c r="A1401" s="216">
        <v>32020</v>
      </c>
      <c r="B1401" s="217">
        <v>32026</v>
      </c>
      <c r="C1401" s="218">
        <v>0.31080000000000002</v>
      </c>
      <c r="D1401" s="221"/>
      <c r="E1401" s="221"/>
      <c r="F1401" s="219">
        <v>0.31080000000000002</v>
      </c>
    </row>
    <row r="1402" spans="1:6" ht="12" thickBot="1">
      <c r="A1402" s="216">
        <v>32013</v>
      </c>
      <c r="B1402" s="217">
        <v>32019</v>
      </c>
      <c r="C1402" s="218">
        <v>0.31190000000000001</v>
      </c>
      <c r="D1402" s="221"/>
      <c r="E1402" s="221"/>
      <c r="F1402" s="219">
        <v>0.31190000000000001</v>
      </c>
    </row>
    <row r="1403" spans="1:6" ht="12" thickBot="1">
      <c r="A1403" s="216">
        <v>32006</v>
      </c>
      <c r="B1403" s="217">
        <v>32012</v>
      </c>
      <c r="C1403" s="218">
        <v>0.31309999999999999</v>
      </c>
      <c r="D1403" s="221"/>
      <c r="E1403" s="221"/>
      <c r="F1403" s="219">
        <v>0.31309999999999999</v>
      </c>
    </row>
    <row r="1404" spans="1:6" ht="12" thickBot="1">
      <c r="A1404" s="216">
        <v>31999</v>
      </c>
      <c r="B1404" s="217">
        <v>32005</v>
      </c>
      <c r="C1404" s="218">
        <v>0.31240000000000001</v>
      </c>
      <c r="D1404" s="221"/>
      <c r="E1404" s="221"/>
      <c r="F1404" s="219">
        <v>0.31240000000000001</v>
      </c>
    </row>
    <row r="1405" spans="1:6" ht="12" thickBot="1">
      <c r="A1405" s="216">
        <v>31992</v>
      </c>
      <c r="B1405" s="217">
        <v>31998</v>
      </c>
      <c r="C1405" s="218">
        <v>0.31069999999999998</v>
      </c>
      <c r="D1405" s="221"/>
      <c r="E1405" s="221"/>
      <c r="F1405" s="219">
        <v>0.31069999999999998</v>
      </c>
    </row>
    <row r="1406" spans="1:6" ht="12" thickBot="1">
      <c r="A1406" s="216">
        <v>31985</v>
      </c>
      <c r="B1406" s="217">
        <v>31991</v>
      </c>
      <c r="C1406" s="218">
        <v>0.30869999999999997</v>
      </c>
      <c r="D1406" s="221"/>
      <c r="E1406" s="221"/>
      <c r="F1406" s="219">
        <v>0.30869999999999997</v>
      </c>
    </row>
    <row r="1407" spans="1:6" ht="12" thickBot="1">
      <c r="A1407" s="216">
        <v>31978</v>
      </c>
      <c r="B1407" s="217">
        <v>31984</v>
      </c>
      <c r="C1407" s="218">
        <v>0.3075</v>
      </c>
      <c r="D1407" s="221"/>
      <c r="E1407" s="221"/>
      <c r="F1407" s="219">
        <v>0.3075</v>
      </c>
    </row>
    <row r="1408" spans="1:6" ht="12" thickBot="1">
      <c r="A1408" s="216">
        <v>31971</v>
      </c>
      <c r="B1408" s="217">
        <v>31977</v>
      </c>
      <c r="C1408" s="218">
        <v>0.30859999999999999</v>
      </c>
      <c r="D1408" s="221"/>
      <c r="E1408" s="221"/>
      <c r="F1408" s="219">
        <v>0.30859999999999999</v>
      </c>
    </row>
    <row r="1409" spans="1:6" ht="12" thickBot="1">
      <c r="A1409" s="216">
        <v>31964</v>
      </c>
      <c r="B1409" s="217">
        <v>31970</v>
      </c>
      <c r="C1409" s="218">
        <v>0.30719999999999997</v>
      </c>
      <c r="D1409" s="221"/>
      <c r="E1409" s="221"/>
      <c r="F1409" s="219">
        <v>0.30719999999999997</v>
      </c>
    </row>
    <row r="1410" spans="1:6" ht="12" thickBot="1">
      <c r="A1410" s="216">
        <v>31957</v>
      </c>
      <c r="B1410" s="217">
        <v>31963</v>
      </c>
      <c r="C1410" s="218">
        <v>0.30559999999999998</v>
      </c>
      <c r="D1410" s="221"/>
      <c r="E1410" s="221"/>
      <c r="F1410" s="219">
        <v>0.30559999999999998</v>
      </c>
    </row>
    <row r="1411" spans="1:6" ht="12" thickBot="1">
      <c r="A1411" s="216">
        <v>31950</v>
      </c>
      <c r="B1411" s="217">
        <v>31956</v>
      </c>
      <c r="C1411" s="218">
        <v>0.30580000000000002</v>
      </c>
      <c r="D1411" s="221"/>
      <c r="E1411" s="221"/>
      <c r="F1411" s="219">
        <v>0.30580000000000002</v>
      </c>
    </row>
    <row r="1412" spans="1:6" ht="12" thickBot="1">
      <c r="A1412" s="216">
        <v>31943</v>
      </c>
      <c r="B1412" s="217">
        <v>31949</v>
      </c>
      <c r="C1412" s="218">
        <v>0.30520000000000003</v>
      </c>
      <c r="D1412" s="221"/>
      <c r="E1412" s="221"/>
      <c r="F1412" s="219">
        <v>0.30520000000000003</v>
      </c>
    </row>
    <row r="1413" spans="1:6" ht="12" thickBot="1">
      <c r="A1413" s="216">
        <v>31936</v>
      </c>
      <c r="B1413" s="217">
        <v>31942</v>
      </c>
      <c r="C1413" s="218">
        <v>0.30830000000000002</v>
      </c>
      <c r="D1413" s="221"/>
      <c r="E1413" s="221"/>
      <c r="F1413" s="219">
        <v>0.30830000000000002</v>
      </c>
    </row>
    <row r="1414" spans="1:6" ht="12" thickBot="1">
      <c r="A1414" s="216">
        <v>31929</v>
      </c>
      <c r="B1414" s="217">
        <v>31935</v>
      </c>
      <c r="C1414" s="218">
        <v>0.30819999999999997</v>
      </c>
      <c r="D1414" s="221"/>
      <c r="E1414" s="221"/>
      <c r="F1414" s="219">
        <v>0.30819999999999997</v>
      </c>
    </row>
    <row r="1415" spans="1:6" ht="12" thickBot="1">
      <c r="A1415" s="216">
        <v>31922</v>
      </c>
      <c r="B1415" s="217">
        <v>31928</v>
      </c>
      <c r="C1415" s="218">
        <v>0.30969999999999998</v>
      </c>
      <c r="D1415" s="221"/>
      <c r="E1415" s="221"/>
      <c r="F1415" s="219">
        <v>0.30969999999999998</v>
      </c>
    </row>
    <row r="1416" spans="1:6" ht="12" thickBot="1">
      <c r="A1416" s="216">
        <v>31915</v>
      </c>
      <c r="B1416" s="217">
        <v>31921</v>
      </c>
      <c r="C1416" s="218">
        <v>0.30909999999999999</v>
      </c>
      <c r="D1416" s="221"/>
      <c r="E1416" s="221"/>
      <c r="F1416" s="219">
        <v>0.30909999999999999</v>
      </c>
    </row>
    <row r="1417" spans="1:6" ht="12" thickBot="1">
      <c r="A1417" s="216">
        <v>31908</v>
      </c>
      <c r="B1417" s="217">
        <v>31914</v>
      </c>
      <c r="C1417" s="218">
        <v>0.30890000000000001</v>
      </c>
      <c r="D1417" s="221"/>
      <c r="E1417" s="221"/>
      <c r="F1417" s="219">
        <v>0.30890000000000001</v>
      </c>
    </row>
    <row r="1418" spans="1:6" ht="12" thickBot="1">
      <c r="A1418" s="216">
        <v>31901</v>
      </c>
      <c r="B1418" s="217">
        <v>31907</v>
      </c>
      <c r="C1418" s="218">
        <v>0.30869999999999997</v>
      </c>
      <c r="D1418" s="221"/>
      <c r="E1418" s="221"/>
      <c r="F1418" s="219">
        <v>0.30869999999999997</v>
      </c>
    </row>
    <row r="1419" spans="1:6" ht="12" thickBot="1">
      <c r="A1419" s="216">
        <v>31894</v>
      </c>
      <c r="B1419" s="217">
        <v>31900</v>
      </c>
      <c r="C1419" s="218">
        <v>0.3075</v>
      </c>
      <c r="D1419" s="221"/>
      <c r="E1419" s="221"/>
      <c r="F1419" s="219">
        <v>0.3075</v>
      </c>
    </row>
    <row r="1420" spans="1:6" ht="12" thickBot="1">
      <c r="A1420" s="216">
        <v>31887</v>
      </c>
      <c r="B1420" s="217">
        <v>31893</v>
      </c>
      <c r="C1420" s="218">
        <v>0.30620000000000003</v>
      </c>
      <c r="D1420" s="221"/>
      <c r="E1420" s="221"/>
      <c r="F1420" s="219">
        <v>0.30620000000000003</v>
      </c>
    </row>
    <row r="1421" spans="1:6" ht="12" thickBot="1">
      <c r="A1421" s="216">
        <v>31880</v>
      </c>
      <c r="B1421" s="217">
        <v>31886</v>
      </c>
      <c r="C1421" s="218">
        <v>0.30869999999999997</v>
      </c>
      <c r="D1421" s="221"/>
      <c r="E1421" s="221"/>
      <c r="F1421" s="219">
        <v>0.30869999999999997</v>
      </c>
    </row>
    <row r="1422" spans="1:6" ht="12" thickBot="1">
      <c r="A1422" s="216">
        <v>31873</v>
      </c>
      <c r="B1422" s="217">
        <v>31879</v>
      </c>
      <c r="C1422" s="218">
        <v>0.30399999999999999</v>
      </c>
      <c r="D1422" s="221"/>
      <c r="E1422" s="221"/>
      <c r="F1422" s="219">
        <v>0.30399999999999999</v>
      </c>
    </row>
    <row r="1423" spans="1:6" ht="12" thickBot="1">
      <c r="A1423" s="216">
        <v>31866</v>
      </c>
      <c r="B1423" s="217">
        <v>31872</v>
      </c>
      <c r="C1423" s="218">
        <v>0.30509999999999998</v>
      </c>
      <c r="D1423" s="221"/>
      <c r="E1423" s="221"/>
      <c r="F1423" s="219">
        <v>0.30509999999999998</v>
      </c>
    </row>
    <row r="1424" spans="1:6" ht="12" thickBot="1">
      <c r="A1424" s="216">
        <v>31859</v>
      </c>
      <c r="B1424" s="217">
        <v>31865</v>
      </c>
      <c r="C1424" s="218">
        <v>0.30309999999999998</v>
      </c>
      <c r="D1424" s="221"/>
      <c r="E1424" s="221"/>
      <c r="F1424" s="219">
        <v>0.30309999999999998</v>
      </c>
    </row>
    <row r="1425" spans="1:6" ht="12" thickBot="1">
      <c r="A1425" s="216">
        <v>31852</v>
      </c>
      <c r="B1425" s="217">
        <v>31858</v>
      </c>
      <c r="C1425" s="218">
        <v>0.30559999999999998</v>
      </c>
      <c r="D1425" s="221"/>
      <c r="E1425" s="221"/>
      <c r="F1425" s="219">
        <v>0.30559999999999998</v>
      </c>
    </row>
    <row r="1426" spans="1:6" ht="12" thickBot="1">
      <c r="A1426" s="216">
        <v>31845</v>
      </c>
      <c r="B1426" s="217">
        <v>31851</v>
      </c>
      <c r="C1426" s="218">
        <v>0.30590000000000001</v>
      </c>
      <c r="D1426" s="221"/>
      <c r="E1426" s="221"/>
      <c r="F1426" s="219">
        <v>0.30590000000000001</v>
      </c>
    </row>
    <row r="1427" spans="1:6" ht="12" thickBot="1">
      <c r="A1427" s="216">
        <v>31838</v>
      </c>
      <c r="B1427" s="217">
        <v>31844</v>
      </c>
      <c r="C1427" s="218">
        <v>0.30590000000000001</v>
      </c>
      <c r="D1427" s="221"/>
      <c r="E1427" s="221"/>
      <c r="F1427" s="219">
        <v>0.30590000000000001</v>
      </c>
    </row>
    <row r="1428" spans="1:6" ht="12" thickBot="1">
      <c r="A1428" s="216">
        <v>31831</v>
      </c>
      <c r="B1428" s="217">
        <v>31837</v>
      </c>
      <c r="C1428" s="218">
        <v>0.30520000000000003</v>
      </c>
      <c r="D1428" s="221"/>
      <c r="E1428" s="221"/>
      <c r="F1428" s="219">
        <v>0.30520000000000003</v>
      </c>
    </row>
    <row r="1429" spans="1:6" ht="12" thickBot="1">
      <c r="A1429" s="216">
        <v>31824</v>
      </c>
      <c r="B1429" s="217">
        <v>31830</v>
      </c>
      <c r="C1429" s="218">
        <v>0.30659999999999998</v>
      </c>
      <c r="D1429" s="221"/>
      <c r="E1429" s="221"/>
      <c r="F1429" s="219">
        <v>0.30659999999999998</v>
      </c>
    </row>
    <row r="1430" spans="1:6" ht="12" thickBot="1">
      <c r="A1430" s="216">
        <v>31817</v>
      </c>
      <c r="B1430" s="217">
        <v>31823</v>
      </c>
      <c r="C1430" s="218">
        <v>0.31380000000000002</v>
      </c>
      <c r="D1430" s="221"/>
      <c r="E1430" s="221"/>
      <c r="F1430" s="219">
        <v>0.31380000000000002</v>
      </c>
    </row>
    <row r="1431" spans="1:6" ht="12" thickBot="1">
      <c r="A1431" s="216">
        <v>31810</v>
      </c>
      <c r="B1431" s="217">
        <v>31816</v>
      </c>
      <c r="C1431" s="218">
        <v>0.316</v>
      </c>
      <c r="D1431" s="221"/>
      <c r="E1431" s="221"/>
      <c r="F1431" s="219">
        <v>0.316</v>
      </c>
    </row>
    <row r="1432" spans="1:6" ht="12" thickBot="1">
      <c r="A1432" s="216">
        <v>31803</v>
      </c>
      <c r="B1432" s="217">
        <v>31809</v>
      </c>
      <c r="C1432" s="218">
        <v>0.32029999999999997</v>
      </c>
      <c r="D1432" s="221"/>
      <c r="E1432" s="221"/>
      <c r="F1432" s="219">
        <v>0.32029999999999997</v>
      </c>
    </row>
    <row r="1433" spans="1:6" ht="12" thickBot="1">
      <c r="A1433" s="216">
        <v>31796</v>
      </c>
      <c r="B1433" s="217">
        <v>31802</v>
      </c>
      <c r="C1433" s="218">
        <v>0.32819999999999999</v>
      </c>
      <c r="D1433" s="221"/>
      <c r="E1433" s="221"/>
      <c r="F1433" s="219">
        <v>0.32819999999999999</v>
      </c>
    </row>
    <row r="1434" spans="1:6" ht="12" thickBot="1">
      <c r="A1434" s="216">
        <v>31789</v>
      </c>
      <c r="B1434" s="217">
        <v>31795</v>
      </c>
      <c r="C1434" s="218">
        <v>0.32750000000000001</v>
      </c>
      <c r="D1434" s="221"/>
      <c r="E1434" s="221"/>
      <c r="F1434" s="219">
        <v>0.32750000000000001</v>
      </c>
    </row>
    <row r="1435" spans="1:6" ht="12" thickBot="1">
      <c r="A1435" s="216">
        <v>31782</v>
      </c>
      <c r="B1435" s="217">
        <v>31788</v>
      </c>
      <c r="C1435" s="218">
        <v>0.33279999999999998</v>
      </c>
      <c r="D1435" s="221"/>
      <c r="E1435" s="221"/>
      <c r="F1435" s="219">
        <v>0.33279999999999998</v>
      </c>
    </row>
    <row r="1436" spans="1:6" ht="12" thickBot="1">
      <c r="A1436" s="216">
        <v>31775</v>
      </c>
      <c r="B1436" s="217">
        <v>31781</v>
      </c>
      <c r="C1436" s="218">
        <v>0.3342</v>
      </c>
      <c r="D1436" s="221"/>
      <c r="E1436" s="221"/>
      <c r="F1436" s="219">
        <v>0.3342</v>
      </c>
    </row>
    <row r="1437" spans="1:6" ht="12" thickBot="1">
      <c r="A1437" s="216">
        <v>31768</v>
      </c>
      <c r="B1437" s="217">
        <v>31774</v>
      </c>
      <c r="C1437" s="218">
        <v>0.3332</v>
      </c>
      <c r="D1437" s="221"/>
      <c r="E1437" s="221"/>
      <c r="F1437" s="219">
        <v>0.3332</v>
      </c>
    </row>
    <row r="1438" spans="1:6" ht="12" thickBot="1">
      <c r="A1438" s="216">
        <v>31761</v>
      </c>
      <c r="B1438" s="217">
        <v>31767</v>
      </c>
      <c r="C1438" s="218">
        <v>0.3352</v>
      </c>
      <c r="D1438" s="221"/>
      <c r="E1438" s="221"/>
      <c r="F1438" s="219">
        <v>0.3352</v>
      </c>
    </row>
    <row r="1439" spans="1:6" ht="12" thickBot="1">
      <c r="A1439" s="216">
        <v>31754</v>
      </c>
      <c r="B1439" s="217">
        <v>31760</v>
      </c>
      <c r="C1439" s="218">
        <v>0.33150000000000002</v>
      </c>
      <c r="D1439" s="221"/>
      <c r="E1439" s="221"/>
      <c r="F1439" s="219">
        <v>0.33150000000000002</v>
      </c>
    </row>
    <row r="1440" spans="1:6" ht="12" thickBot="1">
      <c r="A1440" s="216">
        <v>31747</v>
      </c>
      <c r="B1440" s="217">
        <v>31753</v>
      </c>
      <c r="C1440" s="218">
        <v>0.32519999999999999</v>
      </c>
      <c r="D1440" s="221"/>
      <c r="E1440" s="221"/>
      <c r="F1440" s="219">
        <v>0.32519999999999999</v>
      </c>
    </row>
    <row r="1441" spans="1:6" ht="12" thickBot="1">
      <c r="A1441" s="216">
        <v>31740</v>
      </c>
      <c r="B1441" s="217">
        <v>31746</v>
      </c>
      <c r="C1441" s="218">
        <v>0.32540000000000002</v>
      </c>
      <c r="D1441" s="221"/>
      <c r="E1441" s="221"/>
      <c r="F1441" s="219">
        <v>0.32540000000000002</v>
      </c>
    </row>
    <row r="1442" spans="1:6" ht="12" thickBot="1">
      <c r="A1442" s="216">
        <v>31733</v>
      </c>
      <c r="B1442" s="217">
        <v>31739</v>
      </c>
      <c r="C1442" s="218">
        <v>0.32250000000000001</v>
      </c>
      <c r="D1442" s="221"/>
      <c r="E1442" s="221"/>
      <c r="F1442" s="219">
        <v>0.32250000000000001</v>
      </c>
    </row>
    <row r="1443" spans="1:6" ht="12" thickBot="1">
      <c r="A1443" s="216">
        <v>31726</v>
      </c>
      <c r="B1443" s="217">
        <v>31732</v>
      </c>
      <c r="C1443" s="218">
        <v>0.32029999999999997</v>
      </c>
      <c r="D1443" s="221"/>
      <c r="E1443" s="221"/>
      <c r="F1443" s="219">
        <v>0.32029999999999997</v>
      </c>
    </row>
    <row r="1444" spans="1:6" ht="12" thickBot="1">
      <c r="A1444" s="216">
        <v>31719</v>
      </c>
      <c r="B1444" s="217">
        <v>31725</v>
      </c>
      <c r="C1444" s="218">
        <v>0.31769999999999998</v>
      </c>
      <c r="D1444" s="221"/>
      <c r="E1444" s="221"/>
      <c r="F1444" s="219">
        <v>0.31769999999999998</v>
      </c>
    </row>
    <row r="1445" spans="1:6" ht="12" thickBot="1">
      <c r="A1445" s="216">
        <v>31712</v>
      </c>
      <c r="B1445" s="217">
        <v>31718</v>
      </c>
      <c r="C1445" s="218">
        <v>0.315</v>
      </c>
      <c r="D1445" s="221"/>
      <c r="E1445" s="221"/>
      <c r="F1445" s="219">
        <v>0.315</v>
      </c>
    </row>
    <row r="1446" spans="1:6" ht="12" thickBot="1">
      <c r="A1446" s="216">
        <v>31705</v>
      </c>
      <c r="B1446" s="217">
        <v>31711</v>
      </c>
      <c r="C1446" s="218">
        <v>0.31390000000000001</v>
      </c>
      <c r="D1446" s="221"/>
      <c r="E1446" s="221"/>
      <c r="F1446" s="219">
        <v>0.31390000000000001</v>
      </c>
    </row>
    <row r="1447" spans="1:6" ht="12" thickBot="1">
      <c r="A1447" s="216">
        <v>31698</v>
      </c>
      <c r="B1447" s="217">
        <v>31704</v>
      </c>
      <c r="C1447" s="218">
        <v>0.31290000000000001</v>
      </c>
      <c r="D1447" s="221"/>
      <c r="E1447" s="221"/>
      <c r="F1447" s="219">
        <v>0.31290000000000001</v>
      </c>
    </row>
    <row r="1448" spans="1:6" ht="12" thickBot="1">
      <c r="A1448" s="216">
        <v>31691</v>
      </c>
      <c r="B1448" s="217">
        <v>31697</v>
      </c>
      <c r="C1448" s="218">
        <v>0.31219999999999998</v>
      </c>
      <c r="D1448" s="221"/>
      <c r="E1448" s="221"/>
      <c r="F1448" s="219">
        <v>0.31219999999999998</v>
      </c>
    </row>
    <row r="1449" spans="1:6" ht="12" thickBot="1">
      <c r="A1449" s="216">
        <v>31684</v>
      </c>
      <c r="B1449" s="217">
        <v>31690</v>
      </c>
      <c r="C1449" s="218">
        <v>0.31190000000000001</v>
      </c>
      <c r="D1449" s="221"/>
      <c r="E1449" s="221"/>
      <c r="F1449" s="219">
        <v>0.31190000000000001</v>
      </c>
    </row>
    <row r="1450" spans="1:6" ht="12" thickBot="1">
      <c r="A1450" s="216">
        <v>31677</v>
      </c>
      <c r="B1450" s="217">
        <v>31683</v>
      </c>
      <c r="C1450" s="218">
        <v>0.31390000000000001</v>
      </c>
      <c r="D1450" s="221"/>
      <c r="E1450" s="221"/>
      <c r="F1450" s="219">
        <v>0.31390000000000001</v>
      </c>
    </row>
    <row r="1451" spans="1:6" ht="12" thickBot="1">
      <c r="A1451" s="216">
        <v>31670</v>
      </c>
      <c r="B1451" s="217">
        <v>31676</v>
      </c>
      <c r="C1451" s="218">
        <v>0.31519999999999998</v>
      </c>
      <c r="D1451" s="221"/>
      <c r="E1451" s="221"/>
      <c r="F1451" s="219">
        <v>0.31519999999999998</v>
      </c>
    </row>
    <row r="1452" spans="1:6" ht="12" thickBot="1">
      <c r="A1452" s="216">
        <v>31663</v>
      </c>
      <c r="B1452" s="217">
        <v>31669</v>
      </c>
      <c r="C1452" s="218">
        <v>0.31830000000000003</v>
      </c>
      <c r="D1452" s="221"/>
      <c r="E1452" s="221"/>
      <c r="F1452" s="219">
        <v>0.31830000000000003</v>
      </c>
    </row>
    <row r="1453" spans="1:6" ht="12" thickBot="1">
      <c r="A1453" s="216">
        <v>31656</v>
      </c>
      <c r="B1453" s="217">
        <v>31662</v>
      </c>
      <c r="C1453" s="218">
        <v>0.31390000000000001</v>
      </c>
      <c r="D1453" s="221"/>
      <c r="E1453" s="221"/>
      <c r="F1453" s="219">
        <v>0.31390000000000001</v>
      </c>
    </row>
    <row r="1454" spans="1:6" ht="12" thickBot="1">
      <c r="A1454" s="216">
        <v>31649</v>
      </c>
      <c r="B1454" s="217">
        <v>31655</v>
      </c>
      <c r="C1454" s="218">
        <v>0.31490000000000001</v>
      </c>
      <c r="D1454" s="221"/>
      <c r="E1454" s="221"/>
      <c r="F1454" s="219">
        <v>0.31490000000000001</v>
      </c>
    </row>
    <row r="1455" spans="1:6" ht="12" thickBot="1">
      <c r="A1455" s="216">
        <v>31642</v>
      </c>
      <c r="B1455" s="217">
        <v>31648</v>
      </c>
      <c r="C1455" s="218">
        <v>0.3155</v>
      </c>
      <c r="D1455" s="221"/>
      <c r="E1455" s="221"/>
      <c r="F1455" s="219">
        <v>0.3155</v>
      </c>
    </row>
    <row r="1456" spans="1:6" ht="12" thickBot="1">
      <c r="A1456" s="216">
        <v>31635</v>
      </c>
      <c r="B1456" s="217">
        <v>31641</v>
      </c>
      <c r="C1456" s="218">
        <v>0.31769999999999998</v>
      </c>
      <c r="D1456" s="221"/>
      <c r="E1456" s="221"/>
      <c r="F1456" s="219">
        <v>0.31769999999999998</v>
      </c>
    </row>
    <row r="1457" spans="1:6" ht="12" thickBot="1">
      <c r="A1457" s="216">
        <v>31628</v>
      </c>
      <c r="B1457" s="217">
        <v>31634</v>
      </c>
      <c r="C1457" s="218">
        <v>0.31790000000000002</v>
      </c>
      <c r="D1457" s="221"/>
      <c r="E1457" s="221"/>
      <c r="F1457" s="219">
        <v>0.31790000000000002</v>
      </c>
    </row>
    <row r="1458" spans="1:6" ht="12" thickBot="1">
      <c r="A1458" s="216">
        <v>31621</v>
      </c>
      <c r="B1458" s="217">
        <v>31627</v>
      </c>
      <c r="C1458" s="218">
        <v>0.31859999999999999</v>
      </c>
      <c r="D1458" s="221"/>
      <c r="E1458" s="221"/>
      <c r="F1458" s="219">
        <v>0.31859999999999999</v>
      </c>
    </row>
    <row r="1459" spans="1:6" ht="12" thickBot="1">
      <c r="A1459" s="216">
        <v>31614</v>
      </c>
      <c r="B1459" s="217">
        <v>31620</v>
      </c>
      <c r="C1459" s="218">
        <v>0.31590000000000001</v>
      </c>
      <c r="D1459" s="221"/>
      <c r="E1459" s="221"/>
      <c r="F1459" s="219">
        <v>0.31590000000000001</v>
      </c>
    </row>
    <row r="1460" spans="1:6" ht="12" thickBot="1">
      <c r="A1460" s="216">
        <v>31607</v>
      </c>
      <c r="B1460" s="217">
        <v>31613</v>
      </c>
      <c r="C1460" s="218">
        <v>0.30890000000000001</v>
      </c>
      <c r="D1460" s="221"/>
      <c r="E1460" s="221"/>
      <c r="F1460" s="219">
        <v>0.30890000000000001</v>
      </c>
    </row>
    <row r="1461" spans="1:6" ht="12" thickBot="1">
      <c r="A1461" s="216">
        <v>31600</v>
      </c>
      <c r="B1461" s="217">
        <v>31606</v>
      </c>
      <c r="C1461" s="218">
        <v>0.30680000000000002</v>
      </c>
      <c r="D1461" s="221"/>
      <c r="E1461" s="221"/>
      <c r="F1461" s="219">
        <v>0.30680000000000002</v>
      </c>
    </row>
    <row r="1462" spans="1:6" ht="12" thickBot="1">
      <c r="A1462" s="216">
        <v>31593</v>
      </c>
      <c r="B1462" s="217">
        <v>31599</v>
      </c>
      <c r="C1462" s="218">
        <v>0.30649999999999999</v>
      </c>
      <c r="D1462" s="221"/>
      <c r="E1462" s="221"/>
      <c r="F1462" s="219">
        <v>0.30649999999999999</v>
      </c>
    </row>
    <row r="1463" spans="1:6" ht="12" thickBot="1">
      <c r="A1463" s="216">
        <v>31586</v>
      </c>
      <c r="B1463" s="217">
        <v>31592</v>
      </c>
      <c r="C1463" s="218">
        <v>0.30609999999999998</v>
      </c>
      <c r="D1463" s="221"/>
      <c r="E1463" s="221"/>
      <c r="F1463" s="219">
        <v>0.30609999999999998</v>
      </c>
    </row>
    <row r="1464" spans="1:6" ht="12" thickBot="1">
      <c r="A1464" s="216">
        <v>31579</v>
      </c>
      <c r="B1464" s="217">
        <v>31585</v>
      </c>
      <c r="C1464" s="218">
        <v>0.30759999999999998</v>
      </c>
      <c r="D1464" s="221"/>
      <c r="E1464" s="221"/>
      <c r="F1464" s="219">
        <v>0.30759999999999998</v>
      </c>
    </row>
    <row r="1465" spans="1:6" ht="12" thickBot="1">
      <c r="A1465" s="216">
        <v>31572</v>
      </c>
      <c r="B1465" s="217">
        <v>31578</v>
      </c>
      <c r="C1465" s="218">
        <v>0.307</v>
      </c>
      <c r="D1465" s="221"/>
      <c r="E1465" s="221"/>
      <c r="F1465" s="219">
        <v>0.307</v>
      </c>
    </row>
    <row r="1466" spans="1:6" ht="12" thickBot="1">
      <c r="A1466" s="216">
        <v>31565</v>
      </c>
      <c r="B1466" s="217">
        <v>31571</v>
      </c>
      <c r="C1466" s="218">
        <v>0.3049</v>
      </c>
      <c r="D1466" s="221"/>
      <c r="E1466" s="221"/>
      <c r="F1466" s="219">
        <v>0.3049</v>
      </c>
    </row>
    <row r="1467" spans="1:6" ht="12" thickBot="1">
      <c r="A1467" s="216">
        <v>31558</v>
      </c>
      <c r="B1467" s="217">
        <v>31564</v>
      </c>
      <c r="C1467" s="218">
        <v>0.30590000000000001</v>
      </c>
      <c r="D1467" s="221"/>
      <c r="E1467" s="221"/>
      <c r="F1467" s="219">
        <v>0.30590000000000001</v>
      </c>
    </row>
    <row r="1468" spans="1:6" ht="12" thickBot="1">
      <c r="A1468" s="216">
        <v>31551</v>
      </c>
      <c r="B1468" s="217">
        <v>31557</v>
      </c>
      <c r="C1468" s="218">
        <v>0.30549999999999999</v>
      </c>
      <c r="D1468" s="221"/>
      <c r="E1468" s="221"/>
      <c r="F1468" s="219">
        <v>0.30549999999999999</v>
      </c>
    </row>
    <row r="1469" spans="1:6" ht="12" thickBot="1">
      <c r="A1469" s="216">
        <v>31544</v>
      </c>
      <c r="B1469" s="217">
        <v>31550</v>
      </c>
      <c r="C1469" s="218">
        <v>0.3049</v>
      </c>
      <c r="D1469" s="221"/>
      <c r="E1469" s="221"/>
      <c r="F1469" s="219">
        <v>0.3049</v>
      </c>
    </row>
    <row r="1470" spans="1:6" ht="12" thickBot="1">
      <c r="A1470" s="216">
        <v>31537</v>
      </c>
      <c r="B1470" s="217">
        <v>31543</v>
      </c>
      <c r="C1470" s="218">
        <v>0.30330000000000001</v>
      </c>
      <c r="D1470" s="221"/>
      <c r="E1470" s="221"/>
      <c r="F1470" s="219">
        <v>0.30330000000000001</v>
      </c>
    </row>
    <row r="1471" spans="1:6" ht="12" thickBot="1">
      <c r="A1471" s="216">
        <v>31530</v>
      </c>
      <c r="B1471" s="217">
        <v>31536</v>
      </c>
      <c r="C1471" s="218">
        <v>0.30520000000000003</v>
      </c>
      <c r="D1471" s="221"/>
      <c r="E1471" s="221"/>
      <c r="F1471" s="219">
        <v>0.30520000000000003</v>
      </c>
    </row>
    <row r="1472" spans="1:6" ht="12" thickBot="1">
      <c r="A1472" s="216">
        <v>31523</v>
      </c>
      <c r="B1472" s="217">
        <v>31529</v>
      </c>
      <c r="C1472" s="218">
        <v>0.3049</v>
      </c>
      <c r="D1472" s="221"/>
      <c r="E1472" s="221"/>
      <c r="F1472" s="219">
        <v>0.3049</v>
      </c>
    </row>
    <row r="1473" spans="1:6" ht="12" thickBot="1">
      <c r="A1473" s="216">
        <v>31516</v>
      </c>
      <c r="B1473" s="217">
        <v>31522</v>
      </c>
      <c r="C1473" s="218">
        <v>0.30559999999999998</v>
      </c>
      <c r="D1473" s="221"/>
      <c r="E1473" s="221"/>
      <c r="F1473" s="219">
        <v>0.30559999999999998</v>
      </c>
    </row>
    <row r="1474" spans="1:6" ht="12" thickBot="1">
      <c r="A1474" s="216">
        <v>31509</v>
      </c>
      <c r="B1474" s="217">
        <v>31515</v>
      </c>
      <c r="C1474" s="218">
        <v>0.3054</v>
      </c>
      <c r="D1474" s="221"/>
      <c r="E1474" s="221"/>
      <c r="F1474" s="219">
        <v>0.3054</v>
      </c>
    </row>
    <row r="1475" spans="1:6" ht="12" thickBot="1">
      <c r="A1475" s="216">
        <v>31502</v>
      </c>
      <c r="B1475" s="217">
        <v>31508</v>
      </c>
      <c r="C1475" s="218">
        <v>0.30299999999999999</v>
      </c>
      <c r="D1475" s="221"/>
      <c r="E1475" s="221"/>
      <c r="F1475" s="219">
        <v>0.30299999999999999</v>
      </c>
    </row>
    <row r="1476" spans="1:6" ht="12" thickBot="1">
      <c r="A1476" s="216">
        <v>31495</v>
      </c>
      <c r="B1476" s="217">
        <v>31501</v>
      </c>
      <c r="C1476" s="218">
        <v>0.30580000000000002</v>
      </c>
      <c r="D1476" s="221"/>
      <c r="E1476" s="221"/>
      <c r="F1476" s="219">
        <v>0.30580000000000002</v>
      </c>
    </row>
    <row r="1477" spans="1:6" ht="12" thickBot="1">
      <c r="A1477" s="216">
        <v>31488</v>
      </c>
      <c r="B1477" s="217">
        <v>31494</v>
      </c>
      <c r="C1477" s="218">
        <v>0.30609999999999998</v>
      </c>
      <c r="D1477" s="221"/>
      <c r="E1477" s="221"/>
      <c r="F1477" s="219">
        <v>0.30609999999999998</v>
      </c>
    </row>
    <row r="1478" spans="1:6" ht="12" thickBot="1">
      <c r="A1478" s="216">
        <v>31481</v>
      </c>
      <c r="B1478" s="217">
        <v>31487</v>
      </c>
      <c r="C1478" s="218">
        <v>0.30609999999999998</v>
      </c>
      <c r="D1478" s="221"/>
      <c r="E1478" s="221"/>
      <c r="F1478" s="219">
        <v>0.30609999999999998</v>
      </c>
    </row>
    <row r="1479" spans="1:6" ht="12" thickBot="1">
      <c r="A1479" s="216">
        <v>31474</v>
      </c>
      <c r="B1479" s="217">
        <v>31480</v>
      </c>
      <c r="C1479" s="218">
        <v>0.30620000000000003</v>
      </c>
      <c r="D1479" s="221"/>
      <c r="E1479" s="221"/>
      <c r="F1479" s="219">
        <v>0.30620000000000003</v>
      </c>
    </row>
    <row r="1480" spans="1:6" ht="12" thickBot="1">
      <c r="A1480" s="216">
        <v>31467</v>
      </c>
      <c r="B1480" s="217">
        <v>31473</v>
      </c>
      <c r="C1480" s="218">
        <v>0.30680000000000002</v>
      </c>
      <c r="D1480" s="221"/>
      <c r="E1480" s="221"/>
      <c r="F1480" s="219">
        <v>0.30680000000000002</v>
      </c>
    </row>
    <row r="1481" spans="1:6" ht="12" thickBot="1">
      <c r="A1481" s="216">
        <v>31460</v>
      </c>
      <c r="B1481" s="217">
        <v>31466</v>
      </c>
      <c r="C1481" s="218">
        <v>0.30719999999999997</v>
      </c>
      <c r="D1481" s="221"/>
      <c r="E1481" s="221"/>
      <c r="F1481" s="219">
        <v>0.30719999999999997</v>
      </c>
    </row>
    <row r="1482" spans="1:6" ht="12" thickBot="1">
      <c r="A1482" s="216">
        <v>31453</v>
      </c>
      <c r="B1482" s="217">
        <v>31459</v>
      </c>
      <c r="C1482" s="218">
        <v>0.31319999999999998</v>
      </c>
      <c r="D1482" s="221"/>
      <c r="E1482" s="221"/>
      <c r="F1482" s="219">
        <v>0.31319999999999998</v>
      </c>
    </row>
    <row r="1483" spans="1:6" ht="12" thickBot="1">
      <c r="A1483" s="216">
        <v>31446</v>
      </c>
      <c r="B1483" s="217">
        <v>31452</v>
      </c>
      <c r="C1483" s="218">
        <v>0.34949999999999998</v>
      </c>
      <c r="D1483" s="221"/>
      <c r="E1483" s="221"/>
      <c r="F1483" s="219">
        <v>0.34949999999999998</v>
      </c>
    </row>
    <row r="1484" spans="1:6" ht="12" thickBot="1">
      <c r="A1484" s="216">
        <v>31439</v>
      </c>
      <c r="B1484" s="217">
        <v>31445</v>
      </c>
      <c r="C1484" s="218">
        <v>0.36359999999999998</v>
      </c>
      <c r="D1484" s="221"/>
      <c r="E1484" s="221"/>
      <c r="F1484" s="219">
        <v>0.36359999999999998</v>
      </c>
    </row>
    <row r="1485" spans="1:6" ht="12" thickBot="1">
      <c r="A1485" s="216">
        <v>31432</v>
      </c>
      <c r="B1485" s="217">
        <v>31438</v>
      </c>
      <c r="C1485" s="218">
        <v>0.36299999999999999</v>
      </c>
      <c r="D1485" s="221"/>
      <c r="E1485" s="221"/>
      <c r="F1485" s="219">
        <v>0.36299999999999999</v>
      </c>
    </row>
    <row r="1486" spans="1:6" ht="12" thickBot="1">
      <c r="A1486" s="216">
        <v>31425</v>
      </c>
      <c r="B1486" s="217">
        <v>31431</v>
      </c>
      <c r="C1486" s="218">
        <v>0.3599</v>
      </c>
      <c r="D1486" s="221"/>
      <c r="E1486" s="221"/>
      <c r="F1486" s="219">
        <v>0.3599</v>
      </c>
    </row>
    <row r="1487" spans="1:6" ht="12" thickBot="1">
      <c r="A1487" s="216">
        <v>31418</v>
      </c>
      <c r="B1487" s="217">
        <v>31424</v>
      </c>
      <c r="C1487" s="218">
        <v>0.36609999999999998</v>
      </c>
      <c r="D1487" s="221"/>
      <c r="E1487" s="221"/>
      <c r="F1487" s="219">
        <v>0.36609999999999998</v>
      </c>
    </row>
    <row r="1488" spans="1:6" ht="12" thickBot="1">
      <c r="A1488" s="216">
        <v>31411</v>
      </c>
      <c r="B1488" s="217">
        <v>31417</v>
      </c>
      <c r="C1488" s="218">
        <v>0.36309999999999998</v>
      </c>
      <c r="D1488" s="221"/>
      <c r="E1488" s="221"/>
      <c r="F1488" s="219">
        <v>0.36309999999999998</v>
      </c>
    </row>
    <row r="1489" spans="1:6" ht="12" thickBot="1">
      <c r="A1489" s="216">
        <v>31404</v>
      </c>
      <c r="B1489" s="217">
        <v>31410</v>
      </c>
      <c r="C1489" s="218">
        <v>0.3649</v>
      </c>
      <c r="D1489" s="221"/>
      <c r="E1489" s="221"/>
      <c r="F1489" s="219">
        <v>0.3649</v>
      </c>
    </row>
    <row r="1490" spans="1:6" ht="12" thickBot="1">
      <c r="A1490" s="216">
        <v>31397</v>
      </c>
      <c r="B1490" s="217">
        <v>31403</v>
      </c>
      <c r="C1490" s="218">
        <v>0.36620000000000003</v>
      </c>
      <c r="D1490" s="221"/>
      <c r="E1490" s="221"/>
      <c r="F1490" s="219">
        <v>0.36620000000000003</v>
      </c>
    </row>
    <row r="1491" spans="1:6" ht="12" thickBot="1">
      <c r="A1491" s="216">
        <v>31390</v>
      </c>
      <c r="B1491" s="217">
        <v>31396</v>
      </c>
      <c r="C1491" s="218">
        <v>0.36459999999999998</v>
      </c>
      <c r="D1491" s="221"/>
      <c r="E1491" s="221"/>
      <c r="F1491" s="219">
        <v>0.36459999999999998</v>
      </c>
    </row>
    <row r="1492" spans="1:6" ht="12" thickBot="1">
      <c r="A1492" s="216">
        <v>31383</v>
      </c>
      <c r="B1492" s="217">
        <v>31389</v>
      </c>
      <c r="C1492" s="218">
        <v>0.36430000000000001</v>
      </c>
      <c r="D1492" s="221"/>
      <c r="E1492" s="221"/>
      <c r="F1492" s="219">
        <v>0.36430000000000001</v>
      </c>
    </row>
    <row r="1493" spans="1:6" ht="12" thickBot="1">
      <c r="A1493" s="216">
        <v>31376</v>
      </c>
      <c r="B1493" s="217">
        <v>31382</v>
      </c>
      <c r="C1493" s="218">
        <v>0.3649</v>
      </c>
      <c r="D1493" s="221"/>
      <c r="E1493" s="221"/>
      <c r="F1493" s="219">
        <v>0.3649</v>
      </c>
    </row>
    <row r="1494" spans="1:6" ht="12" thickBot="1">
      <c r="A1494" s="216">
        <v>31369</v>
      </c>
      <c r="B1494" s="217">
        <v>31375</v>
      </c>
      <c r="C1494" s="218">
        <v>0.3589</v>
      </c>
      <c r="D1494" s="221"/>
      <c r="E1494" s="221"/>
      <c r="F1494" s="219">
        <v>0.3589</v>
      </c>
    </row>
    <row r="1495" spans="1:6" ht="12" thickBot="1">
      <c r="A1495" s="216">
        <v>31362</v>
      </c>
      <c r="B1495" s="217">
        <v>31368</v>
      </c>
      <c r="C1495" s="218">
        <v>0.36859999999999998</v>
      </c>
      <c r="D1495" s="221"/>
      <c r="E1495" s="221"/>
      <c r="F1495" s="219">
        <v>0.36859999999999998</v>
      </c>
    </row>
    <row r="1496" spans="1:6" ht="12" thickBot="1">
      <c r="A1496" s="216">
        <v>31355</v>
      </c>
      <c r="B1496" s="217">
        <v>31361</v>
      </c>
      <c r="C1496" s="218">
        <v>0.36709999999999998</v>
      </c>
      <c r="D1496" s="221"/>
      <c r="E1496" s="221"/>
      <c r="F1496" s="219">
        <v>0.36709999999999998</v>
      </c>
    </row>
    <row r="1497" spans="1:6" ht="12" thickBot="1">
      <c r="A1497" s="216">
        <v>31348</v>
      </c>
      <c r="B1497" s="217">
        <v>31354</v>
      </c>
      <c r="C1497" s="218">
        <v>0.36649999999999999</v>
      </c>
      <c r="D1497" s="221"/>
      <c r="E1497" s="221"/>
      <c r="F1497" s="219">
        <v>0.36649999999999999</v>
      </c>
    </row>
    <row r="1498" spans="1:6" ht="12" thickBot="1">
      <c r="A1498" s="216">
        <v>31341</v>
      </c>
      <c r="B1498" s="217">
        <v>31347</v>
      </c>
      <c r="C1498" s="218">
        <v>0.36370000000000002</v>
      </c>
      <c r="D1498" s="221"/>
      <c r="E1498" s="221"/>
      <c r="F1498" s="219">
        <v>0.36370000000000002</v>
      </c>
    </row>
    <row r="1499" spans="1:6" ht="12" thickBot="1">
      <c r="A1499" s="216">
        <v>31334</v>
      </c>
      <c r="B1499" s="217">
        <v>31340</v>
      </c>
      <c r="C1499" s="218">
        <v>0.36820000000000003</v>
      </c>
      <c r="D1499" s="221"/>
      <c r="E1499" s="221"/>
      <c r="F1499" s="219">
        <v>0.36820000000000003</v>
      </c>
    </row>
    <row r="1500" spans="1:6" ht="12" thickBot="1">
      <c r="A1500" s="216">
        <v>31327</v>
      </c>
      <c r="B1500" s="217">
        <v>31333</v>
      </c>
      <c r="C1500" s="218">
        <v>0.36770000000000003</v>
      </c>
      <c r="D1500" s="221"/>
      <c r="E1500" s="221"/>
      <c r="F1500" s="219">
        <v>0.36770000000000003</v>
      </c>
    </row>
    <row r="1501" spans="1:6" ht="12" thickBot="1">
      <c r="A1501" s="216">
        <v>31320</v>
      </c>
      <c r="B1501" s="217">
        <v>31326</v>
      </c>
      <c r="C1501" s="218">
        <v>0.36609999999999998</v>
      </c>
      <c r="D1501" s="221"/>
      <c r="E1501" s="221"/>
      <c r="F1501" s="219">
        <v>0.36609999999999998</v>
      </c>
    </row>
    <row r="1502" spans="1:6" ht="12" thickBot="1">
      <c r="A1502" s="216">
        <v>31313</v>
      </c>
      <c r="B1502" s="217">
        <v>31319</v>
      </c>
      <c r="C1502" s="218">
        <v>0.36259999999999998</v>
      </c>
      <c r="D1502" s="221"/>
      <c r="E1502" s="221"/>
      <c r="F1502" s="219">
        <v>0.36259999999999998</v>
      </c>
    </row>
    <row r="1503" spans="1:6" ht="12" thickBot="1">
      <c r="A1503" s="216">
        <v>31306</v>
      </c>
      <c r="B1503" s="217">
        <v>31312</v>
      </c>
      <c r="C1503" s="218">
        <v>0.36399999999999999</v>
      </c>
      <c r="D1503" s="221"/>
      <c r="E1503" s="221"/>
      <c r="F1503" s="219">
        <v>0.36399999999999999</v>
      </c>
    </row>
    <row r="1504" spans="1:6" ht="12" thickBot="1">
      <c r="A1504" s="216">
        <v>31299</v>
      </c>
      <c r="B1504" s="217">
        <v>31305</v>
      </c>
      <c r="C1504" s="218">
        <v>0.36620000000000003</v>
      </c>
      <c r="D1504" s="221"/>
      <c r="E1504" s="221"/>
      <c r="F1504" s="219">
        <v>0.36620000000000003</v>
      </c>
    </row>
    <row r="1505" spans="1:6" ht="12" thickBot="1">
      <c r="A1505" s="216">
        <v>31292</v>
      </c>
      <c r="B1505" s="217">
        <v>31298</v>
      </c>
      <c r="C1505" s="218">
        <v>0.36109999999999998</v>
      </c>
      <c r="D1505" s="221"/>
      <c r="E1505" s="221"/>
      <c r="F1505" s="219">
        <v>0.36109999999999998</v>
      </c>
    </row>
    <row r="1506" spans="1:6" ht="12" thickBot="1">
      <c r="A1506" s="216">
        <v>31285</v>
      </c>
      <c r="B1506" s="217">
        <v>31291</v>
      </c>
      <c r="C1506" s="218">
        <v>0.36309999999999998</v>
      </c>
      <c r="D1506" s="221"/>
      <c r="E1506" s="221"/>
      <c r="F1506" s="219">
        <v>0.36309999999999998</v>
      </c>
    </row>
    <row r="1507" spans="1:6" ht="12" thickBot="1">
      <c r="A1507" s="216">
        <v>31278</v>
      </c>
      <c r="B1507" s="217">
        <v>31284</v>
      </c>
      <c r="C1507" s="218">
        <v>0.36270000000000002</v>
      </c>
      <c r="D1507" s="221"/>
      <c r="E1507" s="221"/>
      <c r="F1507" s="219">
        <v>0.36270000000000002</v>
      </c>
    </row>
    <row r="1508" spans="1:6" ht="12" thickBot="1">
      <c r="A1508" s="216">
        <v>31271</v>
      </c>
      <c r="B1508" s="217">
        <v>31277</v>
      </c>
      <c r="C1508" s="218">
        <v>0.36680000000000001</v>
      </c>
      <c r="D1508" s="221"/>
      <c r="E1508" s="221"/>
      <c r="F1508" s="219">
        <v>0.36680000000000001</v>
      </c>
    </row>
    <row r="1509" spans="1:6" ht="12" thickBot="1">
      <c r="A1509" s="216">
        <v>31264</v>
      </c>
      <c r="B1509" s="217">
        <v>31270</v>
      </c>
      <c r="C1509" s="218">
        <v>0.3624</v>
      </c>
      <c r="D1509" s="221"/>
      <c r="E1509" s="221"/>
      <c r="F1509" s="219">
        <v>0.3624</v>
      </c>
    </row>
    <row r="1510" spans="1:6" ht="12" thickBot="1">
      <c r="A1510" s="216">
        <v>31257</v>
      </c>
      <c r="B1510" s="217">
        <v>31263</v>
      </c>
      <c r="C1510" s="218">
        <v>0.36330000000000001</v>
      </c>
      <c r="D1510" s="221"/>
      <c r="E1510" s="221"/>
      <c r="F1510" s="219">
        <v>0.36330000000000001</v>
      </c>
    </row>
    <row r="1511" spans="1:6" ht="12" thickBot="1">
      <c r="A1511" s="216">
        <v>31250</v>
      </c>
      <c r="B1511" s="217">
        <v>31256</v>
      </c>
      <c r="C1511" s="218">
        <v>0.36280000000000001</v>
      </c>
      <c r="D1511" s="221"/>
      <c r="E1511" s="221"/>
      <c r="F1511" s="219">
        <v>0.36280000000000001</v>
      </c>
    </row>
    <row r="1512" spans="1:6" ht="12" thickBot="1">
      <c r="A1512" s="216">
        <v>31243</v>
      </c>
      <c r="B1512" s="217">
        <v>31249</v>
      </c>
      <c r="C1512" s="218">
        <v>0.36120000000000002</v>
      </c>
      <c r="D1512" s="221"/>
      <c r="E1512" s="221"/>
      <c r="F1512" s="219">
        <v>0.36120000000000002</v>
      </c>
    </row>
    <row r="1513" spans="1:6" ht="12" thickBot="1">
      <c r="A1513" s="216">
        <v>31236</v>
      </c>
      <c r="B1513" s="217">
        <v>31242</v>
      </c>
      <c r="C1513" s="218">
        <v>0.36859999999999998</v>
      </c>
      <c r="D1513" s="221"/>
      <c r="E1513" s="221"/>
      <c r="F1513" s="219">
        <v>0.36859999999999998</v>
      </c>
    </row>
    <row r="1514" spans="1:6" ht="12" thickBot="1">
      <c r="A1514" s="216">
        <v>31229</v>
      </c>
      <c r="B1514" s="217">
        <v>31235</v>
      </c>
      <c r="C1514" s="218">
        <v>0.36449999999999999</v>
      </c>
      <c r="D1514" s="221"/>
      <c r="E1514" s="221"/>
      <c r="F1514" s="219">
        <v>0.36449999999999999</v>
      </c>
    </row>
    <row r="1515" spans="1:6" ht="12" thickBot="1">
      <c r="A1515" s="216">
        <v>31222</v>
      </c>
      <c r="B1515" s="217">
        <v>31228</v>
      </c>
      <c r="C1515" s="218">
        <v>0.3624</v>
      </c>
      <c r="D1515" s="221"/>
      <c r="E1515" s="221"/>
      <c r="F1515" s="219">
        <v>0.3624</v>
      </c>
    </row>
    <row r="1516" spans="1:6" ht="12" thickBot="1">
      <c r="A1516" s="216">
        <v>31215</v>
      </c>
      <c r="B1516" s="217">
        <v>31221</v>
      </c>
      <c r="C1516" s="218">
        <v>0.36199999999999999</v>
      </c>
      <c r="D1516" s="221"/>
      <c r="E1516" s="221"/>
      <c r="F1516" s="219">
        <v>0.36199999999999999</v>
      </c>
    </row>
    <row r="1517" spans="1:6" ht="12" thickBot="1">
      <c r="A1517" s="216">
        <v>31208</v>
      </c>
      <c r="B1517" s="217">
        <v>31214</v>
      </c>
      <c r="C1517" s="218">
        <v>0.36509999999999998</v>
      </c>
      <c r="D1517" s="221"/>
      <c r="E1517" s="221"/>
      <c r="F1517" s="219">
        <v>0.36509999999999998</v>
      </c>
    </row>
    <row r="1518" spans="1:6" ht="12" thickBot="1">
      <c r="A1518" s="216">
        <v>31201</v>
      </c>
      <c r="B1518" s="217">
        <v>31207</v>
      </c>
      <c r="C1518" s="218">
        <v>0.36420000000000002</v>
      </c>
      <c r="D1518" s="221"/>
      <c r="E1518" s="221"/>
      <c r="F1518" s="219">
        <v>0.36420000000000002</v>
      </c>
    </row>
    <row r="1519" spans="1:6" ht="12" thickBot="1">
      <c r="A1519" s="216">
        <v>31194</v>
      </c>
      <c r="B1519" s="217">
        <v>31200</v>
      </c>
      <c r="C1519" s="218">
        <v>0.36230000000000001</v>
      </c>
      <c r="D1519" s="221"/>
      <c r="E1519" s="221"/>
      <c r="F1519" s="219">
        <v>0.36230000000000001</v>
      </c>
    </row>
    <row r="1520" spans="1:6" ht="12" thickBot="1">
      <c r="A1520" s="216">
        <v>31187</v>
      </c>
      <c r="B1520" s="217">
        <v>31193</v>
      </c>
      <c r="C1520" s="218">
        <v>0.36009999999999998</v>
      </c>
      <c r="D1520" s="221"/>
      <c r="E1520" s="221"/>
      <c r="F1520" s="219">
        <v>0.36009999999999998</v>
      </c>
    </row>
    <row r="1521" spans="1:6" ht="12" thickBot="1">
      <c r="A1521" s="216">
        <v>31180</v>
      </c>
      <c r="B1521" s="217">
        <v>31186</v>
      </c>
      <c r="C1521" s="218">
        <v>0.35899999999999999</v>
      </c>
      <c r="D1521" s="221"/>
      <c r="E1521" s="221"/>
      <c r="F1521" s="219">
        <v>0.35899999999999999</v>
      </c>
    </row>
    <row r="1522" spans="1:6" ht="12" thickBot="1">
      <c r="A1522" s="216">
        <v>31173</v>
      </c>
      <c r="B1522" s="217">
        <v>31179</v>
      </c>
      <c r="C1522" s="218">
        <v>0.35809999999999997</v>
      </c>
      <c r="D1522" s="221"/>
      <c r="E1522" s="221"/>
      <c r="F1522" s="219">
        <v>0.35809999999999997</v>
      </c>
    </row>
    <row r="1523" spans="1:6" ht="12" thickBot="1">
      <c r="A1523" s="216">
        <v>31166</v>
      </c>
      <c r="B1523" s="217">
        <v>31172</v>
      </c>
      <c r="C1523" s="218">
        <v>0.35859999999999997</v>
      </c>
      <c r="D1523" s="221"/>
      <c r="E1523" s="221"/>
      <c r="F1523" s="219">
        <v>0.35859999999999997</v>
      </c>
    </row>
    <row r="1524" spans="1:6" ht="12" thickBot="1">
      <c r="A1524" s="216">
        <v>31159</v>
      </c>
      <c r="B1524" s="217">
        <v>31165</v>
      </c>
      <c r="C1524" s="218">
        <v>0.35730000000000001</v>
      </c>
      <c r="D1524" s="221"/>
      <c r="E1524" s="221"/>
      <c r="F1524" s="219">
        <v>0.35730000000000001</v>
      </c>
    </row>
    <row r="1525" spans="1:6" ht="12" thickBot="1">
      <c r="A1525" s="216">
        <v>31152</v>
      </c>
      <c r="B1525" s="217">
        <v>31158</v>
      </c>
      <c r="C1525" s="218">
        <v>0.35520000000000002</v>
      </c>
      <c r="D1525" s="221"/>
      <c r="E1525" s="221"/>
      <c r="F1525" s="219">
        <v>0.35520000000000002</v>
      </c>
    </row>
    <row r="1526" spans="1:6" ht="12" thickBot="1">
      <c r="A1526" s="216">
        <v>31145</v>
      </c>
      <c r="B1526" s="217">
        <v>31151</v>
      </c>
      <c r="C1526" s="218">
        <v>0.36180000000000001</v>
      </c>
      <c r="D1526" s="221"/>
      <c r="E1526" s="221"/>
      <c r="F1526" s="219">
        <v>0.36180000000000001</v>
      </c>
    </row>
    <row r="1527" spans="1:6" ht="12" thickBot="1">
      <c r="A1527" s="216">
        <v>31138</v>
      </c>
      <c r="B1527" s="217">
        <v>31144</v>
      </c>
      <c r="C1527" s="218">
        <v>0.35830000000000001</v>
      </c>
      <c r="D1527" s="221"/>
      <c r="E1527" s="221"/>
      <c r="F1527" s="219">
        <v>0.35830000000000001</v>
      </c>
    </row>
    <row r="1528" spans="1:6" ht="12" thickBot="1">
      <c r="A1528" s="216">
        <v>31131</v>
      </c>
      <c r="B1528" s="217">
        <v>31137</v>
      </c>
      <c r="C1528" s="218">
        <v>0.35799999999999998</v>
      </c>
      <c r="D1528" s="221"/>
      <c r="E1528" s="221"/>
      <c r="F1528" s="219">
        <v>0.35799999999999998</v>
      </c>
    </row>
    <row r="1529" spans="1:6" ht="12" thickBot="1">
      <c r="A1529" s="216">
        <v>31124</v>
      </c>
      <c r="B1529" s="217">
        <v>31130</v>
      </c>
      <c r="C1529" s="218">
        <v>0.35730000000000001</v>
      </c>
      <c r="D1529" s="221"/>
      <c r="E1529" s="221"/>
      <c r="F1529" s="219">
        <v>0.35730000000000001</v>
      </c>
    </row>
    <row r="1530" spans="1:6" ht="12" thickBot="1">
      <c r="A1530" s="216">
        <v>31117</v>
      </c>
      <c r="B1530" s="217">
        <v>31123</v>
      </c>
      <c r="C1530" s="218">
        <v>0.36030000000000001</v>
      </c>
      <c r="D1530" s="221"/>
      <c r="E1530" s="221"/>
      <c r="F1530" s="219">
        <v>0.36030000000000001</v>
      </c>
    </row>
    <row r="1531" spans="1:6" ht="12" thickBot="1">
      <c r="A1531" s="216">
        <v>31110</v>
      </c>
      <c r="B1531" s="217">
        <v>31116</v>
      </c>
      <c r="C1531" s="218">
        <v>0.35670000000000002</v>
      </c>
      <c r="D1531" s="221"/>
      <c r="E1531" s="221"/>
      <c r="F1531" s="219">
        <v>0.35670000000000002</v>
      </c>
    </row>
    <row r="1532" spans="1:6" ht="12" thickBot="1">
      <c r="A1532" s="216">
        <v>31103</v>
      </c>
      <c r="B1532" s="217">
        <v>31109</v>
      </c>
      <c r="C1532" s="218">
        <v>0.35959999999999998</v>
      </c>
      <c r="D1532" s="221"/>
      <c r="E1532" s="221"/>
      <c r="F1532" s="219">
        <v>0.35959999999999998</v>
      </c>
    </row>
    <row r="1533" spans="1:6" ht="12" thickBot="1">
      <c r="A1533" s="216">
        <v>31096</v>
      </c>
      <c r="B1533" s="217">
        <v>31102</v>
      </c>
      <c r="C1533" s="218">
        <v>0.36009999999999998</v>
      </c>
      <c r="D1533" s="221"/>
      <c r="E1533" s="221"/>
      <c r="F1533" s="219">
        <v>0.36009999999999998</v>
      </c>
    </row>
    <row r="1534" spans="1:6" ht="12" thickBot="1">
      <c r="A1534" s="216">
        <v>31089</v>
      </c>
      <c r="B1534" s="217">
        <v>31095</v>
      </c>
      <c r="C1534" s="218">
        <v>0.35870000000000002</v>
      </c>
      <c r="D1534" s="221"/>
      <c r="E1534" s="221"/>
      <c r="F1534" s="219">
        <v>0.35870000000000002</v>
      </c>
    </row>
    <row r="1535" spans="1:6" ht="12" thickBot="1">
      <c r="A1535" s="216">
        <v>31082</v>
      </c>
      <c r="B1535" s="217">
        <v>31088</v>
      </c>
      <c r="C1535" s="218">
        <v>0.35980000000000001</v>
      </c>
      <c r="D1535" s="221"/>
      <c r="E1535" s="221"/>
      <c r="F1535" s="219">
        <v>0.35980000000000001</v>
      </c>
    </row>
    <row r="1536" spans="1:6" ht="12" thickBot="1">
      <c r="A1536" s="216">
        <v>31075</v>
      </c>
      <c r="B1536" s="217">
        <v>31081</v>
      </c>
      <c r="C1536" s="218">
        <v>0.36309999999999998</v>
      </c>
      <c r="D1536" s="221"/>
      <c r="E1536" s="221"/>
      <c r="F1536" s="219">
        <v>0.36309999999999998</v>
      </c>
    </row>
    <row r="1537" spans="1:6" ht="12" thickBot="1">
      <c r="A1537" s="216">
        <v>31068</v>
      </c>
      <c r="B1537" s="217">
        <v>31074</v>
      </c>
      <c r="C1537" s="218">
        <v>0.3634</v>
      </c>
      <c r="D1537" s="221"/>
      <c r="E1537" s="221"/>
      <c r="F1537" s="219">
        <v>0.3634</v>
      </c>
    </row>
    <row r="1538" spans="1:6" ht="12" thickBot="1">
      <c r="A1538" s="216">
        <v>31061</v>
      </c>
      <c r="B1538" s="217">
        <v>31067</v>
      </c>
      <c r="C1538" s="218">
        <v>0.36430000000000001</v>
      </c>
      <c r="D1538" s="221"/>
      <c r="E1538" s="221"/>
      <c r="F1538" s="219">
        <v>0.36430000000000001</v>
      </c>
    </row>
    <row r="1539" spans="1:6" ht="12" thickBot="1">
      <c r="A1539" s="216">
        <v>31054</v>
      </c>
      <c r="B1539" s="217">
        <v>31060</v>
      </c>
      <c r="C1539" s="218">
        <v>0.36620000000000003</v>
      </c>
      <c r="D1539" s="221"/>
      <c r="E1539" s="221"/>
      <c r="F1539" s="219">
        <v>0.36620000000000003</v>
      </c>
    </row>
    <row r="1540" spans="1:6" ht="12" thickBot="1">
      <c r="A1540" s="216">
        <v>31047</v>
      </c>
      <c r="B1540" s="217">
        <v>31053</v>
      </c>
      <c r="C1540" s="218">
        <v>0.36259999999999998</v>
      </c>
      <c r="D1540" s="221"/>
      <c r="E1540" s="221"/>
      <c r="F1540" s="219">
        <v>0.36259999999999998</v>
      </c>
    </row>
    <row r="1541" spans="1:6" ht="12" thickBot="1">
      <c r="A1541" s="216">
        <v>31040</v>
      </c>
      <c r="B1541" s="217">
        <v>31046</v>
      </c>
      <c r="C1541" s="218">
        <v>0.36120000000000002</v>
      </c>
      <c r="D1541" s="221"/>
      <c r="E1541" s="221"/>
      <c r="F1541" s="219">
        <v>0.36120000000000002</v>
      </c>
    </row>
    <row r="1542" spans="1:6" ht="12" thickBot="1">
      <c r="A1542" s="216">
        <v>31033</v>
      </c>
      <c r="B1542" s="217">
        <v>31039</v>
      </c>
      <c r="C1542" s="218">
        <v>0.36009999999999998</v>
      </c>
      <c r="D1542" s="221"/>
      <c r="E1542" s="221"/>
      <c r="F1542" s="219">
        <v>0.36009999999999998</v>
      </c>
    </row>
    <row r="1543" spans="1:6" ht="12" thickBot="1">
      <c r="A1543" s="216">
        <v>31026</v>
      </c>
      <c r="B1543" s="217">
        <v>31032</v>
      </c>
      <c r="C1543" s="218">
        <v>0.3634</v>
      </c>
      <c r="D1543" s="221"/>
      <c r="E1543" s="221"/>
      <c r="F1543" s="219">
        <v>0.3634</v>
      </c>
    </row>
    <row r="1544" spans="1:6" ht="12" thickBot="1">
      <c r="A1544" s="216">
        <v>31019</v>
      </c>
      <c r="B1544" s="217">
        <v>31025</v>
      </c>
      <c r="C1544" s="218">
        <v>0.3614</v>
      </c>
      <c r="D1544" s="221"/>
      <c r="E1544" s="221"/>
      <c r="F1544" s="219">
        <v>0.3614</v>
      </c>
    </row>
    <row r="1545" spans="1:6" ht="12" thickBot="1">
      <c r="A1545" s="216">
        <v>31012</v>
      </c>
      <c r="B1545" s="217">
        <v>31018</v>
      </c>
      <c r="C1545" s="218">
        <v>0.36149999999999999</v>
      </c>
      <c r="D1545" s="221"/>
      <c r="E1545" s="221"/>
      <c r="F1545" s="219">
        <v>0.36149999999999999</v>
      </c>
    </row>
    <row r="1546" spans="1:6" ht="12" thickBot="1">
      <c r="A1546" s="216">
        <v>31005</v>
      </c>
      <c r="B1546" s="217">
        <v>31011</v>
      </c>
      <c r="C1546" s="218">
        <v>0.3589</v>
      </c>
      <c r="D1546" s="221"/>
      <c r="E1546" s="221"/>
      <c r="F1546" s="219">
        <v>0.3589</v>
      </c>
    </row>
    <row r="1547" spans="1:6" ht="12" thickBot="1">
      <c r="A1547" s="216">
        <v>30998</v>
      </c>
      <c r="B1547" s="217">
        <v>31004</v>
      </c>
      <c r="C1547" s="218">
        <v>0.35959999999999998</v>
      </c>
      <c r="D1547" s="221"/>
      <c r="E1547" s="221"/>
      <c r="F1547" s="219">
        <v>0.35959999999999998</v>
      </c>
    </row>
    <row r="1548" spans="1:6" ht="12" thickBot="1">
      <c r="A1548" s="216">
        <v>30991</v>
      </c>
      <c r="B1548" s="217">
        <v>30997</v>
      </c>
      <c r="C1548" s="218">
        <v>0.35859999999999997</v>
      </c>
      <c r="D1548" s="221"/>
      <c r="E1548" s="221"/>
      <c r="F1548" s="219">
        <v>0.35859999999999997</v>
      </c>
    </row>
    <row r="1549" spans="1:6" ht="12" thickBot="1">
      <c r="A1549" s="216">
        <v>30984</v>
      </c>
      <c r="B1549" s="217">
        <v>30990</v>
      </c>
      <c r="C1549" s="218">
        <v>0.35980000000000001</v>
      </c>
      <c r="D1549" s="221"/>
      <c r="E1549" s="221"/>
      <c r="F1549" s="219">
        <v>0.35980000000000001</v>
      </c>
    </row>
    <row r="1550" spans="1:6" ht="12" thickBot="1">
      <c r="A1550" s="216">
        <v>30977</v>
      </c>
      <c r="B1550" s="217">
        <v>30983</v>
      </c>
      <c r="C1550" s="218">
        <v>0.3614</v>
      </c>
      <c r="D1550" s="221"/>
      <c r="E1550" s="221"/>
      <c r="F1550" s="219">
        <v>0.3614</v>
      </c>
    </row>
    <row r="1551" spans="1:6" ht="12" thickBot="1">
      <c r="A1551" s="216">
        <v>30970</v>
      </c>
      <c r="B1551" s="217">
        <v>30976</v>
      </c>
      <c r="C1551" s="218">
        <v>0.35759999999999997</v>
      </c>
      <c r="D1551" s="221"/>
      <c r="E1551" s="221"/>
      <c r="F1551" s="219">
        <v>0.35759999999999997</v>
      </c>
    </row>
    <row r="1552" spans="1:6" ht="12" thickBot="1">
      <c r="A1552" s="216">
        <v>30963</v>
      </c>
      <c r="B1552" s="217">
        <v>30969</v>
      </c>
      <c r="C1552" s="218">
        <v>0.36209999999999998</v>
      </c>
      <c r="D1552" s="221"/>
      <c r="E1552" s="221"/>
      <c r="F1552" s="219">
        <v>0.36209999999999998</v>
      </c>
    </row>
    <row r="1553" spans="1:6" ht="12" thickBot="1">
      <c r="A1553" s="216">
        <v>30956</v>
      </c>
      <c r="B1553" s="217">
        <v>30962</v>
      </c>
      <c r="C1553" s="218">
        <v>0.3649</v>
      </c>
      <c r="D1553" s="221"/>
      <c r="E1553" s="221"/>
      <c r="F1553" s="219">
        <v>0.3649</v>
      </c>
    </row>
    <row r="1554" spans="1:6" ht="12" thickBot="1">
      <c r="A1554" s="216">
        <v>30949</v>
      </c>
      <c r="B1554" s="217">
        <v>30955</v>
      </c>
      <c r="C1554" s="218">
        <v>0.35680000000000001</v>
      </c>
      <c r="D1554" s="221"/>
      <c r="E1554" s="221"/>
      <c r="F1554" s="219">
        <v>0.35680000000000001</v>
      </c>
    </row>
    <row r="1555" spans="1:6" ht="12" thickBot="1">
      <c r="A1555" s="216">
        <v>30942</v>
      </c>
      <c r="B1555" s="217">
        <v>30948</v>
      </c>
      <c r="C1555" s="218">
        <v>0.36270000000000002</v>
      </c>
      <c r="D1555" s="221"/>
      <c r="E1555" s="221"/>
      <c r="F1555" s="219">
        <v>0.36270000000000002</v>
      </c>
    </row>
    <row r="1556" spans="1:6" ht="12" thickBot="1">
      <c r="A1556" s="216">
        <v>30935</v>
      </c>
      <c r="B1556" s="217">
        <v>30941</v>
      </c>
      <c r="C1556" s="218">
        <v>0.35959999999999998</v>
      </c>
      <c r="D1556" s="221"/>
      <c r="E1556" s="221"/>
      <c r="F1556" s="219">
        <v>0.35959999999999998</v>
      </c>
    </row>
    <row r="1557" spans="1:6" ht="12" thickBot="1">
      <c r="A1557" s="216">
        <v>30928</v>
      </c>
      <c r="B1557" s="217">
        <v>30934</v>
      </c>
      <c r="C1557" s="218">
        <v>0.36080000000000001</v>
      </c>
      <c r="D1557" s="221"/>
      <c r="E1557" s="221"/>
      <c r="F1557" s="219">
        <v>0.36080000000000001</v>
      </c>
    </row>
    <row r="1558" spans="1:6" ht="12" thickBot="1">
      <c r="A1558" s="216">
        <v>30921</v>
      </c>
      <c r="B1558" s="217">
        <v>30927</v>
      </c>
      <c r="C1558" s="218">
        <v>0.35980000000000001</v>
      </c>
      <c r="D1558" s="221"/>
      <c r="E1558" s="221"/>
      <c r="F1558" s="219">
        <v>0.35980000000000001</v>
      </c>
    </row>
    <row r="1559" spans="1:6" ht="12" thickBot="1">
      <c r="A1559" s="216">
        <v>30915</v>
      </c>
      <c r="B1559" s="217">
        <v>30920</v>
      </c>
      <c r="C1559" s="218">
        <v>0.36149999999999999</v>
      </c>
      <c r="D1559" s="221"/>
      <c r="E1559" s="221"/>
      <c r="F1559" s="220"/>
    </row>
    <row r="1560" spans="1:6" ht="12" thickBot="1">
      <c r="A1560" s="216">
        <v>30914</v>
      </c>
      <c r="B1560" s="217">
        <v>30920</v>
      </c>
      <c r="C1560" s="221"/>
      <c r="D1560" s="221"/>
      <c r="E1560" s="221"/>
      <c r="F1560" s="219">
        <v>0.36149999999999999</v>
      </c>
    </row>
    <row r="1561" spans="1:6" ht="12" thickBot="1">
      <c r="A1561" s="216">
        <v>30907</v>
      </c>
      <c r="B1561" s="217">
        <v>30913</v>
      </c>
      <c r="C1561" s="218">
        <v>0.36430000000000001</v>
      </c>
      <c r="D1561" s="221"/>
      <c r="E1561" s="221"/>
      <c r="F1561" s="219">
        <v>0.36430000000000001</v>
      </c>
    </row>
    <row r="1562" spans="1:6" ht="12" thickBot="1">
      <c r="A1562" s="216">
        <v>30900</v>
      </c>
      <c r="B1562" s="217">
        <v>30906</v>
      </c>
      <c r="C1562" s="218">
        <v>0.36020000000000002</v>
      </c>
      <c r="D1562" s="221"/>
      <c r="E1562" s="221"/>
      <c r="F1562" s="219">
        <v>0.36020000000000002</v>
      </c>
    </row>
    <row r="1563" spans="1:6" ht="12" thickBot="1">
      <c r="A1563" s="216">
        <v>30893</v>
      </c>
      <c r="B1563" s="217">
        <v>30899</v>
      </c>
      <c r="C1563" s="218">
        <v>0.36049999999999999</v>
      </c>
      <c r="D1563" s="221"/>
      <c r="E1563" s="221"/>
      <c r="F1563" s="219">
        <v>0.36049999999999999</v>
      </c>
    </row>
    <row r="1564" spans="1:6" ht="12" thickBot="1">
      <c r="A1564" s="216">
        <v>30886</v>
      </c>
      <c r="B1564" s="217">
        <v>30892</v>
      </c>
      <c r="C1564" s="218">
        <v>0.35899999999999999</v>
      </c>
      <c r="D1564" s="221"/>
      <c r="E1564" s="221"/>
      <c r="F1564" s="219">
        <v>0.35899999999999999</v>
      </c>
    </row>
    <row r="1565" spans="1:6" ht="12" thickBot="1">
      <c r="A1565" s="695">
        <v>30879</v>
      </c>
      <c r="B1565" s="217">
        <v>30885</v>
      </c>
      <c r="C1565" s="221"/>
      <c r="D1565" s="221"/>
      <c r="E1565" s="221"/>
      <c r="F1565" s="219">
        <v>0.35920000000000002</v>
      </c>
    </row>
    <row r="1566" spans="1:6" ht="12" thickBot="1">
      <c r="A1566" s="696"/>
      <c r="B1566" s="217">
        <v>30884</v>
      </c>
      <c r="C1566" s="218">
        <v>0.35920000000000002</v>
      </c>
      <c r="D1566" s="221"/>
      <c r="E1566" s="221"/>
      <c r="F1566" s="220"/>
    </row>
    <row r="1567" spans="1:6" ht="12" thickBot="1">
      <c r="A1567" s="216">
        <v>30872</v>
      </c>
      <c r="B1567" s="217">
        <v>30878</v>
      </c>
      <c r="C1567" s="218">
        <v>0.3599</v>
      </c>
      <c r="D1567" s="221"/>
      <c r="E1567" s="221"/>
      <c r="F1567" s="219">
        <v>0.3599</v>
      </c>
    </row>
    <row r="1568" spans="1:6" ht="12" thickBot="1">
      <c r="A1568" s="216">
        <v>30866</v>
      </c>
      <c r="B1568" s="217">
        <v>30871</v>
      </c>
      <c r="C1568" s="218">
        <v>0.35770000000000002</v>
      </c>
      <c r="D1568" s="221"/>
      <c r="E1568" s="221"/>
      <c r="F1568" s="220"/>
    </row>
    <row r="1569" spans="1:6" ht="12" thickBot="1">
      <c r="A1569" s="216">
        <v>30865</v>
      </c>
      <c r="B1569" s="217">
        <v>30871</v>
      </c>
      <c r="C1569" s="221"/>
      <c r="D1569" s="221"/>
      <c r="E1569" s="221"/>
      <c r="F1569" s="219">
        <v>0.35770000000000002</v>
      </c>
    </row>
    <row r="1570" spans="1:6" ht="12" thickBot="1">
      <c r="A1570" s="216">
        <v>30859</v>
      </c>
      <c r="B1570" s="217">
        <v>30864</v>
      </c>
      <c r="C1570" s="218">
        <v>0.35680000000000001</v>
      </c>
      <c r="D1570" s="221"/>
      <c r="E1570" s="221"/>
      <c r="F1570" s="220"/>
    </row>
    <row r="1571" spans="1:6" ht="12" thickBot="1">
      <c r="A1571" s="216">
        <v>30858</v>
      </c>
      <c r="B1571" s="217">
        <v>30864</v>
      </c>
      <c r="C1571" s="221"/>
      <c r="D1571" s="221"/>
      <c r="E1571" s="221"/>
      <c r="F1571" s="219">
        <v>0.35680000000000001</v>
      </c>
    </row>
    <row r="1572" spans="1:6" ht="12" thickBot="1">
      <c r="A1572" s="216">
        <v>30851</v>
      </c>
      <c r="B1572" s="217">
        <v>30857</v>
      </c>
      <c r="C1572" s="218">
        <v>0.35570000000000002</v>
      </c>
      <c r="D1572" s="221"/>
      <c r="E1572" s="221"/>
      <c r="F1572" s="219">
        <v>0.35570000000000002</v>
      </c>
    </row>
    <row r="1573" spans="1:6" ht="12" thickBot="1">
      <c r="A1573" s="216">
        <v>30844</v>
      </c>
      <c r="B1573" s="217">
        <v>30850</v>
      </c>
      <c r="C1573" s="218">
        <v>0.3548</v>
      </c>
      <c r="D1573" s="221"/>
      <c r="E1573" s="221"/>
      <c r="F1573" s="219">
        <v>0.3548</v>
      </c>
    </row>
    <row r="1574" spans="1:6" ht="12" thickBot="1">
      <c r="A1574" s="216">
        <v>30837</v>
      </c>
      <c r="B1574" s="217">
        <v>30843</v>
      </c>
      <c r="C1574" s="218">
        <v>0.35859999999999997</v>
      </c>
      <c r="D1574" s="221"/>
      <c r="E1574" s="221"/>
      <c r="F1574" s="219">
        <v>0.35859999999999997</v>
      </c>
    </row>
    <row r="1575" spans="1:6" ht="12" thickBot="1">
      <c r="A1575" s="216">
        <v>30830</v>
      </c>
      <c r="B1575" s="217">
        <v>30836</v>
      </c>
      <c r="C1575" s="218">
        <v>0.35620000000000002</v>
      </c>
      <c r="D1575" s="221"/>
      <c r="E1575" s="221"/>
      <c r="F1575" s="219">
        <v>0.35620000000000002</v>
      </c>
    </row>
    <row r="1576" spans="1:6" ht="12" thickBot="1">
      <c r="A1576" s="216">
        <v>30823</v>
      </c>
      <c r="B1576" s="217">
        <v>30829</v>
      </c>
      <c r="C1576" s="218">
        <v>0.35420000000000001</v>
      </c>
      <c r="D1576" s="221"/>
      <c r="E1576" s="221"/>
      <c r="F1576" s="219">
        <v>0.35420000000000001</v>
      </c>
    </row>
    <row r="1577" spans="1:6" ht="12" thickBot="1">
      <c r="A1577" s="216">
        <v>30816</v>
      </c>
      <c r="B1577" s="217">
        <v>30822</v>
      </c>
      <c r="C1577" s="218">
        <v>0.35670000000000002</v>
      </c>
      <c r="D1577" s="221"/>
      <c r="E1577" s="221"/>
      <c r="F1577" s="219">
        <v>0.35670000000000002</v>
      </c>
    </row>
    <row r="1578" spans="1:6" ht="12" thickBot="1">
      <c r="A1578" s="216">
        <v>30809</v>
      </c>
      <c r="B1578" s="217">
        <v>30815</v>
      </c>
      <c r="C1578" s="218">
        <v>0.35260000000000002</v>
      </c>
      <c r="D1578" s="221"/>
      <c r="E1578" s="221"/>
      <c r="F1578" s="219">
        <v>0.35260000000000002</v>
      </c>
    </row>
    <row r="1579" spans="1:6" ht="12" thickBot="1">
      <c r="A1579" s="216">
        <v>30802</v>
      </c>
      <c r="B1579" s="217">
        <v>30808</v>
      </c>
      <c r="C1579" s="218">
        <v>0.35580000000000001</v>
      </c>
      <c r="D1579" s="221"/>
      <c r="E1579" s="221"/>
      <c r="F1579" s="219">
        <v>0.35580000000000001</v>
      </c>
    </row>
    <row r="1580" spans="1:6" ht="12" thickBot="1">
      <c r="A1580" s="216">
        <v>30795</v>
      </c>
      <c r="B1580" s="217">
        <v>30801</v>
      </c>
      <c r="C1580" s="218">
        <v>0.35449999999999998</v>
      </c>
      <c r="D1580" s="221"/>
      <c r="E1580" s="221"/>
      <c r="F1580" s="219">
        <v>0.35449999999999998</v>
      </c>
    </row>
    <row r="1581" spans="1:6" ht="12" thickBot="1">
      <c r="A1581" s="216">
        <v>30788</v>
      </c>
      <c r="B1581" s="217">
        <v>30794</v>
      </c>
      <c r="C1581" s="218">
        <v>0.35299999999999998</v>
      </c>
      <c r="D1581" s="221"/>
      <c r="E1581" s="221"/>
      <c r="F1581" s="219">
        <v>0.35299999999999998</v>
      </c>
    </row>
    <row r="1582" spans="1:6" ht="12" thickBot="1">
      <c r="A1582" s="216">
        <v>30781</v>
      </c>
      <c r="B1582" s="217">
        <v>30787</v>
      </c>
      <c r="C1582" s="218">
        <v>0.35539999999999999</v>
      </c>
      <c r="D1582" s="221"/>
      <c r="E1582" s="221"/>
      <c r="F1582" s="219">
        <v>0.35539999999999999</v>
      </c>
    </row>
    <row r="1583" spans="1:6" ht="12" thickBot="1">
      <c r="A1583" s="216">
        <v>30774</v>
      </c>
      <c r="B1583" s="217">
        <v>30780</v>
      </c>
      <c r="C1583" s="218">
        <v>0.35520000000000002</v>
      </c>
      <c r="D1583" s="221"/>
      <c r="E1583" s="221"/>
      <c r="F1583" s="219">
        <v>0.35520000000000002</v>
      </c>
    </row>
    <row r="1584" spans="1:6" ht="12" thickBot="1">
      <c r="A1584" s="216">
        <v>30767</v>
      </c>
      <c r="B1584" s="217">
        <v>30773</v>
      </c>
      <c r="C1584" s="218">
        <v>0.3513</v>
      </c>
      <c r="D1584" s="221"/>
      <c r="E1584" s="221"/>
      <c r="F1584" s="219">
        <v>0.3513</v>
      </c>
    </row>
    <row r="1585" spans="1:7" ht="12" thickBot="1">
      <c r="A1585" s="216">
        <v>30761</v>
      </c>
      <c r="B1585" s="217">
        <v>30766</v>
      </c>
      <c r="C1585" s="218">
        <v>0.35160000000000002</v>
      </c>
      <c r="D1585" s="221"/>
      <c r="E1585" s="221"/>
      <c r="F1585" s="220"/>
    </row>
    <row r="1586" spans="1:7" ht="12" thickBot="1">
      <c r="A1586" s="216">
        <v>30760</v>
      </c>
      <c r="B1586" s="217">
        <v>30766</v>
      </c>
      <c r="C1586" s="221"/>
      <c r="D1586" s="221"/>
      <c r="E1586" s="221"/>
      <c r="F1586" s="219">
        <v>0.35160000000000002</v>
      </c>
    </row>
    <row r="1587" spans="1:7" ht="12" thickBot="1">
      <c r="A1587" s="695">
        <v>30753</v>
      </c>
      <c r="B1587" s="217">
        <v>30760</v>
      </c>
      <c r="C1587" s="218">
        <v>0.35399999999999998</v>
      </c>
      <c r="D1587" s="221"/>
      <c r="E1587" s="221"/>
      <c r="F1587" s="220"/>
    </row>
    <row r="1588" spans="1:7" ht="12" thickBot="1">
      <c r="A1588" s="696"/>
      <c r="B1588" s="217">
        <v>30759</v>
      </c>
      <c r="C1588" s="221"/>
      <c r="D1588" s="221"/>
      <c r="E1588" s="221"/>
      <c r="F1588" s="219">
        <v>0.35399999999999998</v>
      </c>
    </row>
    <row r="1589" spans="1:7" ht="12" thickBot="1">
      <c r="A1589" s="216">
        <v>30746</v>
      </c>
      <c r="B1589" s="217">
        <v>30752</v>
      </c>
      <c r="C1589" s="218">
        <v>0.35449999999999998</v>
      </c>
      <c r="D1589" s="221"/>
      <c r="E1589" s="221"/>
      <c r="F1589" s="219">
        <v>0.35449999999999998</v>
      </c>
    </row>
    <row r="1590" spans="1:7" ht="12" thickBot="1">
      <c r="A1590" s="216">
        <v>30739</v>
      </c>
      <c r="B1590" s="217">
        <v>30745</v>
      </c>
      <c r="C1590" s="218">
        <v>0.35570000000000002</v>
      </c>
      <c r="D1590" s="221"/>
      <c r="E1590" s="221"/>
      <c r="F1590" s="219">
        <v>0.35570000000000002</v>
      </c>
    </row>
    <row r="1591" spans="1:7" ht="12" thickBot="1">
      <c r="A1591" s="216">
        <v>30732</v>
      </c>
      <c r="B1591" s="217">
        <v>30738</v>
      </c>
      <c r="C1591" s="218">
        <v>0.35799999999999998</v>
      </c>
      <c r="D1591" s="221"/>
      <c r="E1591" s="221"/>
      <c r="F1591" s="219">
        <v>0.35799999999999998</v>
      </c>
    </row>
    <row r="1592" spans="1:7" ht="12" thickBot="1">
      <c r="A1592" s="695">
        <v>30725</v>
      </c>
      <c r="B1592" s="217">
        <v>30731</v>
      </c>
      <c r="C1592" s="221"/>
      <c r="D1592" s="221"/>
      <c r="E1592" s="221"/>
      <c r="F1592" s="219">
        <v>0.35899999999999999</v>
      </c>
    </row>
    <row r="1593" spans="1:7" ht="12" thickBot="1">
      <c r="A1593" s="696"/>
      <c r="B1593" s="217">
        <v>30729</v>
      </c>
      <c r="C1593" s="218">
        <v>0.35899999999999999</v>
      </c>
      <c r="D1593" s="221"/>
      <c r="E1593" s="221"/>
      <c r="F1593" s="220"/>
    </row>
    <row r="1594" spans="1:7" ht="12" thickBot="1">
      <c r="A1594" s="216">
        <v>30718</v>
      </c>
      <c r="B1594" s="217">
        <v>30724</v>
      </c>
      <c r="C1594" s="218">
        <v>0.3584</v>
      </c>
      <c r="D1594" s="221"/>
      <c r="E1594" s="221"/>
      <c r="F1594" s="219">
        <v>0.3584</v>
      </c>
    </row>
    <row r="1595" spans="1:7" ht="12" thickBot="1">
      <c r="A1595" s="216">
        <v>30711</v>
      </c>
      <c r="B1595" s="217">
        <v>30717</v>
      </c>
      <c r="C1595" s="218">
        <v>0.35949999999999999</v>
      </c>
      <c r="D1595" s="221"/>
      <c r="E1595" s="221"/>
      <c r="F1595" s="219">
        <v>0.35949999999999999</v>
      </c>
    </row>
    <row r="1596" spans="1:7" ht="12" thickBot="1">
      <c r="A1596" s="216">
        <v>30704</v>
      </c>
      <c r="B1596" s="217">
        <v>30710</v>
      </c>
      <c r="C1596" s="218">
        <v>0.36209999999999998</v>
      </c>
      <c r="D1596" s="221"/>
      <c r="E1596" s="221"/>
      <c r="F1596" s="219">
        <v>0.36209999999999998</v>
      </c>
    </row>
    <row r="1597" spans="1:7">
      <c r="A1597" s="222">
        <v>30693</v>
      </c>
      <c r="B1597" s="223">
        <v>30699</v>
      </c>
      <c r="C1597" s="224">
        <v>0.36449999999999999</v>
      </c>
      <c r="D1597" s="225"/>
      <c r="E1597" s="225"/>
      <c r="F1597" s="226">
        <v>0.36449999999999999</v>
      </c>
    </row>
    <row r="1598" spans="1:7" ht="11.25" customHeight="1">
      <c r="A1598" s="697" t="s">
        <v>338</v>
      </c>
      <c r="B1598" s="697"/>
      <c r="C1598" s="697"/>
      <c r="D1598" s="697"/>
      <c r="E1598" s="697"/>
      <c r="F1598" s="697"/>
      <c r="G1598" s="697"/>
    </row>
    <row r="1599" spans="1:7">
      <c r="A1599" s="694"/>
      <c r="B1599" s="694"/>
      <c r="C1599" s="694"/>
      <c r="D1599" s="694"/>
      <c r="E1599" s="694"/>
      <c r="F1599" s="694"/>
      <c r="G1599" s="694"/>
    </row>
    <row r="1600" spans="1:7" ht="22.5" customHeight="1">
      <c r="A1600" s="698" t="s">
        <v>339</v>
      </c>
      <c r="B1600" s="698"/>
      <c r="C1600" s="698"/>
      <c r="D1600" s="698"/>
      <c r="E1600" s="698"/>
      <c r="F1600" s="698"/>
      <c r="G1600" s="698"/>
    </row>
    <row r="1601" spans="1:7">
      <c r="A1601" s="694"/>
      <c r="B1601" s="694"/>
      <c r="C1601" s="694"/>
      <c r="D1601" s="694"/>
      <c r="E1601" s="694"/>
      <c r="F1601" s="694"/>
      <c r="G1601" s="694"/>
    </row>
    <row r="1602" spans="1:7" ht="45" customHeight="1">
      <c r="A1602" s="694" t="s">
        <v>340</v>
      </c>
      <c r="B1602" s="694"/>
      <c r="C1602" s="694"/>
      <c r="D1602" s="694"/>
      <c r="E1602" s="694"/>
      <c r="F1602" s="694"/>
      <c r="G1602" s="694"/>
    </row>
    <row r="1603" spans="1:7">
      <c r="A1603" s="694"/>
      <c r="B1603" s="694"/>
      <c r="C1603" s="694"/>
      <c r="D1603" s="694"/>
      <c r="E1603" s="694"/>
      <c r="F1603" s="694"/>
      <c r="G1603" s="694"/>
    </row>
  </sheetData>
  <mergeCells count="16">
    <mergeCell ref="A6:B6"/>
    <mergeCell ref="C6:F6"/>
    <mergeCell ref="A1:F1"/>
    <mergeCell ref="G1:G4"/>
    <mergeCell ref="A2:F2"/>
    <mergeCell ref="A3:F3"/>
    <mergeCell ref="A5:G5"/>
    <mergeCell ref="A1601:G1601"/>
    <mergeCell ref="A1602:G1602"/>
    <mergeCell ref="A1603:G1603"/>
    <mergeCell ref="A1565:A1566"/>
    <mergeCell ref="A1587:A1588"/>
    <mergeCell ref="A1592:A1593"/>
    <mergeCell ref="A1598:G1598"/>
    <mergeCell ref="A1599:G1599"/>
    <mergeCell ref="A1600:G1600"/>
  </mergeCells>
  <phoneticPr fontId="67" type="noConversion"/>
  <hyperlinks>
    <hyperlink ref="A1598" r:id="rId1" display="http://www.superfinanciera.gov.co/"/>
  </hyperlinks>
  <pageMargins left="0.75" right="0.75" top="1" bottom="1" header="0.5" footer="0.5"/>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pageSetUpPr fitToPage="1"/>
  </sheetPr>
  <dimension ref="A1:Y209"/>
  <sheetViews>
    <sheetView showGridLines="0" zoomScale="70" zoomScaleNormal="70" zoomScalePageLayoutView="70" workbookViewId="0">
      <pane ySplit="5" topLeftCell="A47" activePane="bottomLeft" state="frozen"/>
      <selection pane="bottomLeft" activeCell="G59" sqref="G59"/>
    </sheetView>
  </sheetViews>
  <sheetFormatPr baseColWidth="10" defaultColWidth="8.88671875" defaultRowHeight="15"/>
  <cols>
    <col min="1" max="1" width="3.6640625" customWidth="1"/>
    <col min="2" max="2" width="27.109375" customWidth="1"/>
    <col min="3" max="6" width="13.6640625" customWidth="1"/>
    <col min="7" max="7" width="16.88671875" customWidth="1"/>
    <col min="8" max="13" width="13.6640625" customWidth="1"/>
    <col min="14" max="14" width="12" customWidth="1"/>
  </cols>
  <sheetData>
    <row r="1" spans="1:13" ht="15.75">
      <c r="A1" s="1" t="s">
        <v>0</v>
      </c>
      <c r="B1" s="2"/>
      <c r="C1" s="2"/>
      <c r="D1" s="2"/>
      <c r="E1" s="2"/>
      <c r="F1" s="47"/>
      <c r="G1" s="46"/>
      <c r="H1" s="2"/>
    </row>
    <row r="2" spans="1:13" ht="15.75">
      <c r="A2" s="1" t="s">
        <v>1</v>
      </c>
      <c r="B2" s="2"/>
      <c r="C2" s="2"/>
      <c r="D2" s="2"/>
      <c r="E2" s="43"/>
      <c r="F2" s="46"/>
      <c r="G2" s="46"/>
      <c r="H2" s="43"/>
    </row>
    <row r="3" spans="1:13">
      <c r="A3" s="2" t="s">
        <v>287</v>
      </c>
      <c r="B3" s="2"/>
      <c r="C3" s="40"/>
      <c r="D3" s="40"/>
      <c r="E3" s="40"/>
      <c r="F3" s="47"/>
      <c r="G3" s="47"/>
      <c r="H3" s="46"/>
      <c r="I3" s="46"/>
      <c r="J3" s="46"/>
      <c r="K3" s="46"/>
      <c r="L3" s="46"/>
      <c r="M3" s="46"/>
    </row>
    <row r="5" spans="1:13" ht="16.5" thickBot="1">
      <c r="A5" s="2"/>
      <c r="B5" s="2"/>
      <c r="C5" s="3">
        <v>2009</v>
      </c>
      <c r="D5" s="3">
        <f>C5+1</f>
        <v>2010</v>
      </c>
      <c r="E5" s="3">
        <f>D5+1</f>
        <v>2011</v>
      </c>
      <c r="F5" s="3">
        <f>E5+1</f>
        <v>2012</v>
      </c>
      <c r="G5" s="3">
        <f>F5+1</f>
        <v>2013</v>
      </c>
      <c r="H5" s="3" t="s">
        <v>342</v>
      </c>
      <c r="I5" s="3" t="s">
        <v>343</v>
      </c>
      <c r="J5" s="3" t="s">
        <v>344</v>
      </c>
      <c r="K5" s="3" t="s">
        <v>345</v>
      </c>
      <c r="L5" s="3" t="s">
        <v>346</v>
      </c>
      <c r="M5" s="3" t="s">
        <v>347</v>
      </c>
    </row>
    <row r="6" spans="1:13" ht="15.75">
      <c r="A6" s="1" t="s">
        <v>2</v>
      </c>
      <c r="B6" s="2"/>
      <c r="C6" s="2"/>
      <c r="D6" s="2"/>
      <c r="E6" s="2"/>
      <c r="F6" s="2"/>
      <c r="G6" s="40"/>
      <c r="H6" s="2"/>
      <c r="I6" s="2"/>
      <c r="J6" s="2"/>
      <c r="K6" s="2"/>
      <c r="L6" s="2"/>
      <c r="M6" s="2"/>
    </row>
    <row r="7" spans="1:13" ht="15.75">
      <c r="A7" s="1" t="s">
        <v>3</v>
      </c>
      <c r="B7" s="2"/>
      <c r="C7" s="512"/>
      <c r="D7" s="512"/>
      <c r="E7" s="512"/>
      <c r="F7" s="513"/>
      <c r="G7" s="513"/>
      <c r="H7" s="58"/>
      <c r="I7" s="58"/>
      <c r="J7" s="58"/>
      <c r="K7" s="58"/>
      <c r="L7" s="58"/>
      <c r="M7" s="58"/>
    </row>
    <row r="8" spans="1:13" s="530" customFormat="1" ht="15.75">
      <c r="A8" s="528"/>
      <c r="B8" s="527" t="s">
        <v>4</v>
      </c>
      <c r="C8" s="535">
        <f>+'Balance general'!$E$7</f>
        <v>11094671</v>
      </c>
      <c r="D8" s="535">
        <f>+'Balance general'!F7</f>
        <v>2028428</v>
      </c>
      <c r="E8" s="535">
        <f>+'Balance general'!G7</f>
        <v>572128</v>
      </c>
      <c r="F8" s="535">
        <f>+'Balance general'!H7</f>
        <v>22402629</v>
      </c>
      <c r="G8" s="535">
        <f>+'Balance general'!$I$7</f>
        <v>2915796</v>
      </c>
      <c r="H8" s="535">
        <f t="shared" ref="H8:M8" si="0">+G8*(1+(G8/G12))</f>
        <v>3023965.623548218</v>
      </c>
      <c r="I8" s="535">
        <f t="shared" si="0"/>
        <v>3123912.151307404</v>
      </c>
      <c r="J8" s="535">
        <f t="shared" si="0"/>
        <v>3230018.3035351662</v>
      </c>
      <c r="K8" s="535">
        <f t="shared" si="0"/>
        <v>3333848.7371521411</v>
      </c>
      <c r="L8" s="535">
        <f t="shared" si="0"/>
        <v>3448014.4666273431</v>
      </c>
      <c r="M8" s="535">
        <f t="shared" si="0"/>
        <v>3569536.6732453359</v>
      </c>
    </row>
    <row r="9" spans="1:13" s="530" customFormat="1" ht="15.75">
      <c r="A9" s="528"/>
      <c r="B9" s="527" t="s">
        <v>5</v>
      </c>
      <c r="C9" s="535">
        <f>+'Balance general'!$E$8+'Balance general'!$E$9</f>
        <v>13447568</v>
      </c>
      <c r="D9" s="535">
        <f>+'Balance general'!F8+'Balance general'!F9</f>
        <v>31558624</v>
      </c>
      <c r="E9" s="535">
        <f>+'Balance general'!G8+'Balance general'!G9</f>
        <v>18146320</v>
      </c>
      <c r="F9" s="535">
        <f>+'Balance general'!H8+'Balance general'!H9</f>
        <v>24255252</v>
      </c>
      <c r="G9" s="535">
        <f>+'Balance general'!I8+'Balance general'!I9</f>
        <v>31616780</v>
      </c>
      <c r="H9" s="535">
        <f>+'KWOp.%'!P15*Resultados!H7/360</f>
        <v>37119708.438898146</v>
      </c>
      <c r="I9" s="535">
        <f>+'KWOp.%'!Q15*Resultados!I7/360</f>
        <v>37589703.606204517</v>
      </c>
      <c r="J9" s="535">
        <f>+'KWOp.%'!R15*Resultados!J7/360</f>
        <v>41144778.28901051</v>
      </c>
      <c r="K9" s="535">
        <f>+'KWOp.%'!S15*Resultados!K7/360</f>
        <v>40878543.616089918</v>
      </c>
      <c r="L9" s="535">
        <f>+'KWOp.%'!T15*Resultados!L7/360</f>
        <v>40878543.616089918</v>
      </c>
      <c r="M9" s="535">
        <f>+'KWOp.%'!U15*Resultados!M7/360</f>
        <v>40878543.616089925</v>
      </c>
    </row>
    <row r="10" spans="1:13" s="530" customFormat="1" ht="15.75">
      <c r="A10" s="528"/>
      <c r="B10" s="527" t="s">
        <v>6</v>
      </c>
      <c r="C10" s="535">
        <f>+'Balance general'!E11+'Balance general'!E10</f>
        <v>18068410</v>
      </c>
      <c r="D10" s="535">
        <f>+'Balance general'!F11+'Balance general'!F10</f>
        <v>20268504</v>
      </c>
      <c r="E10" s="535">
        <f>+'Balance general'!G11+'Balance general'!G10</f>
        <v>26430760</v>
      </c>
      <c r="F10" s="535">
        <f>+'Balance general'!H11+'Balance general'!H10</f>
        <v>34016902</v>
      </c>
      <c r="G10" s="535">
        <f>+'Balance general'!I11+'Balance general'!I10</f>
        <v>43554208</v>
      </c>
      <c r="H10" s="535">
        <f>+'KWOp.%'!P22*Resultados!H7/360</f>
        <v>51348930.007142551</v>
      </c>
      <c r="I10" s="535">
        <f>+'KWOp.%'!Q22*Resultados!I7/360</f>
        <v>51258686.735733517</v>
      </c>
      <c r="J10" s="535">
        <f>+'KWOp.%'!R22*Resultados!J7/360</f>
        <v>56106515.848650664</v>
      </c>
      <c r="K10" s="535">
        <f>+'KWOp.%'!S22*Resultados!K7/360</f>
        <v>53142106.700916894</v>
      </c>
      <c r="L10" s="535">
        <f>+'KWOp.%'!T22*Resultados!L7/360</f>
        <v>53505797.771749288</v>
      </c>
      <c r="M10" s="535">
        <f>+'KWOp.%'!U22*Resultados!M7/360</f>
        <v>53142106.700916849</v>
      </c>
    </row>
    <row r="11" spans="1:13" s="530" customFormat="1" ht="16.5" thickBot="1">
      <c r="A11" s="528"/>
      <c r="B11" s="527" t="s">
        <v>300</v>
      </c>
      <c r="C11" s="535">
        <f>+'Balance general'!E12</f>
        <v>281145</v>
      </c>
      <c r="D11" s="535">
        <f>+'Balance general'!F12</f>
        <v>282098</v>
      </c>
      <c r="E11" s="535">
        <f>+'Balance general'!G12</f>
        <v>213553</v>
      </c>
      <c r="F11" s="535">
        <f>+'Balance general'!H12</f>
        <v>369730</v>
      </c>
      <c r="G11" s="535">
        <f>+'Balance general'!I12</f>
        <v>510756</v>
      </c>
      <c r="H11" s="535">
        <f t="shared" ref="H11:M11" si="1">+G11*(1+(G11/G12))</f>
        <v>514075.08214348694</v>
      </c>
      <c r="I11" s="535">
        <f t="shared" si="1"/>
        <v>516963.54720324004</v>
      </c>
      <c r="J11" s="535">
        <f t="shared" si="1"/>
        <v>519869.32755115052</v>
      </c>
      <c r="K11" s="535">
        <f t="shared" si="1"/>
        <v>522559.02289013856</v>
      </c>
      <c r="L11" s="535">
        <f t="shared" si="1"/>
        <v>525363.90540770954</v>
      </c>
      <c r="M11" s="535">
        <f t="shared" si="1"/>
        <v>528185.1318894251</v>
      </c>
    </row>
    <row r="12" spans="1:13" s="50" customFormat="1" ht="15.75">
      <c r="A12" s="381" t="s">
        <v>7</v>
      </c>
      <c r="B12" s="355"/>
      <c r="C12" s="59">
        <f>SUM(C8:C11)</f>
        <v>42891794</v>
      </c>
      <c r="D12" s="59">
        <f>SUM(D8:D11)</f>
        <v>54137654</v>
      </c>
      <c r="E12" s="59">
        <f>SUM(E8:E11)</f>
        <v>45362761</v>
      </c>
      <c r="F12" s="59">
        <f>SUM(F8:F11)</f>
        <v>81044513</v>
      </c>
      <c r="G12" s="59">
        <f>SUM(G8:G11)</f>
        <v>78597540</v>
      </c>
      <c r="H12" s="59">
        <f t="shared" ref="H12:M12" si="2">SUM(H8:H10)</f>
        <v>91492604.069588915</v>
      </c>
      <c r="I12" s="59">
        <f t="shared" si="2"/>
        <v>91972302.493245438</v>
      </c>
      <c r="J12" s="59">
        <f>SUM(J8:J10)</f>
        <v>100481312.44119634</v>
      </c>
      <c r="K12" s="59">
        <f t="shared" si="2"/>
        <v>97354499.054158956</v>
      </c>
      <c r="L12" s="59">
        <f t="shared" si="2"/>
        <v>97832355.854466558</v>
      </c>
      <c r="M12" s="59">
        <f t="shared" si="2"/>
        <v>97590186.990252107</v>
      </c>
    </row>
    <row r="13" spans="1:13" s="50" customFormat="1" ht="15.75">
      <c r="A13" s="381"/>
      <c r="B13" s="355"/>
      <c r="C13" s="533"/>
      <c r="D13" s="533"/>
      <c r="E13" s="533"/>
      <c r="F13" s="533"/>
      <c r="G13" s="533"/>
      <c r="H13" s="533"/>
      <c r="I13" s="533"/>
      <c r="J13" s="533"/>
      <c r="K13" s="533"/>
      <c r="L13" s="533"/>
      <c r="M13" s="533"/>
    </row>
    <row r="14" spans="1:13" s="50" customFormat="1" ht="15.75">
      <c r="A14" s="381"/>
      <c r="B14" s="355"/>
      <c r="C14" s="58"/>
      <c r="D14" s="58"/>
      <c r="E14" s="58"/>
      <c r="F14" s="58"/>
      <c r="G14" s="58"/>
      <c r="H14" s="58"/>
      <c r="I14" s="58"/>
      <c r="J14" s="58"/>
      <c r="K14" s="58"/>
      <c r="L14" s="58"/>
      <c r="M14" s="58"/>
    </row>
    <row r="15" spans="1:13" s="50" customFormat="1" ht="15.75">
      <c r="A15" s="381" t="s">
        <v>8</v>
      </c>
      <c r="B15" s="355"/>
      <c r="C15" s="58"/>
      <c r="D15" s="58"/>
      <c r="E15" s="58"/>
      <c r="F15" s="40"/>
      <c r="G15" s="40"/>
      <c r="H15" s="47"/>
      <c r="I15" s="47"/>
      <c r="J15" s="47"/>
      <c r="K15" s="47"/>
      <c r="L15" s="47"/>
      <c r="M15" s="47"/>
    </row>
    <row r="16" spans="1:13" s="530" customFormat="1" ht="15.75">
      <c r="A16" s="528"/>
      <c r="B16" s="527" t="s">
        <v>9</v>
      </c>
      <c r="C16" s="535">
        <f>+CapitalFijo!B6</f>
        <v>196221040</v>
      </c>
      <c r="D16" s="535">
        <f>+CapitalFijo!C6</f>
        <v>203980479</v>
      </c>
      <c r="E16" s="535">
        <f>+CapitalFijo!D6</f>
        <v>209497565</v>
      </c>
      <c r="F16" s="535">
        <f>+CapitalFijo!E6</f>
        <v>348931697</v>
      </c>
      <c r="G16" s="535">
        <f>+CapitalFijo!F6</f>
        <v>360743796</v>
      </c>
      <c r="H16" s="535">
        <f>+CapitalFijo!G6</f>
        <v>363672932.77503407</v>
      </c>
      <c r="I16" s="535">
        <f>+CapitalFijo!H6</f>
        <v>366202369.28638977</v>
      </c>
      <c r="J16" s="535">
        <f>+CapitalFijo!I6</f>
        <v>383329378.15873557</v>
      </c>
      <c r="K16" s="535">
        <f>+CapitalFijo!J6</f>
        <v>385045388.11665332</v>
      </c>
      <c r="L16" s="535">
        <f>+CapitalFijo!K6</f>
        <v>387026568.13924778</v>
      </c>
      <c r="M16" s="535">
        <f>+CapitalFijo!L6</f>
        <v>390092347.84403199</v>
      </c>
    </row>
    <row r="17" spans="1:14" s="530" customFormat="1" ht="15.75">
      <c r="A17" s="528"/>
      <c r="B17" s="527" t="s">
        <v>288</v>
      </c>
      <c r="C17" s="535">
        <f>+'Balance general'!E15+'Balance general'!E16</f>
        <v>110137</v>
      </c>
      <c r="D17" s="535">
        <f>+'Balance general'!F15+'Balance general'!F16</f>
        <v>23236000</v>
      </c>
      <c r="E17" s="535">
        <f>+'Balance general'!G15+'Balance general'!G16</f>
        <v>3087128</v>
      </c>
      <c r="F17" s="535">
        <f>+'Balance general'!H15+'Balance general'!H16</f>
        <v>0</v>
      </c>
      <c r="G17" s="535">
        <f>+'Balance general'!I15+'Balance general'!I16</f>
        <v>0</v>
      </c>
      <c r="H17" s="535">
        <f t="shared" ref="H17:M17" si="3">+G17*(1+(G17/G25))</f>
        <v>0</v>
      </c>
      <c r="I17" s="535">
        <f t="shared" si="3"/>
        <v>0</v>
      </c>
      <c r="J17" s="535">
        <f t="shared" si="3"/>
        <v>0</v>
      </c>
      <c r="K17" s="535">
        <f t="shared" si="3"/>
        <v>0</v>
      </c>
      <c r="L17" s="535">
        <f t="shared" si="3"/>
        <v>0</v>
      </c>
      <c r="M17" s="535">
        <f t="shared" si="3"/>
        <v>0</v>
      </c>
    </row>
    <row r="18" spans="1:14" s="530" customFormat="1" ht="15.75">
      <c r="A18" s="528"/>
      <c r="B18" s="527" t="s">
        <v>289</v>
      </c>
      <c r="C18" s="535">
        <f>+'Balance general'!E17</f>
        <v>10183</v>
      </c>
      <c r="D18" s="535">
        <f>+'Balance general'!F17</f>
        <v>2970183</v>
      </c>
      <c r="E18" s="535">
        <f>+'Balance general'!G17</f>
        <v>52480323</v>
      </c>
      <c r="F18" s="535">
        <f>+'Balance general'!H17</f>
        <v>10182</v>
      </c>
      <c r="G18" s="535">
        <f>+'Balance general'!I17</f>
        <v>10182</v>
      </c>
      <c r="H18" s="535">
        <f t="shared" ref="H18:M18" si="4">+AVERAGE(C18:G18)</f>
        <v>11096210.6</v>
      </c>
      <c r="I18" s="535">
        <f t="shared" si="4"/>
        <v>13313416.120000001</v>
      </c>
      <c r="J18" s="535">
        <f t="shared" si="4"/>
        <v>15382062.743999999</v>
      </c>
      <c r="K18" s="535">
        <f t="shared" si="4"/>
        <v>7962410.6928000003</v>
      </c>
      <c r="L18" s="535">
        <f t="shared" si="4"/>
        <v>9552856.4313600007</v>
      </c>
      <c r="M18" s="535">
        <f t="shared" si="4"/>
        <v>11461391.317632001</v>
      </c>
    </row>
    <row r="19" spans="1:14" s="530" customFormat="1" ht="15.75">
      <c r="A19" s="528"/>
      <c r="B19" s="527" t="s">
        <v>290</v>
      </c>
      <c r="C19" s="535">
        <f>+'Balance general'!E18</f>
        <v>6156610</v>
      </c>
      <c r="D19" s="535">
        <f>+'Balance general'!F18</f>
        <v>6304439</v>
      </c>
      <c r="E19" s="535">
        <f>+'Balance general'!G18</f>
        <v>8143952</v>
      </c>
      <c r="F19" s="535">
        <f>+'Balance general'!H18</f>
        <v>12431744</v>
      </c>
      <c r="G19" s="535">
        <f>+'Balance general'!I18</f>
        <v>17500532</v>
      </c>
      <c r="H19" s="535">
        <f t="shared" ref="H19:M19" si="5">+G19*(1+(G19/G25))</f>
        <v>18941511.663016748</v>
      </c>
      <c r="I19" s="535">
        <f t="shared" si="5"/>
        <v>20826851.820934352</v>
      </c>
      <c r="J19" s="535">
        <f t="shared" si="5"/>
        <v>23431198.426376004</v>
      </c>
      <c r="K19" s="535">
        <f t="shared" si="5"/>
        <v>26912793.942999247</v>
      </c>
      <c r="L19" s="535">
        <f t="shared" si="5"/>
        <v>32672258.14237963</v>
      </c>
      <c r="M19" s="535">
        <f t="shared" si="5"/>
        <v>42269746.509364523</v>
      </c>
    </row>
    <row r="20" spans="1:14" s="530" customFormat="1" ht="15.75">
      <c r="A20" s="528"/>
      <c r="B20" s="527" t="s">
        <v>291</v>
      </c>
      <c r="C20" s="535">
        <f>+'Balance general'!E20</f>
        <v>31888</v>
      </c>
      <c r="D20" s="535">
        <f>+'Balance general'!F20</f>
        <v>31888</v>
      </c>
      <c r="E20" s="535">
        <f>+'Balance general'!G20</f>
        <v>31888</v>
      </c>
      <c r="F20" s="535">
        <f>+'Balance general'!H20</f>
        <v>0</v>
      </c>
      <c r="G20" s="535">
        <f>+'Balance general'!I20</f>
        <v>0</v>
      </c>
      <c r="H20" s="535">
        <f t="shared" ref="H20:M20" si="6">+(G20*(1+G20/G25))</f>
        <v>0</v>
      </c>
      <c r="I20" s="535">
        <f t="shared" si="6"/>
        <v>0</v>
      </c>
      <c r="J20" s="535">
        <f t="shared" si="6"/>
        <v>0</v>
      </c>
      <c r="K20" s="535">
        <f t="shared" si="6"/>
        <v>0</v>
      </c>
      <c r="L20" s="535">
        <f t="shared" si="6"/>
        <v>0</v>
      </c>
      <c r="M20" s="535">
        <f t="shared" si="6"/>
        <v>0</v>
      </c>
    </row>
    <row r="21" spans="1:14" s="530" customFormat="1" ht="15.75">
      <c r="A21" s="528"/>
      <c r="B21" s="527" t="s">
        <v>292</v>
      </c>
      <c r="C21" s="535">
        <f>+'Balance general'!E21</f>
        <v>1654935</v>
      </c>
      <c r="D21" s="535">
        <f>+'Balance general'!F21</f>
        <v>1280377</v>
      </c>
      <c r="E21" s="535">
        <f>+'Balance general'!G21</f>
        <v>1278402</v>
      </c>
      <c r="F21" s="535">
        <f>+'Balance general'!H21</f>
        <v>14375261</v>
      </c>
      <c r="G21" s="535">
        <f>+'Balance general'!I21</f>
        <v>12712649</v>
      </c>
      <c r="H21" s="535">
        <f t="shared" ref="H21:M21" si="7">+AVERAGE(C21:G21)</f>
        <v>6260324.7999999998</v>
      </c>
      <c r="I21" s="535">
        <f t="shared" si="7"/>
        <v>7181402.7599999998</v>
      </c>
      <c r="J21" s="535">
        <f t="shared" si="7"/>
        <v>8361607.9119999986</v>
      </c>
      <c r="K21" s="535">
        <f t="shared" si="7"/>
        <v>9778249.0943999998</v>
      </c>
      <c r="L21" s="535">
        <f t="shared" si="7"/>
        <v>8858846.7132800017</v>
      </c>
      <c r="M21" s="535">
        <f t="shared" si="7"/>
        <v>8088086.2559359996</v>
      </c>
    </row>
    <row r="22" spans="1:14" s="530" customFormat="1" ht="15.75">
      <c r="A22" s="528"/>
      <c r="B22" s="527" t="s">
        <v>293</v>
      </c>
      <c r="C22" s="535">
        <f>+'Balance general'!E22</f>
        <v>2073268</v>
      </c>
      <c r="D22" s="535">
        <f>+'Balance general'!F22</f>
        <v>8357456</v>
      </c>
      <c r="E22" s="535">
        <f>+'Balance general'!G22</f>
        <v>7481747</v>
      </c>
      <c r="F22" s="535">
        <f>+'Balance general'!H22</f>
        <v>1808016</v>
      </c>
      <c r="G22" s="535">
        <f>+'Balance general'!I22</f>
        <v>1805099</v>
      </c>
      <c r="H22" s="535">
        <f t="shared" ref="H22:M22" si="8">+G22*(1+(G22/G25))</f>
        <v>1820429.5381664829</v>
      </c>
      <c r="I22" s="535">
        <f t="shared" si="8"/>
        <v>1837843.9252686875</v>
      </c>
      <c r="J22" s="535">
        <f t="shared" si="8"/>
        <v>1858123.9641296449</v>
      </c>
      <c r="K22" s="535">
        <f t="shared" si="8"/>
        <v>1880018.64803236</v>
      </c>
      <c r="L22" s="535">
        <f t="shared" si="8"/>
        <v>1908123.9868198531</v>
      </c>
      <c r="M22" s="535">
        <f t="shared" si="8"/>
        <v>1940858.9964434558</v>
      </c>
    </row>
    <row r="23" spans="1:14" s="84" customFormat="1" ht="15.75">
      <c r="A23" s="283"/>
      <c r="B23" s="134" t="s">
        <v>294</v>
      </c>
      <c r="C23" s="90"/>
      <c r="D23" s="90"/>
      <c r="E23" s="90"/>
      <c r="F23" s="90"/>
      <c r="G23" s="90"/>
      <c r="H23" s="90"/>
      <c r="I23" s="90"/>
      <c r="J23" s="90"/>
      <c r="K23" s="90"/>
      <c r="L23" s="90"/>
      <c r="M23" s="90"/>
    </row>
    <row r="24" spans="1:14" s="530" customFormat="1" ht="16.5" thickBot="1">
      <c r="A24" s="528"/>
      <c r="B24" s="527" t="s">
        <v>10</v>
      </c>
      <c r="C24" s="535">
        <f>+CapitalFijo!B7</f>
        <v>-126321365</v>
      </c>
      <c r="D24" s="535">
        <f>+CapitalFijo!C7</f>
        <v>-137454429</v>
      </c>
      <c r="E24" s="535">
        <f>+CapitalFijo!D7</f>
        <v>-149532368</v>
      </c>
      <c r="F24" s="535">
        <f>+CapitalFijo!E7</f>
        <v>-164592254</v>
      </c>
      <c r="G24" s="535">
        <f>+CapitalFijo!F7</f>
        <v>-180230313</v>
      </c>
      <c r="H24" s="535">
        <f>+CapitalFijo!G7</f>
        <v>-211491074.14308861</v>
      </c>
      <c r="I24" s="535">
        <f>+CapitalFijo!H7</f>
        <v>-242810413.43441567</v>
      </c>
      <c r="J24" s="535">
        <f>+CapitalFijo!I7</f>
        <v>-274669997.96003038</v>
      </c>
      <c r="K24" s="535">
        <f>+CapitalFijo!J7</f>
        <v>-305820898.86083931</v>
      </c>
      <c r="L24" s="535">
        <f>+CapitalFijo!K7</f>
        <v>-328794090.14147317</v>
      </c>
      <c r="M24" s="535">
        <f>+CapitalFijo!L7</f>
        <v>-332562941.15130669</v>
      </c>
    </row>
    <row r="25" spans="1:14" ht="15.75">
      <c r="A25" s="1" t="s">
        <v>11</v>
      </c>
      <c r="B25" s="2"/>
      <c r="C25" s="55">
        <f t="shared" ref="C25:M25" si="9">SUM(C16:C24)</f>
        <v>79936696</v>
      </c>
      <c r="D25" s="55">
        <f t="shared" si="9"/>
        <v>108706393</v>
      </c>
      <c r="E25" s="55">
        <f t="shared" si="9"/>
        <v>132468637</v>
      </c>
      <c r="F25" s="55">
        <f t="shared" si="9"/>
        <v>212964646</v>
      </c>
      <c r="G25" s="55">
        <f t="shared" si="9"/>
        <v>212541945</v>
      </c>
      <c r="H25" s="55">
        <f t="shared" si="9"/>
        <v>190300335.2331287</v>
      </c>
      <c r="I25" s="55">
        <f t="shared" si="9"/>
        <v>166551470.47817716</v>
      </c>
      <c r="J25" s="55">
        <f t="shared" si="9"/>
        <v>157692373.24521083</v>
      </c>
      <c r="K25" s="55">
        <f t="shared" si="9"/>
        <v>125757961.6340456</v>
      </c>
      <c r="L25" s="55">
        <f t="shared" si="9"/>
        <v>111224563.27161413</v>
      </c>
      <c r="M25" s="55">
        <f t="shared" si="9"/>
        <v>121289489.77210134</v>
      </c>
    </row>
    <row r="26" spans="1:14" ht="16.5" thickBot="1">
      <c r="A26" s="1"/>
      <c r="B26" s="2"/>
      <c r="C26" s="47"/>
      <c r="D26" s="40"/>
      <c r="E26" s="40"/>
      <c r="F26" s="40"/>
      <c r="G26" s="40"/>
      <c r="H26" s="40"/>
      <c r="I26" s="40"/>
      <c r="J26" s="40"/>
      <c r="K26" s="40"/>
      <c r="L26" s="40"/>
      <c r="M26" s="40"/>
    </row>
    <row r="27" spans="1:14" ht="17.25" thickTop="1" thickBot="1">
      <c r="A27" s="5" t="s">
        <v>12</v>
      </c>
      <c r="B27" s="57"/>
      <c r="C27" s="57">
        <f t="shared" ref="C27:M27" si="10">C12+C25</f>
        <v>122828490</v>
      </c>
      <c r="D27" s="57">
        <f t="shared" si="10"/>
        <v>162844047</v>
      </c>
      <c r="E27" s="57">
        <f t="shared" si="10"/>
        <v>177831398</v>
      </c>
      <c r="F27" s="57">
        <f t="shared" si="10"/>
        <v>294009159</v>
      </c>
      <c r="G27" s="57">
        <f t="shared" si="10"/>
        <v>291139485</v>
      </c>
      <c r="H27" s="57">
        <f t="shared" si="10"/>
        <v>281792939.30271763</v>
      </c>
      <c r="I27" s="57">
        <f t="shared" si="10"/>
        <v>258523772.97142261</v>
      </c>
      <c r="J27" s="57">
        <f t="shared" si="10"/>
        <v>258173685.68640715</v>
      </c>
      <c r="K27" s="57">
        <f t="shared" si="10"/>
        <v>223112460.68820456</v>
      </c>
      <c r="L27" s="57">
        <f t="shared" si="10"/>
        <v>209056919.12608069</v>
      </c>
      <c r="M27" s="57">
        <f t="shared" si="10"/>
        <v>218879676.76235345</v>
      </c>
    </row>
    <row r="28" spans="1:14" s="530" customFormat="1" ht="16.5" thickTop="1">
      <c r="A28" s="531"/>
      <c r="B28" s="532"/>
      <c r="C28" s="532"/>
      <c r="D28" s="532"/>
      <c r="E28" s="532"/>
      <c r="F28" s="532"/>
      <c r="G28" s="532"/>
      <c r="H28" s="532"/>
      <c r="I28" s="532"/>
      <c r="J28" s="532"/>
      <c r="K28" s="532"/>
      <c r="L28" s="532"/>
      <c r="M28" s="532"/>
    </row>
    <row r="29" spans="1:14" ht="15.75">
      <c r="A29" s="1" t="s">
        <v>13</v>
      </c>
      <c r="B29" s="47"/>
      <c r="C29" s="40"/>
      <c r="D29" s="40"/>
      <c r="E29" s="40"/>
      <c r="F29" s="46"/>
      <c r="G29" s="254"/>
      <c r="H29" s="46"/>
      <c r="I29" s="133"/>
      <c r="J29" s="47"/>
      <c r="K29" s="47"/>
      <c r="L29" s="47"/>
      <c r="M29" s="132"/>
      <c r="N29" s="46"/>
    </row>
    <row r="30" spans="1:14" ht="15.75">
      <c r="A30" s="1" t="s">
        <v>14</v>
      </c>
      <c r="B30" s="47"/>
      <c r="C30" s="47"/>
      <c r="D30" s="47"/>
      <c r="E30" s="47"/>
      <c r="F30" s="47"/>
      <c r="G30" s="47"/>
      <c r="H30" s="47"/>
      <c r="I30" s="47"/>
      <c r="J30" s="47"/>
      <c r="K30" s="47"/>
      <c r="L30" s="47"/>
      <c r="M30" s="47"/>
    </row>
    <row r="31" spans="1:14" s="530" customFormat="1" ht="15.75">
      <c r="A31" s="528"/>
      <c r="B31" s="535" t="s">
        <v>15</v>
      </c>
      <c r="C31" s="535">
        <f>+'Balance general'!E28</f>
        <v>122138</v>
      </c>
      <c r="D31" s="535">
        <f>+'Balance general'!F28</f>
        <v>28796818</v>
      </c>
      <c r="E31" s="535">
        <f>+'Balance general'!G28</f>
        <v>4197411</v>
      </c>
      <c r="F31" s="535">
        <f>+'Balance general'!H28</f>
        <v>7145302</v>
      </c>
      <c r="G31" s="535">
        <f>+'Balance general'!$I$28-G32</f>
        <v>12505373</v>
      </c>
      <c r="H31" s="535">
        <f>+Supuestos!F67</f>
        <v>9652188.172803415</v>
      </c>
      <c r="I31" s="535">
        <f>+Supuestos!G67</f>
        <v>6619795.7043472575</v>
      </c>
      <c r="J31" s="535">
        <f>+Supuestos!H67</f>
        <v>6182871.0601883158</v>
      </c>
      <c r="K31" s="535">
        <f>+Supuestos!I67</f>
        <v>1904434.0748716723</v>
      </c>
      <c r="L31" s="535">
        <f>+Supuestos!J67</f>
        <v>979880.22551136545</v>
      </c>
      <c r="M31" s="535">
        <f>+Supuestos!K67</f>
        <v>4.4703483581542967E-10</v>
      </c>
    </row>
    <row r="32" spans="1:14" s="538" customFormat="1" ht="15.75">
      <c r="A32" s="536"/>
      <c r="B32" s="537" t="s">
        <v>16</v>
      </c>
      <c r="C32" s="537">
        <v>0</v>
      </c>
      <c r="D32" s="537">
        <v>0</v>
      </c>
      <c r="E32" s="537">
        <v>0</v>
      </c>
      <c r="F32" s="537">
        <v>0</v>
      </c>
      <c r="G32" s="535">
        <f>172520-80323</f>
        <v>92197</v>
      </c>
      <c r="H32" s="535">
        <f>+Supuestos!F69</f>
        <v>402174.50720014231</v>
      </c>
      <c r="I32" s="535">
        <f>+Supuestos!G69</f>
        <v>275824.82101446908</v>
      </c>
      <c r="J32" s="535">
        <f>+Supuestos!H69</f>
        <v>257619.62750784651</v>
      </c>
      <c r="K32" s="535">
        <f>+Supuestos!I69</f>
        <v>79351.41978631969</v>
      </c>
      <c r="L32" s="535">
        <f>+Supuestos!J69</f>
        <v>40828.34272964023</v>
      </c>
      <c r="M32" s="535">
        <f>+Supuestos!K69</f>
        <v>1.8626451492309571E-11</v>
      </c>
    </row>
    <row r="33" spans="1:15" s="530" customFormat="1" ht="15.75">
      <c r="A33" s="528"/>
      <c r="B33" s="535" t="s">
        <v>17</v>
      </c>
      <c r="C33" s="535">
        <f>+'Balance general'!E29</f>
        <v>2241868</v>
      </c>
      <c r="D33" s="535">
        <f>+'Balance general'!F29</f>
        <v>8247486</v>
      </c>
      <c r="E33" s="535">
        <f>+'Balance general'!G29</f>
        <v>8194305</v>
      </c>
      <c r="F33" s="535">
        <f>+'Balance general'!H29</f>
        <v>7354140</v>
      </c>
      <c r="G33" s="535">
        <f>+'Balance general'!I29</f>
        <v>11898726</v>
      </c>
      <c r="H33" s="535">
        <f>G33*(1+Supuestos!F29)</f>
        <v>13634641.024718173</v>
      </c>
      <c r="I33" s="535">
        <f>H33*(1+Supuestos!G29)</f>
        <v>15070063.077629536</v>
      </c>
      <c r="J33" s="535">
        <f>I33*(1+Supuestos!H29)</f>
        <v>16518490.298212625</v>
      </c>
      <c r="K33" s="535">
        <f>J33*(1+Supuestos!I29)</f>
        <v>18092351.740545593</v>
      </c>
      <c r="L33" s="535">
        <f>K33*(1+Supuestos!J29)</f>
        <v>19816168.765679639</v>
      </c>
      <c r="M33" s="535">
        <f>L33*(1+Supuestos!K29)</f>
        <v>21704228.95713919</v>
      </c>
    </row>
    <row r="34" spans="1:15" s="530" customFormat="1" ht="15.75">
      <c r="A34" s="528"/>
      <c r="B34" s="535" t="s">
        <v>18</v>
      </c>
      <c r="C34" s="535">
        <f>+'Balance general'!E30</f>
        <v>3864416</v>
      </c>
      <c r="D34" s="535">
        <f>+'Balance general'!F30</f>
        <v>6364084</v>
      </c>
      <c r="E34" s="535">
        <f>+'Balance general'!G30</f>
        <v>8263067</v>
      </c>
      <c r="F34" s="535">
        <f>+'Balance general'!H30</f>
        <v>8244029</v>
      </c>
      <c r="G34" s="535">
        <f>+'Balance general'!I30</f>
        <v>9083475</v>
      </c>
      <c r="H34" s="535">
        <f>+G34*(1+Supuestos!F29)</f>
        <v>10408670.716680249</v>
      </c>
      <c r="I34" s="535">
        <f>+H34*(1+Supuestos!G29)</f>
        <v>11504470.412552653</v>
      </c>
      <c r="J34" s="535">
        <f>+I34*(1+Supuestos!H29)</f>
        <v>12610198.239841554</v>
      </c>
      <c r="K34" s="535">
        <f>+J34*(1+Supuestos!I29)</f>
        <v>13811682.420996364</v>
      </c>
      <c r="L34" s="535">
        <f>+K34*(1+Supuestos!J29)</f>
        <v>15127642.537430633</v>
      </c>
      <c r="M34" s="535">
        <f>+L34*(1+Supuestos!K29)</f>
        <v>16568985.715483312</v>
      </c>
    </row>
    <row r="35" spans="1:15" s="530" customFormat="1" ht="15.75">
      <c r="A35" s="528"/>
      <c r="B35" s="535" t="s">
        <v>19</v>
      </c>
      <c r="C35" s="535">
        <f>+'Balance general'!E32</f>
        <v>606933</v>
      </c>
      <c r="D35" s="535">
        <f>+'Balance general'!F32</f>
        <v>739550</v>
      </c>
      <c r="E35" s="535">
        <f>+'Balance general'!G32</f>
        <v>879922</v>
      </c>
      <c r="F35" s="535">
        <f>+'Balance general'!H32</f>
        <v>1183517</v>
      </c>
      <c r="G35" s="535">
        <f>+'Balance general'!I32</f>
        <v>1386805</v>
      </c>
      <c r="H35" s="535">
        <f t="shared" ref="H35:M35" si="11">+G35*(1+(G35/G41))</f>
        <v>1430918.9215286693</v>
      </c>
      <c r="I35" s="535">
        <f t="shared" si="11"/>
        <v>1479589.9537538444</v>
      </c>
      <c r="J35" s="535">
        <f t="shared" si="11"/>
        <v>1530158.0830339252</v>
      </c>
      <c r="K35" s="535">
        <f t="shared" si="11"/>
        <v>1579738.2026355832</v>
      </c>
      <c r="L35" s="535">
        <f t="shared" si="11"/>
        <v>1632923.5575484256</v>
      </c>
      <c r="M35" s="535">
        <f t="shared" si="11"/>
        <v>1686861.6848315108</v>
      </c>
    </row>
    <row r="36" spans="1:15" s="538" customFormat="1" ht="15.75">
      <c r="A36" s="536"/>
      <c r="B36" s="537" t="s">
        <v>20</v>
      </c>
      <c r="C36" s="537">
        <f>+'Balance general'!E31</f>
        <v>1198581</v>
      </c>
      <c r="D36" s="537">
        <f>+'Balance general'!F31</f>
        <v>1375272</v>
      </c>
      <c r="E36" s="537">
        <f>+'Balance general'!G31</f>
        <v>3492168</v>
      </c>
      <c r="F36" s="537">
        <f>+'Balance general'!H31</f>
        <v>3726851</v>
      </c>
      <c r="G36" s="537">
        <f>+'Balance general'!I31</f>
        <v>5740564</v>
      </c>
      <c r="H36" s="537">
        <f>+'Base impuesto'!C24+'Base impuesto'!C25-'Base impuesto'!C27</f>
        <v>3517639.4643158028</v>
      </c>
      <c r="I36" s="537">
        <f>+'Base impuesto'!D24+'Base impuesto'!D25-'Base impuesto'!D27</f>
        <v>5102413.7010380924</v>
      </c>
      <c r="J36" s="537">
        <f>+'Base impuesto'!E24+'Base impuesto'!E25-'Base impuesto'!E27</f>
        <v>6642810.3528321367</v>
      </c>
      <c r="K36" s="537">
        <f>+'Base impuesto'!F24+'Base impuesto'!F25-'Base impuesto'!F27</f>
        <v>7715769.8995759981</v>
      </c>
      <c r="L36" s="537">
        <f>+'Base impuesto'!G24+'Base impuesto'!G25-'Base impuesto'!G27</f>
        <v>7800934.0809393199</v>
      </c>
      <c r="M36" s="537">
        <f>+'Base impuesto'!H24+'Base impuesto'!H25-'Base impuesto'!H27</f>
        <v>7823168.7584638828</v>
      </c>
    </row>
    <row r="37" spans="1:15" s="538" customFormat="1" ht="15.75">
      <c r="A37" s="536"/>
      <c r="B37" s="537" t="s">
        <v>295</v>
      </c>
      <c r="C37" s="537">
        <f>+'Balance general'!E33</f>
        <v>27457</v>
      </c>
      <c r="D37" s="537">
        <f>+'Balance general'!F33</f>
        <v>43691</v>
      </c>
      <c r="E37" s="537">
        <f>+'Balance general'!G33</f>
        <v>39080</v>
      </c>
      <c r="F37" s="537">
        <f>+'Balance general'!H33</f>
        <v>53412</v>
      </c>
      <c r="G37" s="537">
        <f>+'Balance general'!I33</f>
        <v>51922</v>
      </c>
      <c r="H37" s="537">
        <v>0</v>
      </c>
      <c r="I37" s="537">
        <v>0</v>
      </c>
      <c r="J37" s="537">
        <v>0</v>
      </c>
      <c r="K37" s="537">
        <v>0</v>
      </c>
      <c r="L37" s="537">
        <v>0</v>
      </c>
      <c r="M37" s="537">
        <v>0</v>
      </c>
    </row>
    <row r="38" spans="1:15" s="530" customFormat="1" ht="15.75">
      <c r="A38" s="528"/>
      <c r="B38" s="535" t="s">
        <v>296</v>
      </c>
      <c r="C38" s="535">
        <f>+'Balance general'!E35</f>
        <v>0</v>
      </c>
      <c r="D38" s="535">
        <f>+'Balance general'!F35</f>
        <v>0</v>
      </c>
      <c r="E38" s="535">
        <f>+'Balance general'!G35</f>
        <v>0</v>
      </c>
      <c r="F38" s="535">
        <f>+'Balance general'!H35</f>
        <v>0</v>
      </c>
      <c r="G38" s="535">
        <f>+'Balance general'!I35</f>
        <v>0</v>
      </c>
      <c r="H38" s="535">
        <v>0</v>
      </c>
      <c r="I38" s="535">
        <v>0</v>
      </c>
      <c r="J38" s="535">
        <v>0</v>
      </c>
      <c r="K38" s="535">
        <v>0</v>
      </c>
      <c r="L38" s="535">
        <v>0</v>
      </c>
      <c r="M38" s="535">
        <v>0</v>
      </c>
    </row>
    <row r="39" spans="1:15" s="530" customFormat="1" ht="15.75">
      <c r="A39" s="528"/>
      <c r="B39" s="535" t="s">
        <v>297</v>
      </c>
      <c r="C39" s="535">
        <f>+'Balance general'!E36</f>
        <v>116309</v>
      </c>
      <c r="D39" s="535">
        <f>+'Balance general'!F36</f>
        <v>128078</v>
      </c>
      <c r="E39" s="535">
        <f>+'Balance general'!G36</f>
        <v>168944</v>
      </c>
      <c r="F39" s="535">
        <f>+'Balance general'!H36</f>
        <v>0</v>
      </c>
      <c r="G39" s="535">
        <f>+'Balance general'!I36</f>
        <v>0</v>
      </c>
      <c r="H39" s="535">
        <f t="shared" ref="H39:M39" si="12">+G39*(1+(G39/G41))</f>
        <v>0</v>
      </c>
      <c r="I39" s="535">
        <f t="shared" si="12"/>
        <v>0</v>
      </c>
      <c r="J39" s="535">
        <f t="shared" si="12"/>
        <v>0</v>
      </c>
      <c r="K39" s="535">
        <f t="shared" si="12"/>
        <v>0</v>
      </c>
      <c r="L39" s="535">
        <f t="shared" si="12"/>
        <v>0</v>
      </c>
      <c r="M39" s="535">
        <f t="shared" si="12"/>
        <v>0</v>
      </c>
    </row>
    <row r="40" spans="1:15" s="530" customFormat="1" ht="16.5" thickBot="1">
      <c r="A40" s="528"/>
      <c r="B40" s="535" t="s">
        <v>301</v>
      </c>
      <c r="C40" s="535">
        <f>'Balance general'!E34+'Balance general'!E37</f>
        <v>0</v>
      </c>
      <c r="D40" s="535">
        <f>'Balance general'!F34+'Balance general'!F37</f>
        <v>0</v>
      </c>
      <c r="E40" s="535">
        <f>'Balance general'!G34+'Balance general'!G37</f>
        <v>0</v>
      </c>
      <c r="F40" s="535">
        <f>'Balance general'!H34+'Balance general'!H37</f>
        <v>1553185</v>
      </c>
      <c r="G40" s="535">
        <f>'Balance general'!I34+'Balance general'!I37</f>
        <v>2837790</v>
      </c>
      <c r="H40" s="535">
        <f t="shared" ref="H40:M40" si="13">+G40*(1+(G40/G41))</f>
        <v>3022506.3663124116</v>
      </c>
      <c r="I40" s="535">
        <f t="shared" si="13"/>
        <v>3239663.9259128897</v>
      </c>
      <c r="J40" s="535">
        <f t="shared" si="13"/>
        <v>3482098.2233361877</v>
      </c>
      <c r="K40" s="535">
        <f t="shared" si="13"/>
        <v>3738852.0964737264</v>
      </c>
      <c r="L40" s="535">
        <f t="shared" si="13"/>
        <v>4036771.2264574235</v>
      </c>
      <c r="M40" s="535">
        <f t="shared" si="13"/>
        <v>4366405.5524646193</v>
      </c>
    </row>
    <row r="41" spans="1:15" ht="15.75">
      <c r="A41" s="1" t="s">
        <v>21</v>
      </c>
      <c r="B41" s="47"/>
      <c r="C41" s="55">
        <f t="shared" ref="C41:M41" si="14">SUM(C31:C40)</f>
        <v>8177702</v>
      </c>
      <c r="D41" s="55">
        <f t="shared" si="14"/>
        <v>45694979</v>
      </c>
      <c r="E41" s="55">
        <f t="shared" si="14"/>
        <v>25234897</v>
      </c>
      <c r="F41" s="55">
        <f>SUM(F31:F40)</f>
        <v>29260436</v>
      </c>
      <c r="G41" s="59">
        <f t="shared" si="14"/>
        <v>43596852</v>
      </c>
      <c r="H41" s="55">
        <f t="shared" si="14"/>
        <v>42068739.173558861</v>
      </c>
      <c r="I41" s="55">
        <f t="shared" si="14"/>
        <v>43291821.596248738</v>
      </c>
      <c r="J41" s="55">
        <f t="shared" si="14"/>
        <v>47224245.884952597</v>
      </c>
      <c r="K41" s="55">
        <f t="shared" si="14"/>
        <v>46922179.854885258</v>
      </c>
      <c r="L41" s="55">
        <f t="shared" si="14"/>
        <v>49435148.736296445</v>
      </c>
      <c r="M41" s="55">
        <f t="shared" si="14"/>
        <v>52149650.668382511</v>
      </c>
    </row>
    <row r="42" spans="1:15" ht="15.75">
      <c r="A42" s="1"/>
      <c r="B42" s="47"/>
      <c r="C42" s="534"/>
      <c r="D42" s="534"/>
      <c r="E42" s="534"/>
      <c r="F42" s="534"/>
      <c r="G42" s="533"/>
      <c r="H42" s="534"/>
      <c r="I42" s="534"/>
      <c r="J42" s="534"/>
      <c r="K42" s="534"/>
      <c r="L42" s="534"/>
      <c r="M42" s="534"/>
    </row>
    <row r="43" spans="1:15" ht="15.75">
      <c r="A43" s="1" t="s">
        <v>22</v>
      </c>
      <c r="B43" s="47"/>
      <c r="C43" s="47"/>
      <c r="D43" s="47"/>
      <c r="E43" s="47"/>
      <c r="F43" s="47"/>
      <c r="G43" s="90"/>
      <c r="H43" s="90"/>
      <c r="I43" s="90"/>
      <c r="J43" s="90"/>
      <c r="K43" s="90"/>
      <c r="L43" s="90"/>
      <c r="M43" s="90"/>
      <c r="N43" s="38"/>
      <c r="O43" s="38"/>
    </row>
    <row r="44" spans="1:15" s="538" customFormat="1" ht="15.75">
      <c r="A44" s="536"/>
      <c r="B44" s="537" t="s">
        <v>15</v>
      </c>
      <c r="C44" s="537">
        <v>0</v>
      </c>
      <c r="D44" s="537">
        <v>0</v>
      </c>
      <c r="E44" s="537">
        <v>0</v>
      </c>
      <c r="F44" s="538">
        <v>0</v>
      </c>
      <c r="G44" s="537">
        <v>80323</v>
      </c>
      <c r="H44" s="537">
        <f>+Supuestos!F68</f>
        <v>201087.25360007116</v>
      </c>
      <c r="I44" s="537">
        <f>+Supuestos!G68</f>
        <v>137912.41050723454</v>
      </c>
      <c r="J44" s="537">
        <f>+Supuestos!H68</f>
        <v>128809.81375392326</v>
      </c>
      <c r="K44" s="537">
        <f>+Supuestos!I68</f>
        <v>39675.709893159845</v>
      </c>
      <c r="L44" s="537">
        <f>+Supuestos!J68</f>
        <v>20414.171364820115</v>
      </c>
      <c r="M44" s="537">
        <f>+Supuestos!K68</f>
        <v>9.3132257461547854E-12</v>
      </c>
    </row>
    <row r="45" spans="1:15" s="538" customFormat="1" ht="15.75">
      <c r="A45" s="536"/>
      <c r="B45" s="537" t="s">
        <v>16</v>
      </c>
      <c r="C45" s="537">
        <v>0</v>
      </c>
      <c r="D45" s="537">
        <v>0</v>
      </c>
      <c r="E45" s="537">
        <v>0</v>
      </c>
      <c r="F45" s="537">
        <v>55991060</v>
      </c>
      <c r="G45" s="537">
        <v>39461972</v>
      </c>
      <c r="H45" s="537">
        <f>+Supuestos!F70</f>
        <v>29962000.7864106</v>
      </c>
      <c r="I45" s="537">
        <f>+Supuestos!G70</f>
        <v>20548949.165577948</v>
      </c>
      <c r="J45" s="537">
        <f>+Supuestos!H70</f>
        <v>19192662.249334566</v>
      </c>
      <c r="K45" s="537">
        <f>+Supuestos!I70</f>
        <v>5911680.7740808167</v>
      </c>
      <c r="L45" s="537">
        <f>+Supuestos!J70</f>
        <v>3041711.5333581972</v>
      </c>
      <c r="M45" s="537">
        <f>+Supuestos!K70</f>
        <v>1.387670636177063E-9</v>
      </c>
    </row>
    <row r="46" spans="1:15" s="530" customFormat="1" ht="15.75">
      <c r="A46" s="528"/>
      <c r="B46" s="535" t="s">
        <v>23</v>
      </c>
      <c r="C46" s="537">
        <v>0</v>
      </c>
      <c r="D46" s="537">
        <v>0</v>
      </c>
      <c r="E46" s="537">
        <v>0</v>
      </c>
      <c r="F46" s="537">
        <v>0</v>
      </c>
      <c r="G46" s="537">
        <v>0</v>
      </c>
      <c r="H46" s="535">
        <v>0</v>
      </c>
      <c r="I46" s="535">
        <v>0</v>
      </c>
      <c r="J46" s="535">
        <v>0</v>
      </c>
      <c r="K46" s="535">
        <v>0</v>
      </c>
      <c r="L46" s="535">
        <v>0</v>
      </c>
      <c r="M46" s="535">
        <v>0</v>
      </c>
    </row>
    <row r="47" spans="1:15" s="530" customFormat="1" ht="15.75">
      <c r="A47" s="528"/>
      <c r="B47" s="535" t="s">
        <v>24</v>
      </c>
      <c r="C47" s="537">
        <v>0</v>
      </c>
      <c r="D47" s="537">
        <v>0</v>
      </c>
      <c r="E47" s="537">
        <v>0</v>
      </c>
      <c r="F47" s="537">
        <v>0</v>
      </c>
      <c r="G47" s="537">
        <v>0</v>
      </c>
      <c r="H47" s="535">
        <v>0</v>
      </c>
      <c r="I47" s="535">
        <v>0</v>
      </c>
      <c r="J47" s="535">
        <v>0</v>
      </c>
      <c r="K47" s="535">
        <v>0</v>
      </c>
      <c r="L47" s="535">
        <v>0</v>
      </c>
      <c r="M47" s="535">
        <v>0</v>
      </c>
    </row>
    <row r="48" spans="1:15" s="538" customFormat="1" ht="16.5" thickBot="1">
      <c r="A48" s="536"/>
      <c r="B48" s="537" t="s">
        <v>298</v>
      </c>
      <c r="C48" s="537">
        <f>+'Balance general'!E41</f>
        <v>0</v>
      </c>
      <c r="D48" s="537">
        <f>+'Balance general'!F41</f>
        <v>0</v>
      </c>
      <c r="E48" s="537">
        <f>+'Balance general'!G41</f>
        <v>3498350</v>
      </c>
      <c r="F48" s="537">
        <f>+'Balance general'!H41</f>
        <v>1758541</v>
      </c>
      <c r="G48" s="537">
        <f>+F48</f>
        <v>1758541</v>
      </c>
      <c r="H48" s="537">
        <v>0</v>
      </c>
      <c r="I48" s="537">
        <v>0</v>
      </c>
      <c r="J48" s="537">
        <v>0</v>
      </c>
      <c r="K48" s="537">
        <v>0</v>
      </c>
      <c r="L48" s="537">
        <v>0</v>
      </c>
      <c r="M48" s="537">
        <v>0</v>
      </c>
    </row>
    <row r="49" spans="1:13" ht="15.75">
      <c r="A49" s="1" t="s">
        <v>25</v>
      </c>
      <c r="B49" s="47"/>
      <c r="C49" s="55">
        <f t="shared" ref="C49:M49" si="15">SUM(C44:C48)</f>
        <v>0</v>
      </c>
      <c r="D49" s="55">
        <f t="shared" si="15"/>
        <v>0</v>
      </c>
      <c r="E49" s="55">
        <f t="shared" si="15"/>
        <v>3498350</v>
      </c>
      <c r="F49" s="55">
        <f t="shared" si="15"/>
        <v>57749601</v>
      </c>
      <c r="G49" s="55">
        <f t="shared" si="15"/>
        <v>41300836</v>
      </c>
      <c r="H49" s="55">
        <f t="shared" si="15"/>
        <v>30163088.040010672</v>
      </c>
      <c r="I49" s="55">
        <f t="shared" si="15"/>
        <v>20686861.576085184</v>
      </c>
      <c r="J49" s="55">
        <f t="shared" si="15"/>
        <v>19321472.063088488</v>
      </c>
      <c r="K49" s="55">
        <f t="shared" si="15"/>
        <v>5951356.4839739762</v>
      </c>
      <c r="L49" s="55">
        <f t="shared" si="15"/>
        <v>3062125.7047230173</v>
      </c>
      <c r="M49" s="55">
        <f t="shared" si="15"/>
        <v>1.3969838619232178E-9</v>
      </c>
    </row>
    <row r="50" spans="1:13" ht="16.5" thickBot="1">
      <c r="A50" s="1"/>
      <c r="B50" s="47"/>
      <c r="C50" s="47"/>
      <c r="D50" s="47"/>
      <c r="E50" s="47"/>
      <c r="F50" s="47"/>
      <c r="G50" s="47"/>
      <c r="H50" s="47"/>
      <c r="I50" s="47"/>
      <c r="J50" s="47"/>
      <c r="K50" s="47"/>
      <c r="L50" s="47"/>
      <c r="M50" s="47"/>
    </row>
    <row r="51" spans="1:13" ht="17.25" thickTop="1" thickBot="1">
      <c r="A51" s="5" t="s">
        <v>26</v>
      </c>
      <c r="B51" s="57"/>
      <c r="C51" s="57">
        <f t="shared" ref="C51:M51" si="16">C41+C49</f>
        <v>8177702</v>
      </c>
      <c r="D51" s="57">
        <f t="shared" si="16"/>
        <v>45694979</v>
      </c>
      <c r="E51" s="57">
        <f t="shared" si="16"/>
        <v>28733247</v>
      </c>
      <c r="F51" s="57">
        <f t="shared" si="16"/>
        <v>87010037</v>
      </c>
      <c r="G51" s="57">
        <f t="shared" si="16"/>
        <v>84897688</v>
      </c>
      <c r="H51" s="57">
        <f t="shared" si="16"/>
        <v>72231827.213569537</v>
      </c>
      <c r="I51" s="57">
        <f t="shared" si="16"/>
        <v>63978683.172333926</v>
      </c>
      <c r="J51" s="57">
        <f t="shared" si="16"/>
        <v>66545717.948041081</v>
      </c>
      <c r="K51" s="57">
        <f t="shared" si="16"/>
        <v>52873536.33885923</v>
      </c>
      <c r="L51" s="57">
        <f t="shared" si="16"/>
        <v>52497274.441019461</v>
      </c>
      <c r="M51" s="57">
        <f t="shared" si="16"/>
        <v>52149650.668382511</v>
      </c>
    </row>
    <row r="52" spans="1:13" ht="16.5" thickTop="1">
      <c r="A52" s="1"/>
      <c r="B52" s="47"/>
      <c r="C52" s="47"/>
      <c r="D52" s="47"/>
      <c r="E52" s="47"/>
      <c r="F52" s="47"/>
      <c r="G52" s="47"/>
      <c r="H52" s="47"/>
      <c r="I52" s="47"/>
      <c r="J52" s="47"/>
      <c r="K52" s="47"/>
      <c r="L52" s="47"/>
      <c r="M52" s="47"/>
    </row>
    <row r="53" spans="1:13" ht="15.75">
      <c r="A53" s="1" t="s">
        <v>27</v>
      </c>
      <c r="B53" s="47"/>
      <c r="C53" s="47"/>
      <c r="D53" s="47"/>
      <c r="E53" s="47"/>
      <c r="F53" s="47"/>
      <c r="G53" s="47"/>
      <c r="H53" s="47"/>
      <c r="I53" s="47"/>
      <c r="J53" s="47"/>
      <c r="K53" s="47"/>
      <c r="L53" s="47"/>
      <c r="M53" s="47"/>
    </row>
    <row r="54" spans="1:13" s="530" customFormat="1" ht="15.75">
      <c r="A54" s="528"/>
      <c r="B54" s="535" t="s">
        <v>28</v>
      </c>
      <c r="C54" s="535">
        <f t="shared" ref="C54:M54" si="17">+C27-C51-C56</f>
        <v>108563272</v>
      </c>
      <c r="D54" s="535">
        <f t="shared" si="17"/>
        <v>110034887</v>
      </c>
      <c r="E54" s="535">
        <f t="shared" si="17"/>
        <v>144027403</v>
      </c>
      <c r="F54" s="535">
        <f t="shared" si="17"/>
        <v>210124549</v>
      </c>
      <c r="G54" s="535">
        <f t="shared" si="17"/>
        <v>202008138</v>
      </c>
      <c r="H54" s="535">
        <f t="shared" si="17"/>
        <v>186871885.72189215</v>
      </c>
      <c r="I54" s="535">
        <f t="shared" si="17"/>
        <v>163760589.76568478</v>
      </c>
      <c r="J54" s="535">
        <f t="shared" si="17"/>
        <v>152958333.99979171</v>
      </c>
      <c r="K54" s="535">
        <f t="shared" si="17"/>
        <v>125833754.31112091</v>
      </c>
      <c r="L54" s="535">
        <f t="shared" si="17"/>
        <v>111754053.5835847</v>
      </c>
      <c r="M54" s="535">
        <f t="shared" si="17"/>
        <v>121819892.99992281</v>
      </c>
    </row>
    <row r="55" spans="1:13" s="530" customFormat="1" ht="15.75">
      <c r="A55" s="528"/>
      <c r="B55" s="535" t="s">
        <v>29</v>
      </c>
      <c r="C55" s="537">
        <v>0</v>
      </c>
      <c r="D55" s="537">
        <v>0</v>
      </c>
      <c r="E55" s="537">
        <v>0</v>
      </c>
      <c r="F55" s="537">
        <v>0</v>
      </c>
      <c r="G55" s="535">
        <v>0</v>
      </c>
      <c r="H55" s="535">
        <v>0</v>
      </c>
      <c r="I55" s="535">
        <v>0</v>
      </c>
      <c r="J55" s="535">
        <v>0</v>
      </c>
      <c r="K55" s="535">
        <v>0</v>
      </c>
      <c r="L55" s="535">
        <v>0</v>
      </c>
      <c r="M55" s="535">
        <v>0</v>
      </c>
    </row>
    <row r="56" spans="1:13" s="530" customFormat="1" ht="16.5" thickBot="1">
      <c r="A56" s="528"/>
      <c r="B56" s="535" t="s">
        <v>30</v>
      </c>
      <c r="C56" s="537">
        <f>+Resultados!C28</f>
        <v>6087516</v>
      </c>
      <c r="D56" s="537">
        <f>+Resultados!D28</f>
        <v>7114181</v>
      </c>
      <c r="E56" s="537">
        <f>+Resultados!E28</f>
        <v>5070748</v>
      </c>
      <c r="F56" s="537">
        <f>+Resultados!F28</f>
        <v>-3125427</v>
      </c>
      <c r="G56" s="537">
        <f>+Resultados!G28</f>
        <v>4233659</v>
      </c>
      <c r="H56" s="537">
        <f>+Resultados!H28</f>
        <v>22689226.367255956</v>
      </c>
      <c r="I56" s="537">
        <f>+Resultados!I28</f>
        <v>30784500.033403914</v>
      </c>
      <c r="J56" s="537">
        <f>+Resultados!J28</f>
        <v>38669633.738574356</v>
      </c>
      <c r="K56" s="537">
        <f>+Resultados!K28</f>
        <v>44405170.038224414</v>
      </c>
      <c r="L56" s="537">
        <f>+Resultados!L28</f>
        <v>44805591.101476528</v>
      </c>
      <c r="M56" s="537">
        <f>+Resultados!M28</f>
        <v>44910133.09404815</v>
      </c>
    </row>
    <row r="57" spans="1:13" ht="17.25" thickTop="1" thickBot="1">
      <c r="A57" s="5" t="s">
        <v>31</v>
      </c>
      <c r="B57" s="57"/>
      <c r="C57" s="57">
        <f>SUM(C54:C56)</f>
        <v>114650788</v>
      </c>
      <c r="D57" s="57">
        <f t="shared" ref="D57:M57" si="18">SUM(D54:D56)</f>
        <v>117149068</v>
      </c>
      <c r="E57" s="57">
        <f t="shared" si="18"/>
        <v>149098151</v>
      </c>
      <c r="F57" s="57">
        <f t="shared" si="18"/>
        <v>206999122</v>
      </c>
      <c r="G57" s="57">
        <f t="shared" si="18"/>
        <v>206241797</v>
      </c>
      <c r="H57" s="57">
        <f t="shared" si="18"/>
        <v>209561112.0891481</v>
      </c>
      <c r="I57" s="57">
        <f t="shared" si="18"/>
        <v>194545089.79908869</v>
      </c>
      <c r="J57" s="57">
        <f>SUM(J54:J56)</f>
        <v>191627967.73836607</v>
      </c>
      <c r="K57" s="57">
        <f t="shared" si="18"/>
        <v>170238924.34934533</v>
      </c>
      <c r="L57" s="57">
        <f t="shared" si="18"/>
        <v>156559644.68506122</v>
      </c>
      <c r="M57" s="57">
        <f t="shared" si="18"/>
        <v>166730026.09397095</v>
      </c>
    </row>
    <row r="58" spans="1:13" ht="17.25" thickTop="1" thickBot="1">
      <c r="A58" s="1"/>
      <c r="B58" s="47"/>
      <c r="C58" s="47"/>
      <c r="D58" s="47"/>
      <c r="E58" s="47"/>
      <c r="F58" s="47"/>
      <c r="G58" s="47"/>
      <c r="H58" s="47"/>
      <c r="I58" s="47"/>
      <c r="J58" s="47"/>
      <c r="K58" s="47"/>
      <c r="L58" s="47"/>
      <c r="M58" s="47"/>
    </row>
    <row r="59" spans="1:13" ht="17.25" thickTop="1" thickBot="1">
      <c r="A59" s="5" t="s">
        <v>32</v>
      </c>
      <c r="B59" s="57"/>
      <c r="C59" s="57">
        <f t="shared" ref="C59:H59" si="19">C57+C51</f>
        <v>122828490</v>
      </c>
      <c r="D59" s="57">
        <f t="shared" si="19"/>
        <v>162844047</v>
      </c>
      <c r="E59" s="57">
        <f t="shared" si="19"/>
        <v>177831398</v>
      </c>
      <c r="F59" s="57">
        <f t="shared" si="19"/>
        <v>294009159</v>
      </c>
      <c r="G59" s="57">
        <f t="shared" si="19"/>
        <v>291139485</v>
      </c>
      <c r="H59" s="57">
        <f t="shared" si="19"/>
        <v>281792939.30271763</v>
      </c>
      <c r="I59" s="57">
        <f>I57+I51</f>
        <v>258523772.97142261</v>
      </c>
      <c r="J59" s="57">
        <f>J57+J51</f>
        <v>258173685.68640715</v>
      </c>
      <c r="K59" s="57">
        <f>K57+K51</f>
        <v>223112460.68820456</v>
      </c>
      <c r="L59" s="57">
        <f>L57+L51</f>
        <v>209056919.12608069</v>
      </c>
      <c r="M59" s="57">
        <f>M57+M51</f>
        <v>218879676.76235348</v>
      </c>
    </row>
    <row r="60" spans="1:13" ht="15.75" thickTop="1">
      <c r="D60" s="46"/>
      <c r="E60" s="46"/>
      <c r="F60" s="46"/>
      <c r="G60" s="46"/>
      <c r="H60" s="46"/>
      <c r="I60" s="46"/>
      <c r="J60" s="46"/>
      <c r="K60" s="46"/>
      <c r="L60" s="46"/>
      <c r="M60" s="46"/>
    </row>
    <row r="61" spans="1:13">
      <c r="C61">
        <f t="shared" ref="C61:M61" si="20">+C27-C59</f>
        <v>0</v>
      </c>
      <c r="D61">
        <f t="shared" si="20"/>
        <v>0</v>
      </c>
      <c r="E61">
        <f t="shared" si="20"/>
        <v>0</v>
      </c>
      <c r="F61">
        <f t="shared" si="20"/>
        <v>0</v>
      </c>
      <c r="G61">
        <f t="shared" si="20"/>
        <v>0</v>
      </c>
      <c r="H61">
        <f t="shared" si="20"/>
        <v>0</v>
      </c>
      <c r="I61">
        <f t="shared" si="20"/>
        <v>0</v>
      </c>
      <c r="J61">
        <f t="shared" si="20"/>
        <v>0</v>
      </c>
      <c r="K61">
        <f t="shared" si="20"/>
        <v>0</v>
      </c>
      <c r="L61">
        <f t="shared" si="20"/>
        <v>0</v>
      </c>
      <c r="M61">
        <f t="shared" si="20"/>
        <v>0</v>
      </c>
    </row>
    <row r="62" spans="1:13">
      <c r="D62" s="46"/>
      <c r="E62" s="46"/>
      <c r="F62" s="46"/>
      <c r="G62" s="46"/>
      <c r="H62" s="46"/>
      <c r="I62" s="46"/>
      <c r="J62" s="46"/>
      <c r="K62" s="46"/>
      <c r="L62" s="46"/>
      <c r="M62" s="46"/>
    </row>
    <row r="63" spans="1:13">
      <c r="D63" s="46"/>
      <c r="E63" s="46"/>
      <c r="F63" s="46"/>
      <c r="G63" s="46"/>
      <c r="H63" s="46"/>
      <c r="I63" s="46"/>
      <c r="J63" s="46"/>
      <c r="K63" s="46"/>
      <c r="L63" s="46"/>
      <c r="M63" s="46"/>
    </row>
    <row r="64" spans="1:13" s="50" customFormat="1" ht="15.75" hidden="1">
      <c r="A64" s="381"/>
      <c r="B64" s="355" t="s">
        <v>294</v>
      </c>
      <c r="C64" s="58">
        <v>51388733</v>
      </c>
      <c r="D64" s="58">
        <v>51388265</v>
      </c>
      <c r="E64" s="58">
        <v>67627264</v>
      </c>
      <c r="F64" s="58">
        <v>67629800</v>
      </c>
      <c r="G64" s="58">
        <v>109979942</v>
      </c>
      <c r="H64" s="58">
        <f>+CapitalFijo!G47</f>
        <v>0</v>
      </c>
      <c r="I64" s="58">
        <f>+CapitalFijo!H47</f>
        <v>0</v>
      </c>
      <c r="J64" s="58">
        <f>+CapitalFijo!I47</f>
        <v>0</v>
      </c>
      <c r="K64" s="58">
        <f>+CapitalFijo!J47</f>
        <v>0</v>
      </c>
      <c r="L64" s="58">
        <f>+CapitalFijo!K47</f>
        <v>0</v>
      </c>
      <c r="M64" s="58">
        <f>+CapitalFijo!L47</f>
        <v>0</v>
      </c>
    </row>
    <row r="65" spans="4:25">
      <c r="D65" s="526"/>
    </row>
    <row r="66" spans="4:25">
      <c r="D66" s="526"/>
    </row>
    <row r="67" spans="4:25">
      <c r="D67" s="526"/>
      <c r="E67" s="526"/>
      <c r="F67" s="526"/>
      <c r="G67" s="526"/>
      <c r="H67" s="526"/>
      <c r="I67" s="526"/>
      <c r="J67" s="526"/>
      <c r="K67" s="526"/>
      <c r="L67" s="526"/>
      <c r="M67" s="526"/>
      <c r="N67" s="526"/>
      <c r="O67" s="526"/>
      <c r="P67" s="526"/>
      <c r="Q67" s="526"/>
      <c r="R67" s="526"/>
      <c r="S67" s="526"/>
      <c r="T67" s="526"/>
      <c r="U67" s="526"/>
      <c r="V67" s="526"/>
      <c r="W67" s="526"/>
      <c r="X67" s="526"/>
      <c r="Y67" s="526"/>
    </row>
    <row r="68" spans="4:25">
      <c r="D68" s="526"/>
      <c r="E68" s="526"/>
      <c r="F68" s="526"/>
      <c r="G68" s="526"/>
      <c r="H68" s="526"/>
      <c r="I68" s="526"/>
      <c r="J68" s="526"/>
      <c r="K68" s="526"/>
      <c r="L68" s="526"/>
      <c r="M68" s="526"/>
      <c r="N68" s="526"/>
      <c r="O68" s="526"/>
      <c r="P68" s="526"/>
      <c r="Q68" s="526"/>
      <c r="R68" s="526"/>
      <c r="S68" s="526"/>
      <c r="T68" s="526"/>
      <c r="U68" s="526"/>
      <c r="V68" s="526"/>
      <c r="W68" s="526"/>
      <c r="X68" s="526"/>
      <c r="Y68" s="526"/>
    </row>
    <row r="69" spans="4:25">
      <c r="D69" s="526"/>
      <c r="E69" s="526"/>
      <c r="F69" s="526"/>
      <c r="G69" s="526"/>
      <c r="H69" s="526"/>
      <c r="I69" s="526"/>
      <c r="J69" s="526"/>
      <c r="K69" s="526"/>
      <c r="L69" s="526"/>
      <c r="M69" s="526"/>
      <c r="N69" s="526"/>
      <c r="O69" s="526"/>
      <c r="P69" s="526"/>
      <c r="Q69" s="526"/>
      <c r="R69" s="526"/>
      <c r="S69" s="526"/>
      <c r="T69" s="526"/>
      <c r="U69" s="526"/>
      <c r="V69" s="526"/>
      <c r="W69" s="526"/>
      <c r="X69" s="526"/>
      <c r="Y69" s="526"/>
    </row>
    <row r="70" spans="4:25">
      <c r="D70" s="526"/>
      <c r="E70" s="526"/>
      <c r="F70" s="526"/>
      <c r="G70" s="526"/>
      <c r="H70" s="526"/>
      <c r="I70" s="526"/>
      <c r="J70" s="526"/>
      <c r="K70" s="526"/>
      <c r="L70" s="526"/>
      <c r="M70" s="526"/>
      <c r="N70" s="526"/>
      <c r="O70" s="526"/>
      <c r="P70" s="526"/>
      <c r="Q70" s="526"/>
      <c r="R70" s="526"/>
      <c r="S70" s="526"/>
      <c r="T70" s="526"/>
      <c r="U70" s="526"/>
      <c r="V70" s="526"/>
      <c r="W70" s="526"/>
      <c r="X70" s="526"/>
      <c r="Y70" s="526"/>
    </row>
    <row r="71" spans="4:25">
      <c r="D71" s="526"/>
      <c r="E71" s="526"/>
      <c r="F71" s="526"/>
      <c r="G71" s="526"/>
      <c r="H71" s="526"/>
      <c r="I71" s="526"/>
      <c r="J71" s="526"/>
      <c r="K71" s="526"/>
      <c r="L71" s="526"/>
      <c r="M71" s="526"/>
      <c r="N71" s="526"/>
      <c r="O71" s="526"/>
      <c r="P71" s="526"/>
      <c r="Q71" s="526"/>
      <c r="R71" s="526"/>
      <c r="S71" s="526"/>
      <c r="T71" s="526"/>
      <c r="U71" s="526"/>
      <c r="V71" s="526"/>
      <c r="W71" s="526"/>
      <c r="X71" s="526"/>
      <c r="Y71" s="526"/>
    </row>
    <row r="72" spans="4:25">
      <c r="D72" s="526"/>
      <c r="E72" s="526"/>
      <c r="F72" s="526"/>
      <c r="G72" s="526"/>
      <c r="H72" s="526"/>
      <c r="I72" s="526"/>
      <c r="J72" s="526"/>
      <c r="K72" s="526"/>
      <c r="L72" s="526"/>
      <c r="M72" s="526"/>
      <c r="N72" s="526"/>
      <c r="O72" s="526"/>
      <c r="P72" s="526"/>
      <c r="Q72" s="526"/>
      <c r="R72" s="526"/>
      <c r="S72" s="526"/>
      <c r="T72" s="526"/>
      <c r="U72" s="526"/>
      <c r="V72" s="526"/>
      <c r="W72" s="526"/>
      <c r="X72" s="526"/>
      <c r="Y72" s="526"/>
    </row>
    <row r="73" spans="4:25">
      <c r="D73" s="526"/>
      <c r="E73" s="526"/>
      <c r="F73" s="526"/>
      <c r="G73" s="526"/>
      <c r="H73" s="526"/>
      <c r="I73" s="526"/>
      <c r="J73" s="526"/>
      <c r="K73" s="526"/>
      <c r="L73" s="526"/>
      <c r="M73" s="526"/>
      <c r="N73" s="526"/>
      <c r="O73" s="526"/>
      <c r="P73" s="526"/>
      <c r="Q73" s="526"/>
      <c r="R73" s="526"/>
      <c r="S73" s="526"/>
      <c r="T73" s="526"/>
      <c r="U73" s="526"/>
      <c r="V73" s="526"/>
      <c r="W73" s="526"/>
      <c r="X73" s="526"/>
      <c r="Y73" s="526"/>
    </row>
    <row r="74" spans="4:25">
      <c r="D74" s="526"/>
      <c r="E74" s="526"/>
      <c r="F74" s="526"/>
      <c r="G74" s="526"/>
      <c r="H74" s="526"/>
      <c r="I74" s="526"/>
      <c r="J74" s="526"/>
      <c r="K74" s="526"/>
      <c r="L74" s="526"/>
      <c r="M74" s="526"/>
      <c r="N74" s="526"/>
      <c r="O74" s="526"/>
      <c r="P74" s="526"/>
      <c r="Q74" s="526"/>
      <c r="R74" s="526"/>
      <c r="S74" s="526"/>
      <c r="T74" s="526"/>
      <c r="U74" s="526"/>
      <c r="V74" s="526"/>
      <c r="W74" s="526"/>
      <c r="X74" s="526"/>
      <c r="Y74" s="526"/>
    </row>
    <row r="75" spans="4:25">
      <c r="D75" s="526"/>
      <c r="E75" s="526"/>
      <c r="F75" s="526"/>
      <c r="G75" s="526"/>
      <c r="H75" s="526"/>
      <c r="I75" s="526"/>
      <c r="J75" s="526"/>
      <c r="K75" s="526"/>
      <c r="L75" s="526"/>
      <c r="M75" s="526"/>
      <c r="N75" s="526"/>
      <c r="O75" s="526"/>
      <c r="P75" s="526"/>
      <c r="Q75" s="526"/>
      <c r="R75" s="526"/>
      <c r="S75" s="526"/>
      <c r="T75" s="526"/>
      <c r="U75" s="526"/>
      <c r="V75" s="526"/>
      <c r="W75" s="526"/>
      <c r="X75" s="526"/>
      <c r="Y75" s="526"/>
    </row>
    <row r="76" spans="4:25">
      <c r="D76" s="526"/>
      <c r="E76" s="526"/>
      <c r="F76" s="526"/>
      <c r="G76" s="526"/>
      <c r="H76" s="526"/>
      <c r="I76" s="526"/>
      <c r="J76" s="526"/>
      <c r="K76" s="526"/>
      <c r="L76" s="526"/>
      <c r="M76" s="526"/>
      <c r="N76" s="526"/>
      <c r="O76" s="526"/>
      <c r="P76" s="526"/>
      <c r="Q76" s="526"/>
      <c r="R76" s="526"/>
      <c r="S76" s="526"/>
      <c r="T76" s="526"/>
      <c r="U76" s="526"/>
      <c r="V76" s="526"/>
      <c r="W76" s="526"/>
      <c r="X76" s="526"/>
      <c r="Y76" s="526"/>
    </row>
    <row r="77" spans="4:25">
      <c r="D77" s="526"/>
      <c r="E77" s="526"/>
      <c r="F77" s="526"/>
      <c r="G77" s="526"/>
      <c r="H77" s="526"/>
      <c r="I77" s="526"/>
      <c r="J77" s="526"/>
      <c r="K77" s="526"/>
      <c r="L77" s="526"/>
      <c r="M77" s="526"/>
      <c r="N77" s="526"/>
      <c r="O77" s="526"/>
      <c r="P77" s="526"/>
      <c r="Q77" s="526"/>
      <c r="R77" s="526"/>
      <c r="S77" s="526"/>
      <c r="T77" s="526"/>
      <c r="U77" s="526"/>
      <c r="V77" s="526"/>
      <c r="W77" s="526"/>
      <c r="X77" s="526"/>
      <c r="Y77" s="526"/>
    </row>
    <row r="78" spans="4:25">
      <c r="D78" s="526"/>
      <c r="E78" s="526"/>
      <c r="F78" s="526"/>
      <c r="G78" s="526"/>
      <c r="H78" s="526"/>
      <c r="I78" s="526"/>
      <c r="J78" s="526"/>
      <c r="K78" s="526"/>
      <c r="L78" s="526"/>
      <c r="M78" s="526"/>
      <c r="N78" s="526"/>
      <c r="O78" s="526"/>
      <c r="P78" s="526"/>
      <c r="Q78" s="526"/>
      <c r="R78" s="526"/>
      <c r="S78" s="526"/>
      <c r="T78" s="526"/>
      <c r="U78" s="526"/>
      <c r="V78" s="526"/>
      <c r="W78" s="526"/>
      <c r="X78" s="526"/>
      <c r="Y78" s="526"/>
    </row>
    <row r="79" spans="4:25">
      <c r="D79" s="526"/>
      <c r="E79" s="526"/>
      <c r="F79" s="526"/>
      <c r="G79" s="526"/>
      <c r="H79" s="526"/>
      <c r="I79" s="526"/>
      <c r="J79" s="526"/>
      <c r="K79" s="526"/>
      <c r="L79" s="526"/>
      <c r="M79" s="526"/>
      <c r="N79" s="526"/>
      <c r="O79" s="526"/>
      <c r="P79" s="526"/>
      <c r="Q79" s="526"/>
      <c r="R79" s="526"/>
      <c r="S79" s="526"/>
      <c r="T79" s="526"/>
      <c r="U79" s="526"/>
      <c r="V79" s="526"/>
      <c r="W79" s="526"/>
      <c r="X79" s="526"/>
      <c r="Y79" s="526"/>
    </row>
    <row r="80" spans="4:25">
      <c r="D80" s="526"/>
      <c r="E80" s="526"/>
      <c r="F80" s="526"/>
      <c r="G80" s="526"/>
      <c r="H80" s="526"/>
      <c r="I80" s="526"/>
      <c r="J80" s="526"/>
      <c r="K80" s="526"/>
      <c r="L80" s="526"/>
      <c r="M80" s="526"/>
      <c r="N80" s="526"/>
      <c r="O80" s="526"/>
      <c r="P80" s="526"/>
      <c r="Q80" s="526"/>
      <c r="R80" s="526"/>
      <c r="S80" s="526"/>
      <c r="T80" s="526"/>
      <c r="U80" s="526"/>
      <c r="V80" s="526"/>
      <c r="W80" s="526"/>
      <c r="X80" s="526"/>
      <c r="Y80" s="526"/>
    </row>
    <row r="81" spans="4:25">
      <c r="D81" s="526"/>
      <c r="E81" s="526"/>
      <c r="F81" s="526"/>
      <c r="G81" s="526"/>
      <c r="H81" s="526"/>
      <c r="I81" s="526"/>
      <c r="J81" s="526"/>
      <c r="K81" s="526"/>
      <c r="L81" s="526"/>
      <c r="M81" s="526"/>
      <c r="N81" s="526"/>
      <c r="O81" s="526"/>
      <c r="P81" s="526"/>
      <c r="Q81" s="526"/>
      <c r="R81" s="526"/>
      <c r="S81" s="526"/>
      <c r="T81" s="526"/>
      <c r="U81" s="526"/>
      <c r="V81" s="526"/>
      <c r="W81" s="526"/>
      <c r="X81" s="526"/>
      <c r="Y81" s="526"/>
    </row>
    <row r="82" spans="4:25">
      <c r="D82" s="526"/>
      <c r="E82" s="526"/>
      <c r="F82" s="526"/>
      <c r="G82" s="526"/>
      <c r="H82" s="526"/>
      <c r="I82" s="526"/>
      <c r="J82" s="526"/>
      <c r="K82" s="526"/>
      <c r="L82" s="526"/>
      <c r="M82" s="526"/>
      <c r="N82" s="526"/>
      <c r="O82" s="526"/>
      <c r="P82" s="526"/>
      <c r="Q82" s="526"/>
      <c r="R82" s="526"/>
      <c r="S82" s="526"/>
      <c r="T82" s="526"/>
      <c r="U82" s="526"/>
      <c r="V82" s="526"/>
      <c r="W82" s="526"/>
      <c r="X82" s="526"/>
      <c r="Y82" s="526"/>
    </row>
    <row r="83" spans="4:25">
      <c r="D83" s="526"/>
      <c r="E83" s="526"/>
      <c r="F83" s="526"/>
      <c r="G83" s="526"/>
      <c r="H83" s="526"/>
      <c r="I83" s="526"/>
      <c r="J83" s="526"/>
      <c r="K83" s="526"/>
      <c r="L83" s="526"/>
      <c r="M83" s="526"/>
      <c r="N83" s="526"/>
      <c r="O83" s="526"/>
      <c r="P83" s="526"/>
      <c r="Q83" s="526"/>
      <c r="R83" s="526"/>
      <c r="S83" s="526"/>
      <c r="T83" s="526"/>
      <c r="U83" s="526"/>
      <c r="V83" s="526"/>
      <c r="W83" s="526"/>
      <c r="X83" s="526"/>
      <c r="Y83" s="526"/>
    </row>
    <row r="84" spans="4:25">
      <c r="D84" s="526"/>
      <c r="E84" s="526"/>
      <c r="F84" s="526"/>
      <c r="G84" s="526"/>
      <c r="H84" s="526"/>
      <c r="I84" s="526"/>
      <c r="J84" s="526"/>
      <c r="K84" s="526"/>
      <c r="L84" s="526"/>
      <c r="M84" s="526"/>
      <c r="N84" s="526"/>
      <c r="O84" s="526"/>
      <c r="P84" s="526"/>
      <c r="Q84" s="526"/>
      <c r="R84" s="526"/>
      <c r="S84" s="526"/>
      <c r="T84" s="526"/>
      <c r="U84" s="526"/>
      <c r="V84" s="526"/>
      <c r="W84" s="526"/>
      <c r="X84" s="526"/>
      <c r="Y84" s="526"/>
    </row>
    <row r="85" spans="4:25">
      <c r="D85" s="526"/>
      <c r="E85" s="526"/>
      <c r="F85" s="526"/>
      <c r="G85" s="526"/>
      <c r="H85" s="526"/>
      <c r="I85" s="526"/>
      <c r="J85" s="526"/>
      <c r="K85" s="526"/>
      <c r="L85" s="526"/>
      <c r="M85" s="526"/>
      <c r="N85" s="526"/>
      <c r="O85" s="526"/>
      <c r="P85" s="526"/>
      <c r="Q85" s="526"/>
      <c r="R85" s="526"/>
      <c r="S85" s="526"/>
      <c r="T85" s="526"/>
      <c r="U85" s="526"/>
      <c r="V85" s="526"/>
      <c r="W85" s="526"/>
      <c r="X85" s="526"/>
      <c r="Y85" s="526"/>
    </row>
    <row r="86" spans="4:25">
      <c r="D86" s="526"/>
      <c r="E86" s="526"/>
      <c r="F86" s="526"/>
      <c r="G86" s="526"/>
      <c r="H86" s="526"/>
      <c r="I86" s="526"/>
      <c r="J86" s="526"/>
      <c r="K86" s="526"/>
      <c r="L86" s="526"/>
      <c r="M86" s="526"/>
      <c r="N86" s="526"/>
      <c r="O86" s="526"/>
      <c r="P86" s="526"/>
      <c r="Q86" s="526"/>
      <c r="R86" s="526"/>
      <c r="S86" s="526"/>
      <c r="T86" s="526"/>
      <c r="U86" s="526"/>
      <c r="V86" s="526"/>
      <c r="W86" s="526"/>
      <c r="X86" s="526"/>
      <c r="Y86" s="526"/>
    </row>
    <row r="87" spans="4:25">
      <c r="D87" s="526"/>
      <c r="E87" s="526"/>
      <c r="F87" s="526"/>
      <c r="G87" s="526"/>
      <c r="H87" s="526"/>
      <c r="I87" s="526"/>
      <c r="J87" s="526"/>
      <c r="K87" s="526"/>
      <c r="L87" s="526"/>
      <c r="M87" s="526"/>
      <c r="N87" s="526"/>
      <c r="O87" s="526"/>
      <c r="P87" s="526"/>
      <c r="Q87" s="526"/>
      <c r="R87" s="526"/>
      <c r="S87" s="526"/>
      <c r="T87" s="526"/>
      <c r="U87" s="526"/>
      <c r="V87" s="526"/>
      <c r="W87" s="526"/>
      <c r="X87" s="526"/>
      <c r="Y87" s="526"/>
    </row>
    <row r="88" spans="4:25">
      <c r="D88" s="526"/>
      <c r="E88" s="526"/>
      <c r="F88" s="526"/>
      <c r="G88" s="526"/>
      <c r="H88" s="526"/>
      <c r="I88" s="526"/>
      <c r="J88" s="526"/>
      <c r="K88" s="526"/>
      <c r="L88" s="526"/>
      <c r="M88" s="526"/>
      <c r="N88" s="526"/>
      <c r="O88" s="526"/>
      <c r="P88" s="526"/>
      <c r="Q88" s="526"/>
      <c r="R88" s="526"/>
      <c r="S88" s="526"/>
      <c r="T88" s="526"/>
      <c r="U88" s="526"/>
      <c r="V88" s="526"/>
      <c r="W88" s="526"/>
      <c r="X88" s="526"/>
      <c r="Y88" s="526"/>
    </row>
    <row r="89" spans="4:25">
      <c r="D89" s="526"/>
      <c r="E89" s="526"/>
      <c r="F89" s="526"/>
      <c r="G89" s="526"/>
      <c r="H89" s="526"/>
      <c r="I89" s="526"/>
      <c r="J89" s="526"/>
      <c r="K89" s="526"/>
      <c r="L89" s="526"/>
      <c r="M89" s="526"/>
      <c r="N89" s="526"/>
      <c r="O89" s="526"/>
      <c r="P89" s="526"/>
      <c r="Q89" s="526"/>
      <c r="R89" s="526"/>
      <c r="S89" s="526"/>
      <c r="T89" s="526"/>
      <c r="U89" s="526"/>
      <c r="V89" s="526"/>
      <c r="W89" s="526"/>
      <c r="X89" s="526"/>
      <c r="Y89" s="526"/>
    </row>
    <row r="90" spans="4:25">
      <c r="D90" s="526"/>
      <c r="E90" s="526"/>
      <c r="F90" s="526"/>
      <c r="G90" s="526"/>
      <c r="H90" s="526"/>
      <c r="I90" s="526"/>
      <c r="J90" s="526"/>
      <c r="K90" s="526"/>
      <c r="L90" s="526"/>
      <c r="M90" s="526"/>
      <c r="N90" s="526"/>
      <c r="O90" s="526"/>
      <c r="P90" s="526"/>
      <c r="Q90" s="526"/>
      <c r="R90" s="526"/>
      <c r="S90" s="526"/>
      <c r="T90" s="526"/>
      <c r="U90" s="526"/>
      <c r="V90" s="526"/>
      <c r="W90" s="526"/>
      <c r="X90" s="526"/>
      <c r="Y90" s="526"/>
    </row>
    <row r="91" spans="4:25">
      <c r="D91" s="526"/>
      <c r="E91" s="526"/>
      <c r="F91" s="526"/>
      <c r="G91" s="526"/>
      <c r="H91" s="526"/>
      <c r="I91" s="526"/>
      <c r="J91" s="526"/>
      <c r="K91" s="526"/>
      <c r="L91" s="526"/>
      <c r="M91" s="526"/>
      <c r="N91" s="526"/>
      <c r="O91" s="526"/>
      <c r="P91" s="526"/>
      <c r="Q91" s="526"/>
      <c r="R91" s="526"/>
      <c r="S91" s="526"/>
      <c r="T91" s="526"/>
      <c r="U91" s="526"/>
      <c r="V91" s="526"/>
      <c r="W91" s="526"/>
      <c r="X91" s="526"/>
      <c r="Y91" s="526"/>
    </row>
    <row r="92" spans="4:25">
      <c r="D92" s="526"/>
      <c r="E92" s="526"/>
      <c r="F92" s="526"/>
      <c r="G92" s="526"/>
      <c r="H92" s="526"/>
      <c r="I92" s="526"/>
      <c r="J92" s="526"/>
      <c r="K92" s="526"/>
      <c r="L92" s="526"/>
      <c r="M92" s="526"/>
      <c r="N92" s="526"/>
      <c r="O92" s="526"/>
      <c r="P92" s="526"/>
      <c r="Q92" s="526"/>
      <c r="R92" s="526"/>
      <c r="S92" s="526"/>
      <c r="T92" s="526"/>
      <c r="U92" s="526"/>
      <c r="V92" s="526"/>
      <c r="W92" s="526"/>
      <c r="X92" s="526"/>
      <c r="Y92" s="526"/>
    </row>
    <row r="93" spans="4:25">
      <c r="D93" s="526"/>
      <c r="E93" s="526"/>
      <c r="F93" s="526"/>
      <c r="G93" s="526"/>
      <c r="H93" s="526"/>
      <c r="I93" s="526"/>
      <c r="J93" s="526"/>
      <c r="K93" s="526"/>
      <c r="L93" s="526"/>
      <c r="M93" s="526"/>
      <c r="N93" s="526"/>
      <c r="O93" s="526"/>
      <c r="P93" s="526"/>
      <c r="Q93" s="526"/>
      <c r="R93" s="526"/>
      <c r="S93" s="526"/>
      <c r="T93" s="526"/>
      <c r="U93" s="526"/>
      <c r="V93" s="526"/>
      <c r="W93" s="526"/>
      <c r="X93" s="526"/>
      <c r="Y93" s="526"/>
    </row>
    <row r="94" spans="4:25">
      <c r="D94" s="526"/>
      <c r="E94" s="526"/>
      <c r="F94" s="526"/>
      <c r="G94" s="526"/>
      <c r="H94" s="526"/>
      <c r="I94" s="526"/>
      <c r="J94" s="526"/>
      <c r="K94" s="526"/>
      <c r="L94" s="526"/>
      <c r="M94" s="526"/>
      <c r="N94" s="526"/>
      <c r="O94" s="526"/>
      <c r="P94" s="526"/>
      <c r="Q94" s="526"/>
      <c r="R94" s="526"/>
      <c r="S94" s="526"/>
      <c r="T94" s="526"/>
      <c r="U94" s="526"/>
      <c r="V94" s="526"/>
      <c r="W94" s="526"/>
      <c r="X94" s="526"/>
      <c r="Y94" s="526"/>
    </row>
    <row r="95" spans="4:25">
      <c r="D95" s="526"/>
      <c r="E95" s="526"/>
      <c r="F95" s="526"/>
      <c r="G95" s="526"/>
      <c r="H95" s="526"/>
      <c r="I95" s="526"/>
      <c r="J95" s="526"/>
      <c r="K95" s="526"/>
      <c r="L95" s="526"/>
      <c r="M95" s="526"/>
      <c r="N95" s="526"/>
      <c r="O95" s="526"/>
      <c r="P95" s="526"/>
      <c r="Q95" s="526"/>
      <c r="R95" s="526"/>
      <c r="S95" s="526"/>
      <c r="T95" s="526"/>
      <c r="U95" s="526"/>
      <c r="V95" s="526"/>
      <c r="W95" s="526"/>
      <c r="X95" s="526"/>
      <c r="Y95" s="526"/>
    </row>
    <row r="96" spans="4:25">
      <c r="D96" s="526"/>
      <c r="E96" s="526"/>
      <c r="F96" s="526"/>
      <c r="G96" s="526"/>
      <c r="H96" s="526"/>
      <c r="I96" s="526"/>
      <c r="J96" s="526"/>
      <c r="K96" s="526"/>
      <c r="L96" s="526"/>
      <c r="M96" s="526"/>
      <c r="N96" s="526"/>
      <c r="O96" s="526"/>
      <c r="P96" s="526"/>
      <c r="Q96" s="526"/>
      <c r="R96" s="526"/>
      <c r="S96" s="526"/>
      <c r="T96" s="526"/>
      <c r="U96" s="526"/>
      <c r="V96" s="526"/>
      <c r="W96" s="526"/>
      <c r="X96" s="526"/>
      <c r="Y96" s="526"/>
    </row>
    <row r="97" spans="4:25">
      <c r="D97" s="526"/>
      <c r="E97" s="526"/>
      <c r="F97" s="526"/>
      <c r="G97" s="526"/>
      <c r="H97" s="526"/>
      <c r="I97" s="526"/>
      <c r="J97" s="526"/>
      <c r="K97" s="526"/>
      <c r="L97" s="526"/>
      <c r="M97" s="526"/>
      <c r="N97" s="526"/>
      <c r="O97" s="526"/>
      <c r="P97" s="526"/>
      <c r="Q97" s="526"/>
      <c r="R97" s="526"/>
      <c r="S97" s="526"/>
      <c r="T97" s="526"/>
      <c r="U97" s="526"/>
      <c r="V97" s="526"/>
      <c r="W97" s="526"/>
      <c r="X97" s="526"/>
      <c r="Y97" s="526"/>
    </row>
    <row r="98" spans="4:25">
      <c r="D98" s="526"/>
      <c r="E98" s="526"/>
      <c r="F98" s="526"/>
      <c r="G98" s="526"/>
      <c r="H98" s="526"/>
      <c r="I98" s="526"/>
      <c r="J98" s="526"/>
      <c r="K98" s="526"/>
      <c r="L98" s="526"/>
      <c r="M98" s="526"/>
      <c r="N98" s="526"/>
      <c r="O98" s="526"/>
      <c r="P98" s="526"/>
      <c r="Q98" s="526"/>
      <c r="R98" s="526"/>
      <c r="S98" s="526"/>
      <c r="T98" s="526"/>
      <c r="U98" s="526"/>
      <c r="V98" s="526"/>
      <c r="W98" s="526"/>
      <c r="X98" s="526"/>
      <c r="Y98" s="526"/>
    </row>
    <row r="99" spans="4:25">
      <c r="D99" s="526"/>
      <c r="E99" s="526"/>
      <c r="F99" s="526"/>
      <c r="G99" s="526"/>
      <c r="H99" s="526"/>
      <c r="I99" s="526"/>
      <c r="J99" s="526"/>
      <c r="K99" s="526"/>
      <c r="L99" s="526"/>
      <c r="M99" s="526"/>
      <c r="N99" s="526"/>
      <c r="O99" s="526"/>
      <c r="P99" s="526"/>
      <c r="Q99" s="526"/>
      <c r="R99" s="526"/>
      <c r="S99" s="526"/>
      <c r="T99" s="526"/>
      <c r="U99" s="526"/>
      <c r="V99" s="526"/>
      <c r="W99" s="526"/>
      <c r="X99" s="526"/>
      <c r="Y99" s="526"/>
    </row>
    <row r="100" spans="4:25">
      <c r="D100" s="526"/>
      <c r="E100" s="526"/>
      <c r="F100" s="526"/>
      <c r="G100" s="526"/>
      <c r="H100" s="526"/>
      <c r="I100" s="526"/>
      <c r="J100" s="526"/>
      <c r="K100" s="526"/>
      <c r="L100" s="526"/>
      <c r="M100" s="526"/>
      <c r="N100" s="526"/>
      <c r="O100" s="526"/>
      <c r="P100" s="526"/>
      <c r="Q100" s="526"/>
      <c r="R100" s="526"/>
      <c r="S100" s="526"/>
      <c r="T100" s="526"/>
      <c r="U100" s="526"/>
      <c r="V100" s="526"/>
      <c r="W100" s="526"/>
      <c r="X100" s="526"/>
      <c r="Y100" s="526"/>
    </row>
    <row r="101" spans="4:25">
      <c r="D101" s="526"/>
      <c r="E101" s="526"/>
      <c r="F101" s="526"/>
      <c r="G101" s="526"/>
      <c r="H101" s="526"/>
      <c r="I101" s="526"/>
      <c r="J101" s="526"/>
      <c r="K101" s="526"/>
      <c r="L101" s="526"/>
      <c r="M101" s="526"/>
      <c r="N101" s="526"/>
      <c r="O101" s="526"/>
      <c r="P101" s="526"/>
      <c r="Q101" s="526"/>
      <c r="R101" s="526"/>
      <c r="S101" s="526"/>
      <c r="T101" s="526"/>
      <c r="U101" s="526"/>
      <c r="V101" s="526"/>
      <c r="W101" s="526"/>
      <c r="X101" s="526"/>
      <c r="Y101" s="526"/>
    </row>
    <row r="102" spans="4:25">
      <c r="D102" s="526"/>
      <c r="E102" s="526"/>
      <c r="F102" s="526"/>
      <c r="G102" s="526"/>
      <c r="H102" s="526"/>
      <c r="I102" s="526"/>
      <c r="J102" s="526"/>
      <c r="K102" s="526"/>
      <c r="L102" s="526"/>
      <c r="M102" s="526"/>
      <c r="N102" s="526"/>
      <c r="O102" s="526"/>
      <c r="P102" s="526"/>
      <c r="Q102" s="526"/>
      <c r="R102" s="526"/>
      <c r="S102" s="526"/>
      <c r="T102" s="526"/>
      <c r="U102" s="526"/>
      <c r="V102" s="526"/>
      <c r="W102" s="526"/>
      <c r="X102" s="526"/>
      <c r="Y102" s="526"/>
    </row>
    <row r="103" spans="4:25">
      <c r="D103" s="526"/>
      <c r="E103" s="526"/>
      <c r="F103" s="526"/>
      <c r="G103" s="526"/>
      <c r="H103" s="526"/>
      <c r="I103" s="526"/>
      <c r="J103" s="526"/>
      <c r="K103" s="526"/>
      <c r="L103" s="526"/>
      <c r="M103" s="526"/>
      <c r="N103" s="526"/>
      <c r="O103" s="526"/>
      <c r="P103" s="526"/>
      <c r="Q103" s="526"/>
      <c r="R103" s="526"/>
      <c r="S103" s="526"/>
      <c r="T103" s="526"/>
      <c r="U103" s="526"/>
      <c r="V103" s="526"/>
      <c r="W103" s="526"/>
      <c r="X103" s="526"/>
      <c r="Y103" s="526"/>
    </row>
    <row r="104" spans="4:25">
      <c r="D104" s="526"/>
      <c r="E104" s="526"/>
      <c r="F104" s="526"/>
      <c r="G104" s="526"/>
      <c r="H104" s="526"/>
      <c r="I104" s="526"/>
      <c r="J104" s="526"/>
      <c r="K104" s="526"/>
      <c r="L104" s="526"/>
      <c r="M104" s="526"/>
      <c r="N104" s="526"/>
      <c r="O104" s="526"/>
      <c r="P104" s="526"/>
      <c r="Q104" s="526"/>
      <c r="R104" s="526"/>
      <c r="S104" s="526"/>
      <c r="T104" s="526"/>
      <c r="U104" s="526"/>
      <c r="V104" s="526"/>
      <c r="W104" s="526"/>
      <c r="X104" s="526"/>
      <c r="Y104" s="526"/>
    </row>
    <row r="105" spans="4:25">
      <c r="D105" s="526"/>
      <c r="E105" s="526"/>
      <c r="F105" s="526"/>
      <c r="G105" s="526"/>
      <c r="H105" s="526"/>
      <c r="I105" s="526"/>
      <c r="J105" s="526"/>
      <c r="K105" s="526"/>
      <c r="L105" s="526"/>
      <c r="M105" s="526"/>
      <c r="N105" s="526"/>
      <c r="O105" s="526"/>
      <c r="P105" s="526"/>
      <c r="Q105" s="526"/>
      <c r="R105" s="526"/>
      <c r="S105" s="526"/>
      <c r="T105" s="526"/>
      <c r="U105" s="526"/>
      <c r="V105" s="526"/>
      <c r="W105" s="526"/>
      <c r="X105" s="526"/>
      <c r="Y105" s="526"/>
    </row>
    <row r="106" spans="4:25">
      <c r="D106" s="526"/>
      <c r="E106" s="526"/>
      <c r="F106" s="526"/>
      <c r="G106" s="526"/>
      <c r="H106" s="526"/>
      <c r="I106" s="526"/>
      <c r="J106" s="526"/>
      <c r="K106" s="526"/>
      <c r="L106" s="526"/>
      <c r="M106" s="526"/>
      <c r="N106" s="526"/>
      <c r="O106" s="526"/>
      <c r="P106" s="526"/>
      <c r="Q106" s="526"/>
      <c r="R106" s="526"/>
      <c r="S106" s="526"/>
      <c r="T106" s="526"/>
      <c r="U106" s="526"/>
      <c r="V106" s="526"/>
      <c r="W106" s="526"/>
      <c r="X106" s="526"/>
      <c r="Y106" s="526"/>
    </row>
    <row r="107" spans="4:25">
      <c r="D107" s="526"/>
      <c r="E107" s="526"/>
      <c r="F107" s="526"/>
      <c r="G107" s="526"/>
      <c r="H107" s="526"/>
      <c r="I107" s="526"/>
      <c r="J107" s="526"/>
      <c r="K107" s="526"/>
      <c r="L107" s="526"/>
      <c r="M107" s="526"/>
      <c r="N107" s="526"/>
      <c r="O107" s="526"/>
      <c r="P107" s="526"/>
      <c r="Q107" s="526"/>
      <c r="R107" s="526"/>
      <c r="S107" s="526"/>
      <c r="T107" s="526"/>
      <c r="U107" s="526"/>
      <c r="V107" s="526"/>
      <c r="W107" s="526"/>
      <c r="X107" s="526"/>
      <c r="Y107" s="526"/>
    </row>
    <row r="108" spans="4:25">
      <c r="D108" s="526"/>
      <c r="E108" s="526"/>
      <c r="F108" s="526"/>
      <c r="G108" s="526"/>
      <c r="H108" s="526"/>
      <c r="I108" s="526"/>
      <c r="J108" s="526"/>
      <c r="K108" s="526"/>
      <c r="L108" s="526"/>
      <c r="M108" s="526"/>
      <c r="N108" s="526"/>
      <c r="O108" s="526"/>
      <c r="P108" s="526"/>
      <c r="Q108" s="526"/>
      <c r="R108" s="526"/>
      <c r="S108" s="526"/>
      <c r="T108" s="526"/>
      <c r="U108" s="526"/>
      <c r="V108" s="526"/>
      <c r="W108" s="526"/>
      <c r="X108" s="526"/>
      <c r="Y108" s="526"/>
    </row>
    <row r="109" spans="4:25">
      <c r="D109" s="526"/>
      <c r="E109" s="526"/>
      <c r="F109" s="526"/>
      <c r="G109" s="526"/>
      <c r="H109" s="526"/>
      <c r="I109" s="526"/>
      <c r="J109" s="526"/>
      <c r="K109" s="526"/>
      <c r="L109" s="526"/>
      <c r="M109" s="526"/>
      <c r="N109" s="526"/>
      <c r="O109" s="526"/>
      <c r="P109" s="526"/>
      <c r="Q109" s="526"/>
      <c r="R109" s="526"/>
      <c r="S109" s="526"/>
      <c r="T109" s="526"/>
      <c r="U109" s="526"/>
      <c r="V109" s="526"/>
      <c r="W109" s="526"/>
      <c r="X109" s="526"/>
      <c r="Y109" s="526"/>
    </row>
    <row r="110" spans="4:25">
      <c r="D110" s="526"/>
      <c r="E110" s="526"/>
      <c r="F110" s="526"/>
      <c r="G110" s="526"/>
      <c r="H110" s="526"/>
      <c r="I110" s="526"/>
      <c r="J110" s="526"/>
      <c r="K110" s="526"/>
      <c r="L110" s="526"/>
      <c r="M110" s="526"/>
      <c r="N110" s="526"/>
      <c r="O110" s="526"/>
      <c r="P110" s="526"/>
      <c r="Q110" s="526"/>
      <c r="R110" s="526"/>
      <c r="S110" s="526"/>
      <c r="T110" s="526"/>
      <c r="U110" s="526"/>
      <c r="V110" s="526"/>
      <c r="W110" s="526"/>
      <c r="X110" s="526"/>
      <c r="Y110" s="526"/>
    </row>
    <row r="111" spans="4:25">
      <c r="D111" s="526"/>
      <c r="E111" s="526"/>
      <c r="F111" s="526"/>
      <c r="G111" s="526"/>
      <c r="H111" s="526"/>
      <c r="I111" s="526"/>
      <c r="J111" s="526"/>
      <c r="K111" s="526"/>
      <c r="L111" s="526"/>
      <c r="M111" s="526"/>
      <c r="N111" s="526"/>
      <c r="O111" s="526"/>
      <c r="P111" s="526"/>
      <c r="Q111" s="526"/>
      <c r="R111" s="526"/>
      <c r="S111" s="526"/>
      <c r="T111" s="526"/>
      <c r="U111" s="526"/>
      <c r="V111" s="526"/>
      <c r="W111" s="526"/>
      <c r="X111" s="526"/>
      <c r="Y111" s="526"/>
    </row>
    <row r="112" spans="4:25">
      <c r="D112" s="526"/>
      <c r="E112" s="526"/>
      <c r="F112" s="526"/>
      <c r="G112" s="526"/>
      <c r="H112" s="526"/>
      <c r="I112" s="526"/>
      <c r="J112" s="526"/>
      <c r="K112" s="526"/>
      <c r="L112" s="526"/>
      <c r="M112" s="526"/>
      <c r="N112" s="526"/>
      <c r="O112" s="526"/>
      <c r="P112" s="526"/>
      <c r="Q112" s="526"/>
      <c r="R112" s="526"/>
      <c r="S112" s="526"/>
      <c r="T112" s="526"/>
      <c r="U112" s="526"/>
      <c r="V112" s="526"/>
      <c r="W112" s="526"/>
      <c r="X112" s="526"/>
      <c r="Y112" s="526"/>
    </row>
    <row r="113" spans="4:25">
      <c r="D113" s="526"/>
      <c r="E113" s="526"/>
      <c r="F113" s="526"/>
      <c r="G113" s="526"/>
      <c r="H113" s="526"/>
      <c r="I113" s="526"/>
      <c r="J113" s="526"/>
      <c r="K113" s="526"/>
      <c r="L113" s="526"/>
      <c r="M113" s="526"/>
      <c r="N113" s="526"/>
      <c r="O113" s="526"/>
      <c r="P113" s="526"/>
      <c r="Q113" s="526"/>
      <c r="R113" s="526"/>
      <c r="S113" s="526"/>
      <c r="T113" s="526"/>
      <c r="U113" s="526"/>
      <c r="V113" s="526"/>
      <c r="W113" s="526"/>
      <c r="X113" s="526"/>
      <c r="Y113" s="526"/>
    </row>
    <row r="114" spans="4:25">
      <c r="D114" s="526"/>
      <c r="E114" s="526"/>
      <c r="F114" s="526"/>
      <c r="G114" s="526"/>
      <c r="H114" s="526"/>
      <c r="I114" s="526"/>
      <c r="J114" s="526"/>
      <c r="K114" s="526"/>
      <c r="L114" s="526"/>
      <c r="M114" s="526"/>
      <c r="N114" s="526"/>
      <c r="O114" s="526"/>
      <c r="P114" s="526"/>
      <c r="Q114" s="526"/>
      <c r="R114" s="526"/>
      <c r="S114" s="526"/>
      <c r="T114" s="526"/>
      <c r="U114" s="526"/>
      <c r="V114" s="526"/>
      <c r="W114" s="526"/>
      <c r="X114" s="526"/>
      <c r="Y114" s="526"/>
    </row>
    <row r="115" spans="4:25">
      <c r="D115" s="526"/>
      <c r="E115" s="526"/>
      <c r="F115" s="526"/>
      <c r="G115" s="526"/>
      <c r="H115" s="526"/>
      <c r="I115" s="526"/>
      <c r="J115" s="526"/>
      <c r="K115" s="526"/>
      <c r="L115" s="526"/>
      <c r="M115" s="526"/>
      <c r="N115" s="526"/>
      <c r="O115" s="526"/>
      <c r="P115" s="526"/>
      <c r="Q115" s="526"/>
      <c r="R115" s="526"/>
      <c r="S115" s="526"/>
      <c r="T115" s="526"/>
      <c r="U115" s="526"/>
      <c r="V115" s="526"/>
      <c r="W115" s="526"/>
      <c r="X115" s="526"/>
      <c r="Y115" s="526"/>
    </row>
    <row r="116" spans="4:25">
      <c r="D116" s="526"/>
      <c r="E116" s="526"/>
      <c r="F116" s="526"/>
      <c r="G116" s="526"/>
      <c r="H116" s="526"/>
      <c r="I116" s="526"/>
      <c r="J116" s="526"/>
      <c r="K116" s="526"/>
      <c r="L116" s="526"/>
      <c r="M116" s="526"/>
      <c r="N116" s="526"/>
      <c r="O116" s="526"/>
      <c r="P116" s="526"/>
      <c r="Q116" s="526"/>
      <c r="R116" s="526"/>
      <c r="S116" s="526"/>
      <c r="T116" s="526"/>
      <c r="U116" s="526"/>
      <c r="V116" s="526"/>
      <c r="W116" s="526"/>
      <c r="X116" s="526"/>
      <c r="Y116" s="526"/>
    </row>
    <row r="117" spans="4:25">
      <c r="D117" s="526"/>
      <c r="E117" s="526"/>
      <c r="F117" s="526"/>
      <c r="G117" s="526"/>
      <c r="H117" s="526"/>
      <c r="I117" s="526"/>
      <c r="J117" s="526"/>
      <c r="K117" s="526"/>
      <c r="L117" s="526"/>
      <c r="M117" s="526"/>
      <c r="N117" s="526"/>
      <c r="O117" s="526"/>
      <c r="P117" s="526"/>
      <c r="Q117" s="526"/>
      <c r="R117" s="526"/>
      <c r="S117" s="526"/>
      <c r="T117" s="526"/>
      <c r="U117" s="526"/>
      <c r="V117" s="526"/>
      <c r="W117" s="526"/>
      <c r="X117" s="526"/>
      <c r="Y117" s="526"/>
    </row>
    <row r="118" spans="4:25">
      <c r="D118" s="526"/>
      <c r="E118" s="526"/>
      <c r="F118" s="526"/>
      <c r="G118" s="526"/>
      <c r="H118" s="526"/>
      <c r="I118" s="526"/>
      <c r="J118" s="526"/>
      <c r="K118" s="526"/>
      <c r="L118" s="526"/>
      <c r="M118" s="526"/>
      <c r="N118" s="526"/>
      <c r="O118" s="526"/>
      <c r="P118" s="526"/>
      <c r="Q118" s="526"/>
      <c r="R118" s="526"/>
      <c r="S118" s="526"/>
      <c r="T118" s="526"/>
      <c r="U118" s="526"/>
      <c r="V118" s="526"/>
      <c r="W118" s="526"/>
      <c r="X118" s="526"/>
      <c r="Y118" s="526"/>
    </row>
    <row r="119" spans="4:25">
      <c r="D119" s="526"/>
      <c r="E119" s="526"/>
      <c r="F119" s="526"/>
      <c r="G119" s="526"/>
      <c r="H119" s="526"/>
      <c r="I119" s="526"/>
      <c r="J119" s="526"/>
      <c r="K119" s="526"/>
      <c r="L119" s="526"/>
      <c r="M119" s="526"/>
      <c r="N119" s="526"/>
      <c r="O119" s="526"/>
      <c r="P119" s="526"/>
      <c r="Q119" s="526"/>
      <c r="R119" s="526"/>
      <c r="S119" s="526"/>
      <c r="T119" s="526"/>
      <c r="U119" s="526"/>
      <c r="V119" s="526"/>
      <c r="W119" s="526"/>
      <c r="X119" s="526"/>
      <c r="Y119" s="526"/>
    </row>
    <row r="120" spans="4:25">
      <c r="D120" s="526"/>
      <c r="E120" s="526"/>
      <c r="F120" s="526"/>
      <c r="G120" s="526"/>
      <c r="H120" s="526"/>
      <c r="I120" s="526"/>
      <c r="J120" s="526"/>
      <c r="K120" s="526"/>
      <c r="L120" s="526"/>
      <c r="M120" s="526"/>
      <c r="N120" s="526"/>
      <c r="O120" s="526"/>
      <c r="P120" s="526"/>
      <c r="Q120" s="526"/>
      <c r="R120" s="526"/>
      <c r="S120" s="526"/>
      <c r="T120" s="526"/>
      <c r="U120" s="526"/>
      <c r="V120" s="526"/>
      <c r="W120" s="526"/>
      <c r="X120" s="526"/>
      <c r="Y120" s="526"/>
    </row>
    <row r="121" spans="4:25">
      <c r="D121" s="526"/>
      <c r="E121" s="526"/>
      <c r="F121" s="526"/>
      <c r="G121" s="526"/>
      <c r="H121" s="526"/>
      <c r="I121" s="526"/>
      <c r="J121" s="526"/>
      <c r="K121" s="526"/>
      <c r="L121" s="526"/>
      <c r="M121" s="526"/>
      <c r="N121" s="526"/>
      <c r="O121" s="526"/>
      <c r="P121" s="526"/>
      <c r="Q121" s="526"/>
      <c r="R121" s="526"/>
      <c r="S121" s="526"/>
      <c r="T121" s="526"/>
      <c r="U121" s="526"/>
      <c r="V121" s="526"/>
      <c r="W121" s="526"/>
      <c r="X121" s="526"/>
      <c r="Y121" s="526"/>
    </row>
    <row r="122" spans="4:25">
      <c r="D122" s="526"/>
      <c r="E122" s="526"/>
      <c r="F122" s="526"/>
      <c r="G122" s="526"/>
      <c r="H122" s="526"/>
      <c r="I122" s="526"/>
      <c r="J122" s="526"/>
      <c r="K122" s="526"/>
      <c r="L122" s="526"/>
      <c r="M122" s="526"/>
      <c r="N122" s="526"/>
      <c r="O122" s="526"/>
      <c r="P122" s="526"/>
      <c r="Q122" s="526"/>
      <c r="R122" s="526"/>
      <c r="S122" s="526"/>
      <c r="T122" s="526"/>
      <c r="U122" s="526"/>
      <c r="V122" s="526"/>
      <c r="W122" s="526"/>
      <c r="X122" s="526"/>
      <c r="Y122" s="526"/>
    </row>
    <row r="123" spans="4:25">
      <c r="D123" s="526"/>
      <c r="E123" s="526"/>
      <c r="F123" s="526"/>
      <c r="G123" s="526"/>
      <c r="H123" s="526"/>
      <c r="I123" s="526"/>
      <c r="J123" s="526"/>
      <c r="K123" s="526"/>
      <c r="L123" s="526"/>
      <c r="M123" s="526"/>
      <c r="N123" s="526"/>
      <c r="O123" s="526"/>
      <c r="P123" s="526"/>
      <c r="Q123" s="526"/>
      <c r="R123" s="526"/>
      <c r="S123" s="526"/>
      <c r="T123" s="526"/>
      <c r="U123" s="526"/>
      <c r="V123" s="526"/>
      <c r="W123" s="526"/>
      <c r="X123" s="526"/>
      <c r="Y123" s="526"/>
    </row>
    <row r="124" spans="4:25">
      <c r="D124" s="526"/>
      <c r="E124" s="526"/>
      <c r="F124" s="526"/>
      <c r="G124" s="526"/>
      <c r="H124" s="526"/>
      <c r="I124" s="526"/>
      <c r="J124" s="526"/>
      <c r="K124" s="526"/>
      <c r="L124" s="526"/>
      <c r="M124" s="526"/>
      <c r="N124" s="526"/>
      <c r="O124" s="526"/>
      <c r="P124" s="526"/>
      <c r="Q124" s="526"/>
      <c r="R124" s="526"/>
      <c r="S124" s="526"/>
      <c r="T124" s="526"/>
      <c r="U124" s="526"/>
      <c r="V124" s="526"/>
      <c r="W124" s="526"/>
      <c r="X124" s="526"/>
      <c r="Y124" s="526"/>
    </row>
    <row r="125" spans="4:25">
      <c r="D125" s="526"/>
      <c r="E125" s="526"/>
      <c r="F125" s="526"/>
      <c r="G125" s="526"/>
      <c r="H125" s="526"/>
      <c r="I125" s="526"/>
      <c r="J125" s="526"/>
      <c r="K125" s="526"/>
      <c r="L125" s="526"/>
      <c r="M125" s="526"/>
      <c r="N125" s="526"/>
      <c r="O125" s="526"/>
      <c r="P125" s="526"/>
      <c r="Q125" s="526"/>
      <c r="R125" s="526"/>
      <c r="S125" s="526"/>
      <c r="T125" s="526"/>
      <c r="U125" s="526"/>
      <c r="V125" s="526"/>
      <c r="W125" s="526"/>
      <c r="X125" s="526"/>
      <c r="Y125" s="526"/>
    </row>
    <row r="126" spans="4:25">
      <c r="D126" s="526"/>
      <c r="E126" s="526"/>
      <c r="F126" s="526"/>
      <c r="G126" s="526"/>
      <c r="H126" s="526"/>
      <c r="I126" s="526"/>
      <c r="J126" s="526"/>
      <c r="K126" s="526"/>
      <c r="L126" s="526"/>
      <c r="M126" s="526"/>
      <c r="N126" s="526"/>
      <c r="O126" s="526"/>
      <c r="P126" s="526"/>
      <c r="Q126" s="526"/>
      <c r="R126" s="526"/>
      <c r="S126" s="526"/>
      <c r="T126" s="526"/>
      <c r="U126" s="526"/>
      <c r="V126" s="526"/>
      <c r="W126" s="526"/>
      <c r="X126" s="526"/>
      <c r="Y126" s="526"/>
    </row>
    <row r="127" spans="4:25">
      <c r="D127" s="526"/>
      <c r="E127" s="526"/>
      <c r="F127" s="526"/>
      <c r="G127" s="526"/>
      <c r="H127" s="526"/>
      <c r="I127" s="526"/>
      <c r="J127" s="526"/>
      <c r="K127" s="526"/>
      <c r="L127" s="526"/>
      <c r="M127" s="526"/>
      <c r="N127" s="526"/>
      <c r="O127" s="526"/>
      <c r="P127" s="526"/>
      <c r="Q127" s="526"/>
      <c r="R127" s="526"/>
      <c r="S127" s="526"/>
      <c r="T127" s="526"/>
      <c r="U127" s="526"/>
      <c r="V127" s="526"/>
      <c r="W127" s="526"/>
      <c r="X127" s="526"/>
      <c r="Y127" s="526"/>
    </row>
    <row r="128" spans="4:25">
      <c r="D128" s="526"/>
      <c r="E128" s="526"/>
      <c r="F128" s="526"/>
      <c r="G128" s="526"/>
      <c r="H128" s="526"/>
      <c r="I128" s="526"/>
      <c r="J128" s="526"/>
      <c r="K128" s="526"/>
      <c r="L128" s="526"/>
      <c r="M128" s="526"/>
      <c r="N128" s="526"/>
      <c r="O128" s="526"/>
      <c r="P128" s="526"/>
      <c r="Q128" s="526"/>
      <c r="R128" s="526"/>
      <c r="S128" s="526"/>
      <c r="T128" s="526"/>
      <c r="U128" s="526"/>
      <c r="V128" s="526"/>
      <c r="W128" s="526"/>
      <c r="X128" s="526"/>
      <c r="Y128" s="526"/>
    </row>
    <row r="129" spans="4:25">
      <c r="D129" s="526"/>
      <c r="E129" s="526"/>
      <c r="F129" s="526"/>
      <c r="G129" s="526"/>
      <c r="H129" s="526"/>
      <c r="I129" s="526"/>
      <c r="J129" s="526"/>
      <c r="K129" s="526"/>
      <c r="L129" s="526"/>
      <c r="M129" s="526"/>
      <c r="N129" s="526"/>
      <c r="O129" s="526"/>
      <c r="P129" s="526"/>
      <c r="Q129" s="526"/>
      <c r="R129" s="526"/>
      <c r="S129" s="526"/>
      <c r="T129" s="526"/>
      <c r="U129" s="526"/>
      <c r="V129" s="526"/>
      <c r="W129" s="526"/>
      <c r="X129" s="526"/>
      <c r="Y129" s="526"/>
    </row>
    <row r="130" spans="4:25">
      <c r="D130" s="526"/>
      <c r="E130" s="526"/>
      <c r="F130" s="526"/>
      <c r="G130" s="526"/>
      <c r="H130" s="526"/>
      <c r="I130" s="526"/>
      <c r="J130" s="526"/>
      <c r="K130" s="526"/>
      <c r="L130" s="526"/>
      <c r="M130" s="526"/>
      <c r="N130" s="526"/>
      <c r="O130" s="526"/>
      <c r="P130" s="526"/>
      <c r="Q130" s="526"/>
      <c r="R130" s="526"/>
      <c r="S130" s="526"/>
      <c r="T130" s="526"/>
      <c r="U130" s="526"/>
      <c r="V130" s="526"/>
      <c r="W130" s="526"/>
      <c r="X130" s="526"/>
      <c r="Y130" s="526"/>
    </row>
    <row r="131" spans="4:25">
      <c r="D131" s="526"/>
      <c r="E131" s="526"/>
      <c r="F131" s="526"/>
      <c r="G131" s="526"/>
      <c r="H131" s="526"/>
      <c r="I131" s="526"/>
      <c r="J131" s="526"/>
      <c r="K131" s="526"/>
      <c r="L131" s="526"/>
      <c r="M131" s="526"/>
      <c r="N131" s="526"/>
      <c r="O131" s="526"/>
      <c r="P131" s="526"/>
      <c r="Q131" s="526"/>
      <c r="R131" s="526"/>
      <c r="S131" s="526"/>
      <c r="T131" s="526"/>
      <c r="U131" s="526"/>
      <c r="V131" s="526"/>
      <c r="W131" s="526"/>
      <c r="X131" s="526"/>
      <c r="Y131" s="526"/>
    </row>
    <row r="132" spans="4:25">
      <c r="D132" s="526"/>
      <c r="E132" s="526"/>
      <c r="F132" s="526"/>
      <c r="G132" s="526"/>
      <c r="H132" s="526"/>
      <c r="I132" s="526"/>
      <c r="J132" s="526"/>
      <c r="K132" s="526"/>
      <c r="L132" s="526"/>
      <c r="M132" s="526"/>
      <c r="N132" s="526"/>
      <c r="O132" s="526"/>
      <c r="P132" s="526"/>
      <c r="Q132" s="526"/>
      <c r="R132" s="526"/>
      <c r="S132" s="526"/>
      <c r="T132" s="526"/>
      <c r="U132" s="526"/>
      <c r="V132" s="526"/>
      <c r="W132" s="526"/>
      <c r="X132" s="526"/>
      <c r="Y132" s="526"/>
    </row>
    <row r="133" spans="4:25">
      <c r="D133" s="526"/>
      <c r="E133" s="526"/>
      <c r="F133" s="526"/>
      <c r="G133" s="526"/>
      <c r="H133" s="526"/>
      <c r="I133" s="526"/>
      <c r="J133" s="526"/>
      <c r="K133" s="526"/>
      <c r="L133" s="526"/>
      <c r="M133" s="526"/>
      <c r="N133" s="526"/>
      <c r="O133" s="526"/>
      <c r="P133" s="526"/>
      <c r="Q133" s="526"/>
      <c r="R133" s="526"/>
      <c r="S133" s="526"/>
      <c r="T133" s="526"/>
      <c r="U133" s="526"/>
      <c r="V133" s="526"/>
      <c r="W133" s="526"/>
      <c r="X133" s="526"/>
      <c r="Y133" s="526"/>
    </row>
    <row r="134" spans="4:25">
      <c r="D134" s="526"/>
      <c r="E134" s="526"/>
      <c r="F134" s="526"/>
      <c r="G134" s="526"/>
      <c r="H134" s="526"/>
      <c r="I134" s="526"/>
      <c r="J134" s="526"/>
      <c r="K134" s="526"/>
      <c r="L134" s="526"/>
      <c r="M134" s="526"/>
      <c r="N134" s="526"/>
      <c r="O134" s="526"/>
      <c r="P134" s="526"/>
      <c r="Q134" s="526"/>
      <c r="R134" s="526"/>
      <c r="S134" s="526"/>
      <c r="T134" s="526"/>
      <c r="U134" s="526"/>
      <c r="V134" s="526"/>
      <c r="W134" s="526"/>
      <c r="X134" s="526"/>
      <c r="Y134" s="526"/>
    </row>
    <row r="135" spans="4:25">
      <c r="D135" s="526"/>
      <c r="E135" s="526"/>
      <c r="F135" s="526"/>
      <c r="G135" s="526"/>
      <c r="H135" s="526"/>
      <c r="I135" s="526"/>
      <c r="J135" s="526"/>
      <c r="K135" s="526"/>
      <c r="L135" s="526"/>
      <c r="M135" s="526"/>
      <c r="N135" s="526"/>
      <c r="O135" s="526"/>
      <c r="P135" s="526"/>
      <c r="Q135" s="526"/>
      <c r="R135" s="526"/>
      <c r="S135" s="526"/>
      <c r="T135" s="526"/>
      <c r="U135" s="526"/>
      <c r="V135" s="526"/>
      <c r="W135" s="526"/>
      <c r="X135" s="526"/>
      <c r="Y135" s="526"/>
    </row>
    <row r="136" spans="4:25">
      <c r="D136" s="526"/>
      <c r="E136" s="526"/>
      <c r="F136" s="526"/>
      <c r="G136" s="526"/>
      <c r="H136" s="526"/>
      <c r="I136" s="526"/>
      <c r="J136" s="526"/>
      <c r="K136" s="526"/>
      <c r="L136" s="526"/>
      <c r="M136" s="526"/>
      <c r="N136" s="526"/>
      <c r="O136" s="526"/>
      <c r="P136" s="526"/>
      <c r="Q136" s="526"/>
      <c r="R136" s="526"/>
      <c r="S136" s="526"/>
      <c r="T136" s="526"/>
      <c r="U136" s="526"/>
      <c r="V136" s="526"/>
      <c r="W136" s="526"/>
      <c r="X136" s="526"/>
      <c r="Y136" s="526"/>
    </row>
    <row r="137" spans="4:25">
      <c r="D137" s="526"/>
      <c r="E137" s="526"/>
      <c r="F137" s="526"/>
      <c r="G137" s="526"/>
      <c r="H137" s="526"/>
      <c r="I137" s="526"/>
      <c r="J137" s="526"/>
      <c r="K137" s="526"/>
      <c r="L137" s="526"/>
      <c r="M137" s="526"/>
      <c r="N137" s="526"/>
      <c r="O137" s="526"/>
      <c r="P137" s="526"/>
      <c r="Q137" s="526"/>
      <c r="R137" s="526"/>
      <c r="S137" s="526"/>
      <c r="T137" s="526"/>
      <c r="U137" s="526"/>
      <c r="V137" s="526"/>
      <c r="W137" s="526"/>
      <c r="X137" s="526"/>
      <c r="Y137" s="526"/>
    </row>
    <row r="138" spans="4:25">
      <c r="D138" s="526"/>
      <c r="E138" s="526"/>
      <c r="F138" s="526"/>
      <c r="G138" s="526"/>
      <c r="H138" s="526"/>
      <c r="I138" s="526"/>
      <c r="J138" s="526"/>
      <c r="K138" s="526"/>
      <c r="L138" s="526"/>
      <c r="M138" s="526"/>
      <c r="N138" s="526"/>
      <c r="O138" s="526"/>
      <c r="P138" s="526"/>
      <c r="Q138" s="526"/>
      <c r="R138" s="526"/>
      <c r="S138" s="526"/>
      <c r="T138" s="526"/>
      <c r="U138" s="526"/>
      <c r="V138" s="526"/>
      <c r="W138" s="526"/>
      <c r="X138" s="526"/>
      <c r="Y138" s="526"/>
    </row>
    <row r="139" spans="4:25">
      <c r="D139" s="526"/>
      <c r="E139" s="526"/>
      <c r="F139" s="526"/>
      <c r="G139" s="526"/>
      <c r="H139" s="526"/>
      <c r="I139" s="526"/>
      <c r="J139" s="526"/>
      <c r="K139" s="526"/>
      <c r="L139" s="526"/>
      <c r="M139" s="526"/>
      <c r="N139" s="526"/>
      <c r="O139" s="526"/>
      <c r="P139" s="526"/>
      <c r="Q139" s="526"/>
      <c r="R139" s="526"/>
      <c r="S139" s="526"/>
      <c r="T139" s="526"/>
      <c r="U139" s="526"/>
      <c r="V139" s="526"/>
      <c r="W139" s="526"/>
      <c r="X139" s="526"/>
      <c r="Y139" s="526"/>
    </row>
    <row r="140" spans="4:25">
      <c r="D140" s="526"/>
      <c r="E140" s="526"/>
      <c r="F140" s="526"/>
      <c r="G140" s="526"/>
      <c r="H140" s="526"/>
      <c r="I140" s="526"/>
      <c r="J140" s="526"/>
      <c r="K140" s="526"/>
      <c r="L140" s="526"/>
      <c r="M140" s="526"/>
      <c r="N140" s="526"/>
      <c r="O140" s="526"/>
      <c r="P140" s="526"/>
      <c r="Q140" s="526"/>
      <c r="R140" s="526"/>
      <c r="S140" s="526"/>
      <c r="T140" s="526"/>
      <c r="U140" s="526"/>
      <c r="V140" s="526"/>
      <c r="W140" s="526"/>
      <c r="X140" s="526"/>
      <c r="Y140" s="526"/>
    </row>
    <row r="141" spans="4:25">
      <c r="D141" s="526"/>
      <c r="E141" s="526"/>
      <c r="F141" s="526"/>
      <c r="G141" s="526"/>
      <c r="H141" s="526"/>
      <c r="I141" s="526"/>
      <c r="J141" s="526"/>
      <c r="K141" s="526"/>
      <c r="L141" s="526"/>
      <c r="M141" s="526"/>
      <c r="N141" s="526"/>
      <c r="O141" s="526"/>
      <c r="P141" s="526"/>
      <c r="Q141" s="526"/>
      <c r="R141" s="526"/>
      <c r="S141" s="526"/>
      <c r="T141" s="526"/>
      <c r="U141" s="526"/>
      <c r="V141" s="526"/>
      <c r="W141" s="526"/>
      <c r="X141" s="526"/>
      <c r="Y141" s="526"/>
    </row>
    <row r="142" spans="4:25">
      <c r="D142" s="526"/>
      <c r="E142" s="526"/>
      <c r="F142" s="526"/>
      <c r="G142" s="526"/>
      <c r="H142" s="526"/>
      <c r="I142" s="526"/>
      <c r="J142" s="526"/>
      <c r="K142" s="526"/>
      <c r="L142" s="526"/>
      <c r="M142" s="526"/>
      <c r="N142" s="526"/>
      <c r="O142" s="526"/>
      <c r="P142" s="526"/>
      <c r="Q142" s="526"/>
      <c r="R142" s="526"/>
      <c r="S142" s="526"/>
      <c r="T142" s="526"/>
      <c r="U142" s="526"/>
      <c r="V142" s="526"/>
      <c r="W142" s="526"/>
      <c r="X142" s="526"/>
      <c r="Y142" s="526"/>
    </row>
    <row r="143" spans="4:25">
      <c r="D143" s="526"/>
      <c r="E143" s="526"/>
      <c r="F143" s="526"/>
      <c r="G143" s="526"/>
      <c r="H143" s="526"/>
      <c r="I143" s="526"/>
      <c r="J143" s="526"/>
      <c r="K143" s="526"/>
      <c r="L143" s="526"/>
      <c r="M143" s="526"/>
      <c r="N143" s="526"/>
      <c r="O143" s="526"/>
      <c r="P143" s="526"/>
      <c r="Q143" s="526"/>
      <c r="R143" s="526"/>
      <c r="S143" s="526"/>
      <c r="T143" s="526"/>
      <c r="U143" s="526"/>
      <c r="V143" s="526"/>
      <c r="W143" s="526"/>
      <c r="X143" s="526"/>
      <c r="Y143" s="526"/>
    </row>
    <row r="144" spans="4:25">
      <c r="D144" s="526"/>
      <c r="E144" s="526"/>
      <c r="F144" s="526"/>
      <c r="G144" s="526"/>
      <c r="H144" s="526"/>
      <c r="I144" s="526"/>
      <c r="J144" s="526"/>
      <c r="K144" s="526"/>
      <c r="L144" s="526"/>
      <c r="M144" s="526"/>
      <c r="N144" s="526"/>
      <c r="O144" s="526"/>
      <c r="P144" s="526"/>
      <c r="Q144" s="526"/>
      <c r="R144" s="526"/>
      <c r="S144" s="526"/>
      <c r="T144" s="526"/>
      <c r="U144" s="526"/>
      <c r="V144" s="526"/>
      <c r="W144" s="526"/>
      <c r="X144" s="526"/>
      <c r="Y144" s="526"/>
    </row>
    <row r="145" spans="4:25">
      <c r="D145" s="526"/>
      <c r="E145" s="526"/>
      <c r="F145" s="526"/>
      <c r="G145" s="526"/>
      <c r="H145" s="526"/>
      <c r="I145" s="526"/>
      <c r="J145" s="526"/>
      <c r="K145" s="526"/>
      <c r="L145" s="526"/>
      <c r="M145" s="526"/>
      <c r="N145" s="526"/>
      <c r="O145" s="526"/>
      <c r="P145" s="526"/>
      <c r="Q145" s="526"/>
      <c r="R145" s="526"/>
      <c r="S145" s="526"/>
      <c r="T145" s="526"/>
      <c r="U145" s="526"/>
      <c r="V145" s="526"/>
      <c r="W145" s="526"/>
      <c r="X145" s="526"/>
      <c r="Y145" s="526"/>
    </row>
    <row r="146" spans="4:25">
      <c r="D146" s="526"/>
      <c r="E146" s="526"/>
      <c r="F146" s="526"/>
      <c r="G146" s="526"/>
      <c r="H146" s="526"/>
      <c r="I146" s="526"/>
      <c r="J146" s="526"/>
      <c r="K146" s="526"/>
      <c r="L146" s="526"/>
      <c r="M146" s="526"/>
      <c r="N146" s="526"/>
      <c r="O146" s="526"/>
      <c r="P146" s="526"/>
      <c r="Q146" s="526"/>
      <c r="R146" s="526"/>
      <c r="S146" s="526"/>
      <c r="T146" s="526"/>
      <c r="U146" s="526"/>
      <c r="V146" s="526"/>
      <c r="W146" s="526"/>
      <c r="X146" s="526"/>
      <c r="Y146" s="526"/>
    </row>
    <row r="147" spans="4:25">
      <c r="D147" s="526"/>
      <c r="E147" s="526"/>
      <c r="F147" s="526"/>
      <c r="G147" s="526"/>
      <c r="H147" s="526"/>
      <c r="I147" s="526"/>
      <c r="J147" s="526"/>
      <c r="K147" s="526"/>
      <c r="L147" s="526"/>
      <c r="M147" s="526"/>
      <c r="N147" s="526"/>
      <c r="O147" s="526"/>
      <c r="P147" s="526"/>
      <c r="Q147" s="526"/>
      <c r="R147" s="526"/>
      <c r="S147" s="526"/>
      <c r="T147" s="526"/>
      <c r="U147" s="526"/>
      <c r="V147" s="526"/>
      <c r="W147" s="526"/>
      <c r="X147" s="526"/>
      <c r="Y147" s="526"/>
    </row>
    <row r="148" spans="4:25">
      <c r="D148" s="526"/>
      <c r="E148" s="526"/>
      <c r="F148" s="526"/>
      <c r="G148" s="526"/>
      <c r="H148" s="526"/>
      <c r="I148" s="526"/>
      <c r="J148" s="526"/>
      <c r="K148" s="526"/>
      <c r="L148" s="526"/>
      <c r="M148" s="526"/>
      <c r="N148" s="526"/>
      <c r="O148" s="526"/>
      <c r="P148" s="526"/>
      <c r="Q148" s="526"/>
      <c r="R148" s="526"/>
      <c r="S148" s="526"/>
      <c r="T148" s="526"/>
      <c r="U148" s="526"/>
      <c r="V148" s="526"/>
      <c r="W148" s="526"/>
      <c r="X148" s="526"/>
      <c r="Y148" s="526"/>
    </row>
    <row r="149" spans="4:25">
      <c r="D149" s="526"/>
      <c r="E149" s="526"/>
      <c r="F149" s="526"/>
      <c r="G149" s="526"/>
      <c r="H149" s="526"/>
      <c r="I149" s="526"/>
      <c r="J149" s="526"/>
      <c r="K149" s="526"/>
      <c r="L149" s="526"/>
      <c r="M149" s="526"/>
      <c r="N149" s="526"/>
      <c r="O149" s="526"/>
      <c r="P149" s="526"/>
      <c r="Q149" s="526"/>
      <c r="R149" s="526"/>
      <c r="S149" s="526"/>
      <c r="T149" s="526"/>
      <c r="U149" s="526"/>
      <c r="V149" s="526"/>
      <c r="W149" s="526"/>
      <c r="X149" s="526"/>
      <c r="Y149" s="526"/>
    </row>
    <row r="150" spans="4:25">
      <c r="D150" s="526"/>
      <c r="E150" s="526"/>
      <c r="F150" s="526"/>
      <c r="G150" s="526"/>
      <c r="H150" s="526"/>
      <c r="I150" s="526"/>
      <c r="J150" s="526"/>
      <c r="K150" s="526"/>
      <c r="L150" s="526"/>
      <c r="M150" s="526"/>
      <c r="N150" s="526"/>
      <c r="O150" s="526"/>
      <c r="P150" s="526"/>
      <c r="Q150" s="526"/>
      <c r="R150" s="526"/>
      <c r="S150" s="526"/>
      <c r="T150" s="526"/>
      <c r="U150" s="526"/>
      <c r="V150" s="526"/>
      <c r="W150" s="526"/>
      <c r="X150" s="526"/>
      <c r="Y150" s="526"/>
    </row>
    <row r="151" spans="4:25">
      <c r="D151" s="526"/>
      <c r="E151" s="526"/>
      <c r="F151" s="526"/>
      <c r="G151" s="526"/>
      <c r="H151" s="526"/>
      <c r="I151" s="526"/>
      <c r="J151" s="526"/>
      <c r="K151" s="526"/>
      <c r="L151" s="526"/>
      <c r="M151" s="526"/>
      <c r="N151" s="526"/>
      <c r="O151" s="526"/>
      <c r="P151" s="526"/>
      <c r="Q151" s="526"/>
      <c r="R151" s="526"/>
      <c r="S151" s="526"/>
      <c r="T151" s="526"/>
      <c r="U151" s="526"/>
      <c r="V151" s="526"/>
      <c r="W151" s="526"/>
      <c r="X151" s="526"/>
      <c r="Y151" s="526"/>
    </row>
    <row r="152" spans="4:25">
      <c r="D152" s="526"/>
      <c r="E152" s="526"/>
      <c r="F152" s="526"/>
      <c r="G152" s="526"/>
      <c r="H152" s="526"/>
      <c r="I152" s="526"/>
      <c r="J152" s="526"/>
      <c r="K152" s="526"/>
      <c r="L152" s="526"/>
      <c r="M152" s="526"/>
      <c r="N152" s="526"/>
      <c r="O152" s="526"/>
      <c r="P152" s="526"/>
      <c r="Q152" s="526"/>
      <c r="R152" s="526"/>
      <c r="S152" s="526"/>
      <c r="T152" s="526"/>
      <c r="U152" s="526"/>
      <c r="V152" s="526"/>
      <c r="W152" s="526"/>
      <c r="X152" s="526"/>
      <c r="Y152" s="526"/>
    </row>
    <row r="153" spans="4:25">
      <c r="D153" s="526"/>
      <c r="E153" s="526"/>
      <c r="F153" s="526"/>
      <c r="G153" s="526"/>
      <c r="H153" s="526"/>
      <c r="I153" s="526"/>
      <c r="J153" s="526"/>
      <c r="K153" s="526"/>
      <c r="L153" s="526"/>
      <c r="M153" s="526"/>
      <c r="N153" s="526"/>
      <c r="O153" s="526"/>
      <c r="P153" s="526"/>
      <c r="Q153" s="526"/>
      <c r="R153" s="526"/>
      <c r="S153" s="526"/>
      <c r="T153" s="526"/>
      <c r="U153" s="526"/>
      <c r="V153" s="526"/>
      <c r="W153" s="526"/>
      <c r="X153" s="526"/>
      <c r="Y153" s="526"/>
    </row>
    <row r="154" spans="4:25">
      <c r="D154" s="526"/>
      <c r="E154" s="526"/>
      <c r="F154" s="526"/>
      <c r="G154" s="526"/>
      <c r="H154" s="526"/>
      <c r="I154" s="526"/>
      <c r="J154" s="526"/>
      <c r="K154" s="526"/>
      <c r="L154" s="526"/>
      <c r="M154" s="526"/>
      <c r="N154" s="526"/>
      <c r="O154" s="526"/>
      <c r="P154" s="526"/>
      <c r="Q154" s="526"/>
      <c r="R154" s="526"/>
      <c r="S154" s="526"/>
      <c r="T154" s="526"/>
      <c r="U154" s="526"/>
      <c r="V154" s="526"/>
      <c r="W154" s="526"/>
      <c r="X154" s="526"/>
      <c r="Y154" s="526"/>
    </row>
    <row r="155" spans="4:25">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row>
    <row r="156" spans="4:25">
      <c r="D156" s="526"/>
      <c r="E156" s="526"/>
      <c r="F156" s="526"/>
      <c r="G156" s="526"/>
      <c r="H156" s="526"/>
      <c r="I156" s="526"/>
      <c r="J156" s="526"/>
      <c r="K156" s="526"/>
      <c r="L156" s="526"/>
      <c r="M156" s="526"/>
      <c r="N156" s="526"/>
      <c r="O156" s="526"/>
      <c r="P156" s="526"/>
      <c r="Q156" s="526"/>
      <c r="R156" s="526"/>
      <c r="S156" s="526"/>
      <c r="T156" s="526"/>
      <c r="U156" s="526"/>
      <c r="V156" s="526"/>
      <c r="W156" s="526"/>
      <c r="X156" s="526"/>
      <c r="Y156" s="526"/>
    </row>
    <row r="157" spans="4:25">
      <c r="D157" s="526"/>
      <c r="E157" s="526"/>
      <c r="F157" s="526"/>
      <c r="G157" s="526"/>
      <c r="H157" s="526"/>
      <c r="I157" s="526"/>
      <c r="J157" s="526"/>
      <c r="K157" s="526"/>
      <c r="L157" s="526"/>
      <c r="M157" s="526"/>
      <c r="N157" s="526"/>
      <c r="O157" s="526"/>
      <c r="P157" s="526"/>
      <c r="Q157" s="526"/>
      <c r="R157" s="526"/>
      <c r="S157" s="526"/>
      <c r="T157" s="526"/>
      <c r="U157" s="526"/>
      <c r="V157" s="526"/>
      <c r="W157" s="526"/>
      <c r="X157" s="526"/>
      <c r="Y157" s="526"/>
    </row>
    <row r="158" spans="4:25">
      <c r="D158" s="526"/>
      <c r="E158" s="526"/>
      <c r="F158" s="526"/>
      <c r="G158" s="526"/>
      <c r="H158" s="526"/>
      <c r="I158" s="526"/>
      <c r="J158" s="526"/>
      <c r="K158" s="526"/>
      <c r="L158" s="526"/>
      <c r="M158" s="526"/>
      <c r="N158" s="526"/>
      <c r="O158" s="526"/>
      <c r="P158" s="526"/>
      <c r="Q158" s="526"/>
      <c r="R158" s="526"/>
      <c r="S158" s="526"/>
      <c r="T158" s="526"/>
      <c r="U158" s="526"/>
      <c r="V158" s="526"/>
      <c r="W158" s="526"/>
      <c r="X158" s="526"/>
      <c r="Y158" s="526"/>
    </row>
    <row r="159" spans="4:25">
      <c r="D159" s="526"/>
      <c r="E159" s="526"/>
      <c r="F159" s="526"/>
      <c r="G159" s="526"/>
      <c r="H159" s="526"/>
      <c r="I159" s="526"/>
      <c r="J159" s="526"/>
      <c r="K159" s="526"/>
      <c r="L159" s="526"/>
      <c r="M159" s="526"/>
      <c r="N159" s="526"/>
      <c r="O159" s="526"/>
      <c r="P159" s="526"/>
      <c r="Q159" s="526"/>
      <c r="R159" s="526"/>
      <c r="S159" s="526"/>
      <c r="T159" s="526"/>
      <c r="U159" s="526"/>
      <c r="V159" s="526"/>
      <c r="W159" s="526"/>
      <c r="X159" s="526"/>
      <c r="Y159" s="526"/>
    </row>
    <row r="160" spans="4:25">
      <c r="D160" s="526"/>
      <c r="E160" s="526"/>
      <c r="F160" s="526"/>
      <c r="G160" s="526"/>
      <c r="H160" s="526"/>
      <c r="I160" s="526"/>
      <c r="J160" s="526"/>
      <c r="K160" s="526"/>
      <c r="L160" s="526"/>
      <c r="M160" s="526"/>
      <c r="N160" s="526"/>
      <c r="O160" s="526"/>
      <c r="P160" s="526"/>
      <c r="Q160" s="526"/>
      <c r="R160" s="526"/>
      <c r="S160" s="526"/>
      <c r="T160" s="526"/>
      <c r="U160" s="526"/>
      <c r="V160" s="526"/>
      <c r="W160" s="526"/>
      <c r="X160" s="526"/>
      <c r="Y160" s="526"/>
    </row>
    <row r="161" spans="4:25">
      <c r="D161" s="526"/>
      <c r="E161" s="526"/>
      <c r="F161" s="526"/>
      <c r="G161" s="526"/>
      <c r="H161" s="526"/>
      <c r="I161" s="526"/>
      <c r="J161" s="526"/>
      <c r="K161" s="526"/>
      <c r="L161" s="526"/>
      <c r="M161" s="526"/>
      <c r="N161" s="526"/>
      <c r="O161" s="526"/>
      <c r="P161" s="526"/>
      <c r="Q161" s="526"/>
      <c r="R161" s="526"/>
      <c r="S161" s="526"/>
      <c r="T161" s="526"/>
      <c r="U161" s="526"/>
      <c r="V161" s="526"/>
      <c r="W161" s="526"/>
      <c r="X161" s="526"/>
      <c r="Y161" s="526"/>
    </row>
    <row r="162" spans="4:25">
      <c r="D162" s="526"/>
      <c r="E162" s="526"/>
      <c r="F162" s="526"/>
      <c r="G162" s="526"/>
      <c r="H162" s="526"/>
      <c r="I162" s="526"/>
      <c r="J162" s="526"/>
      <c r="K162" s="526"/>
      <c r="L162" s="526"/>
      <c r="M162" s="526"/>
      <c r="N162" s="526"/>
      <c r="O162" s="526"/>
      <c r="P162" s="526"/>
      <c r="Q162" s="526"/>
      <c r="R162" s="526"/>
      <c r="S162" s="526"/>
      <c r="T162" s="526"/>
      <c r="U162" s="526"/>
      <c r="V162" s="526"/>
      <c r="W162" s="526"/>
      <c r="X162" s="526"/>
      <c r="Y162" s="526"/>
    </row>
    <row r="163" spans="4:25">
      <c r="D163" s="526"/>
      <c r="E163" s="526"/>
      <c r="F163" s="526"/>
      <c r="G163" s="526"/>
      <c r="H163" s="526"/>
      <c r="I163" s="526"/>
      <c r="J163" s="526"/>
      <c r="K163" s="526"/>
      <c r="L163" s="526"/>
      <c r="M163" s="526"/>
      <c r="N163" s="526"/>
      <c r="O163" s="526"/>
      <c r="P163" s="526"/>
      <c r="Q163" s="526"/>
      <c r="R163" s="526"/>
      <c r="S163" s="526"/>
      <c r="T163" s="526"/>
      <c r="U163" s="526"/>
      <c r="V163" s="526"/>
      <c r="W163" s="526"/>
      <c r="X163" s="526"/>
      <c r="Y163" s="526"/>
    </row>
    <row r="164" spans="4:25">
      <c r="D164" s="526"/>
      <c r="E164" s="526"/>
      <c r="F164" s="526"/>
      <c r="G164" s="526"/>
      <c r="H164" s="526"/>
      <c r="I164" s="526"/>
      <c r="J164" s="526"/>
      <c r="K164" s="526"/>
      <c r="L164" s="526"/>
      <c r="M164" s="526"/>
      <c r="N164" s="526"/>
      <c r="O164" s="526"/>
      <c r="P164" s="526"/>
      <c r="Q164" s="526"/>
      <c r="R164" s="526"/>
      <c r="S164" s="526"/>
      <c r="T164" s="526"/>
      <c r="U164" s="526"/>
      <c r="V164" s="526"/>
      <c r="W164" s="526"/>
      <c r="X164" s="526"/>
      <c r="Y164" s="526"/>
    </row>
    <row r="165" spans="4:25">
      <c r="D165" s="526"/>
      <c r="E165" s="526"/>
      <c r="F165" s="526"/>
      <c r="G165" s="526"/>
      <c r="H165" s="526"/>
      <c r="I165" s="526"/>
      <c r="J165" s="526"/>
      <c r="K165" s="526"/>
      <c r="L165" s="526"/>
      <c r="M165" s="526"/>
      <c r="N165" s="526"/>
      <c r="O165" s="526"/>
      <c r="P165" s="526"/>
      <c r="Q165" s="526"/>
      <c r="R165" s="526"/>
      <c r="S165" s="526"/>
      <c r="T165" s="526"/>
      <c r="U165" s="526"/>
      <c r="V165" s="526"/>
      <c r="W165" s="526"/>
      <c r="X165" s="526"/>
      <c r="Y165" s="526"/>
    </row>
    <row r="166" spans="4:25">
      <c r="D166" s="526"/>
      <c r="E166" s="526"/>
      <c r="F166" s="526"/>
      <c r="G166" s="526"/>
      <c r="H166" s="526"/>
      <c r="I166" s="526"/>
      <c r="J166" s="526"/>
      <c r="K166" s="526"/>
      <c r="L166" s="526"/>
      <c r="M166" s="526"/>
      <c r="N166" s="526"/>
      <c r="O166" s="526"/>
      <c r="P166" s="526"/>
      <c r="Q166" s="526"/>
      <c r="R166" s="526"/>
      <c r="S166" s="526"/>
      <c r="T166" s="526"/>
      <c r="U166" s="526"/>
      <c r="V166" s="526"/>
      <c r="W166" s="526"/>
      <c r="X166" s="526"/>
      <c r="Y166" s="526"/>
    </row>
    <row r="167" spans="4:25">
      <c r="D167" s="526"/>
      <c r="E167" s="526"/>
      <c r="F167" s="526"/>
      <c r="G167" s="526"/>
      <c r="H167" s="526"/>
      <c r="I167" s="526"/>
      <c r="J167" s="526"/>
      <c r="K167" s="526"/>
      <c r="L167" s="526"/>
      <c r="M167" s="526"/>
      <c r="N167" s="526"/>
      <c r="O167" s="526"/>
      <c r="P167" s="526"/>
      <c r="Q167" s="526"/>
      <c r="R167" s="526"/>
      <c r="S167" s="526"/>
      <c r="T167" s="526"/>
      <c r="U167" s="526"/>
      <c r="V167" s="526"/>
      <c r="W167" s="526"/>
      <c r="X167" s="526"/>
      <c r="Y167" s="526"/>
    </row>
    <row r="168" spans="4:25">
      <c r="D168" s="526"/>
      <c r="E168" s="526"/>
      <c r="F168" s="526"/>
      <c r="G168" s="526"/>
      <c r="H168" s="526"/>
      <c r="I168" s="526"/>
      <c r="J168" s="526"/>
      <c r="K168" s="526"/>
      <c r="L168" s="526"/>
      <c r="M168" s="526"/>
      <c r="N168" s="526"/>
      <c r="O168" s="526"/>
      <c r="P168" s="526"/>
      <c r="Q168" s="526"/>
      <c r="R168" s="526"/>
      <c r="S168" s="526"/>
      <c r="T168" s="526"/>
      <c r="U168" s="526"/>
      <c r="V168" s="526"/>
      <c r="W168" s="526"/>
      <c r="X168" s="526"/>
      <c r="Y168" s="526"/>
    </row>
    <row r="169" spans="4:25">
      <c r="D169" s="526"/>
      <c r="E169" s="526"/>
      <c r="F169" s="526"/>
      <c r="G169" s="526"/>
      <c r="H169" s="526"/>
      <c r="I169" s="526"/>
      <c r="J169" s="526"/>
      <c r="K169" s="526"/>
      <c r="L169" s="526"/>
      <c r="M169" s="526"/>
      <c r="N169" s="526"/>
      <c r="O169" s="526"/>
      <c r="P169" s="526"/>
      <c r="Q169" s="526"/>
      <c r="R169" s="526"/>
      <c r="S169" s="526"/>
      <c r="T169" s="526"/>
      <c r="U169" s="526"/>
      <c r="V169" s="526"/>
      <c r="W169" s="526"/>
      <c r="X169" s="526"/>
      <c r="Y169" s="526"/>
    </row>
    <row r="170" spans="4:25">
      <c r="D170" s="526"/>
      <c r="E170" s="526"/>
      <c r="F170" s="526"/>
      <c r="G170" s="526"/>
      <c r="H170" s="526"/>
      <c r="I170" s="526"/>
      <c r="J170" s="526"/>
      <c r="K170" s="526"/>
      <c r="L170" s="526"/>
      <c r="M170" s="526"/>
      <c r="N170" s="526"/>
      <c r="O170" s="526"/>
      <c r="P170" s="526"/>
      <c r="Q170" s="526"/>
      <c r="R170" s="526"/>
      <c r="S170" s="526"/>
      <c r="T170" s="526"/>
      <c r="U170" s="526"/>
      <c r="V170" s="526"/>
      <c r="W170" s="526"/>
      <c r="X170" s="526"/>
      <c r="Y170" s="526"/>
    </row>
    <row r="171" spans="4:25">
      <c r="D171" s="526"/>
      <c r="E171" s="526"/>
      <c r="F171" s="526"/>
      <c r="G171" s="526"/>
      <c r="H171" s="526"/>
      <c r="I171" s="526"/>
      <c r="J171" s="526"/>
      <c r="K171" s="526"/>
      <c r="L171" s="526"/>
      <c r="M171" s="526"/>
      <c r="N171" s="526"/>
      <c r="O171" s="526"/>
      <c r="P171" s="526"/>
      <c r="Q171" s="526"/>
      <c r="R171" s="526"/>
      <c r="S171" s="526"/>
      <c r="T171" s="526"/>
      <c r="U171" s="526"/>
      <c r="V171" s="526"/>
      <c r="W171" s="526"/>
      <c r="X171" s="526"/>
      <c r="Y171" s="526"/>
    </row>
    <row r="172" spans="4:25">
      <c r="D172" s="526"/>
      <c r="E172" s="526"/>
      <c r="F172" s="526"/>
      <c r="G172" s="526"/>
      <c r="H172" s="526"/>
      <c r="I172" s="526"/>
      <c r="J172" s="526"/>
      <c r="K172" s="526"/>
      <c r="L172" s="526"/>
      <c r="M172" s="526"/>
      <c r="N172" s="526"/>
      <c r="O172" s="526"/>
      <c r="P172" s="526"/>
      <c r="Q172" s="526"/>
      <c r="R172" s="526"/>
      <c r="S172" s="526"/>
      <c r="T172" s="526"/>
      <c r="U172" s="526"/>
      <c r="V172" s="526"/>
      <c r="W172" s="526"/>
      <c r="X172" s="526"/>
      <c r="Y172" s="526"/>
    </row>
    <row r="173" spans="4:25">
      <c r="D173" s="526"/>
      <c r="E173" s="526"/>
      <c r="F173" s="526"/>
      <c r="G173" s="526"/>
      <c r="H173" s="526"/>
      <c r="I173" s="526"/>
      <c r="J173" s="526"/>
      <c r="K173" s="526"/>
      <c r="L173" s="526"/>
      <c r="M173" s="526"/>
      <c r="N173" s="526"/>
      <c r="O173" s="526"/>
      <c r="P173" s="526"/>
      <c r="Q173" s="526"/>
      <c r="R173" s="526"/>
      <c r="S173" s="526"/>
      <c r="T173" s="526"/>
      <c r="U173" s="526"/>
      <c r="V173" s="526"/>
      <c r="W173" s="526"/>
      <c r="X173" s="526"/>
      <c r="Y173" s="526"/>
    </row>
    <row r="174" spans="4:25">
      <c r="D174" s="526"/>
      <c r="E174" s="526"/>
      <c r="F174" s="526"/>
      <c r="G174" s="526"/>
      <c r="H174" s="526"/>
      <c r="I174" s="526"/>
      <c r="J174" s="526"/>
      <c r="K174" s="526"/>
      <c r="L174" s="526"/>
      <c r="M174" s="526"/>
      <c r="N174" s="526"/>
      <c r="O174" s="526"/>
      <c r="P174" s="526"/>
      <c r="Q174" s="526"/>
      <c r="R174" s="526"/>
      <c r="S174" s="526"/>
      <c r="T174" s="526"/>
      <c r="U174" s="526"/>
      <c r="V174" s="526"/>
      <c r="W174" s="526"/>
      <c r="X174" s="526"/>
      <c r="Y174" s="526"/>
    </row>
    <row r="175" spans="4:25">
      <c r="D175" s="526"/>
      <c r="E175" s="526"/>
      <c r="F175" s="526"/>
      <c r="G175" s="526"/>
      <c r="H175" s="526"/>
      <c r="I175" s="526"/>
      <c r="J175" s="526"/>
      <c r="K175" s="526"/>
      <c r="L175" s="526"/>
      <c r="M175" s="526"/>
      <c r="N175" s="526"/>
      <c r="O175" s="526"/>
      <c r="P175" s="526"/>
      <c r="Q175" s="526"/>
      <c r="R175" s="526"/>
      <c r="S175" s="526"/>
      <c r="T175" s="526"/>
      <c r="U175" s="526"/>
      <c r="V175" s="526"/>
      <c r="W175" s="526"/>
      <c r="X175" s="526"/>
      <c r="Y175" s="526"/>
    </row>
    <row r="176" spans="4:25">
      <c r="D176" s="526"/>
      <c r="E176" s="526"/>
      <c r="F176" s="526"/>
      <c r="G176" s="526"/>
      <c r="H176" s="526"/>
      <c r="I176" s="526"/>
      <c r="J176" s="526"/>
      <c r="K176" s="526"/>
      <c r="L176" s="526"/>
      <c r="M176" s="526"/>
      <c r="N176" s="526"/>
      <c r="O176" s="526"/>
      <c r="P176" s="526"/>
      <c r="Q176" s="526"/>
      <c r="R176" s="526"/>
      <c r="S176" s="526"/>
      <c r="T176" s="526"/>
      <c r="U176" s="526"/>
      <c r="V176" s="526"/>
      <c r="W176" s="526"/>
      <c r="X176" s="526"/>
      <c r="Y176" s="526"/>
    </row>
    <row r="177" spans="4:25">
      <c r="D177" s="526"/>
      <c r="E177" s="526"/>
      <c r="F177" s="526"/>
      <c r="G177" s="526"/>
      <c r="H177" s="526"/>
      <c r="I177" s="526"/>
      <c r="J177" s="526"/>
      <c r="K177" s="526"/>
      <c r="L177" s="526"/>
      <c r="M177" s="526"/>
      <c r="N177" s="526"/>
      <c r="O177" s="526"/>
      <c r="P177" s="526"/>
      <c r="Q177" s="526"/>
      <c r="R177" s="526"/>
      <c r="S177" s="526"/>
      <c r="T177" s="526"/>
      <c r="U177" s="526"/>
      <c r="V177" s="526"/>
      <c r="W177" s="526"/>
      <c r="X177" s="526"/>
      <c r="Y177" s="526"/>
    </row>
    <row r="178" spans="4:25">
      <c r="D178" s="526"/>
      <c r="E178" s="526"/>
      <c r="F178" s="526"/>
      <c r="G178" s="526"/>
      <c r="H178" s="526"/>
      <c r="I178" s="526"/>
      <c r="J178" s="526"/>
      <c r="K178" s="526"/>
      <c r="L178" s="526"/>
      <c r="M178" s="526"/>
      <c r="N178" s="526"/>
      <c r="O178" s="526"/>
      <c r="P178" s="526"/>
      <c r="Q178" s="526"/>
      <c r="R178" s="526"/>
      <c r="S178" s="526"/>
      <c r="T178" s="526"/>
      <c r="U178" s="526"/>
      <c r="V178" s="526"/>
      <c r="W178" s="526"/>
      <c r="X178" s="526"/>
      <c r="Y178" s="526"/>
    </row>
    <row r="179" spans="4:25">
      <c r="D179" s="526"/>
      <c r="E179" s="526"/>
      <c r="F179" s="526"/>
      <c r="G179" s="526"/>
      <c r="H179" s="526"/>
      <c r="I179" s="526"/>
      <c r="J179" s="526"/>
      <c r="K179" s="526"/>
      <c r="L179" s="526"/>
      <c r="M179" s="526"/>
      <c r="N179" s="526"/>
      <c r="O179" s="526"/>
      <c r="P179" s="526"/>
      <c r="Q179" s="526"/>
      <c r="R179" s="526"/>
      <c r="S179" s="526"/>
      <c r="T179" s="526"/>
      <c r="U179" s="526"/>
      <c r="V179" s="526"/>
      <c r="W179" s="526"/>
      <c r="X179" s="526"/>
      <c r="Y179" s="526"/>
    </row>
    <row r="180" spans="4:25">
      <c r="D180" s="526"/>
      <c r="E180" s="526"/>
      <c r="F180" s="526"/>
      <c r="G180" s="526"/>
      <c r="H180" s="526"/>
      <c r="I180" s="526"/>
      <c r="J180" s="526"/>
      <c r="K180" s="526"/>
      <c r="L180" s="526"/>
      <c r="M180" s="526"/>
      <c r="N180" s="526"/>
      <c r="O180" s="526"/>
      <c r="P180" s="526"/>
      <c r="Q180" s="526"/>
      <c r="R180" s="526"/>
      <c r="S180" s="526"/>
      <c r="T180" s="526"/>
      <c r="U180" s="526"/>
      <c r="V180" s="526"/>
      <c r="W180" s="526"/>
      <c r="X180" s="526"/>
      <c r="Y180" s="526"/>
    </row>
    <row r="181" spans="4:25">
      <c r="D181" s="526"/>
      <c r="E181" s="526"/>
      <c r="F181" s="526"/>
      <c r="G181" s="526"/>
      <c r="H181" s="526"/>
      <c r="I181" s="526"/>
      <c r="J181" s="526"/>
      <c r="K181" s="526"/>
      <c r="L181" s="526"/>
      <c r="M181" s="526"/>
      <c r="N181" s="526"/>
      <c r="O181" s="526"/>
      <c r="P181" s="526"/>
      <c r="Q181" s="526"/>
      <c r="R181" s="526"/>
      <c r="S181" s="526"/>
      <c r="T181" s="526"/>
      <c r="U181" s="526"/>
      <c r="V181" s="526"/>
      <c r="W181" s="526"/>
      <c r="X181" s="526"/>
      <c r="Y181" s="526"/>
    </row>
    <row r="182" spans="4:25">
      <c r="D182" s="526"/>
      <c r="E182" s="526"/>
      <c r="F182" s="526"/>
      <c r="G182" s="526"/>
      <c r="H182" s="526"/>
      <c r="I182" s="526"/>
      <c r="J182" s="526"/>
      <c r="K182" s="526"/>
      <c r="L182" s="526"/>
      <c r="M182" s="526"/>
      <c r="N182" s="526"/>
      <c r="O182" s="526"/>
      <c r="P182" s="526"/>
      <c r="Q182" s="526"/>
      <c r="R182" s="526"/>
      <c r="S182" s="526"/>
      <c r="T182" s="526"/>
      <c r="U182" s="526"/>
      <c r="V182" s="526"/>
      <c r="W182" s="526"/>
      <c r="X182" s="526"/>
      <c r="Y182" s="526"/>
    </row>
    <row r="183" spans="4:25">
      <c r="D183" s="526"/>
      <c r="E183" s="526"/>
      <c r="F183" s="526"/>
      <c r="G183" s="526"/>
      <c r="H183" s="526"/>
      <c r="I183" s="526"/>
      <c r="J183" s="526"/>
      <c r="K183" s="526"/>
      <c r="L183" s="526"/>
      <c r="M183" s="526"/>
      <c r="N183" s="526"/>
      <c r="O183" s="526"/>
      <c r="P183" s="526"/>
      <c r="Q183" s="526"/>
      <c r="R183" s="526"/>
      <c r="S183" s="526"/>
      <c r="T183" s="526"/>
      <c r="U183" s="526"/>
      <c r="V183" s="526"/>
      <c r="W183" s="526"/>
      <c r="X183" s="526"/>
      <c r="Y183" s="526"/>
    </row>
    <row r="184" spans="4:25">
      <c r="D184" s="526"/>
      <c r="E184" s="526"/>
      <c r="F184" s="526"/>
      <c r="G184" s="526"/>
      <c r="H184" s="526"/>
      <c r="I184" s="526"/>
      <c r="J184" s="526"/>
      <c r="K184" s="526"/>
      <c r="L184" s="526"/>
      <c r="M184" s="526"/>
      <c r="N184" s="526"/>
      <c r="O184" s="526"/>
      <c r="P184" s="526"/>
      <c r="Q184" s="526"/>
      <c r="R184" s="526"/>
      <c r="S184" s="526"/>
      <c r="T184" s="526"/>
      <c r="U184" s="526"/>
      <c r="V184" s="526"/>
      <c r="W184" s="526"/>
      <c r="X184" s="526"/>
      <c r="Y184" s="526"/>
    </row>
    <row r="185" spans="4:25">
      <c r="D185" s="526"/>
      <c r="E185" s="526"/>
      <c r="F185" s="526"/>
      <c r="G185" s="526"/>
      <c r="H185" s="526"/>
      <c r="I185" s="526"/>
      <c r="J185" s="526"/>
      <c r="K185" s="526"/>
      <c r="L185" s="526"/>
      <c r="M185" s="526"/>
      <c r="N185" s="526"/>
      <c r="O185" s="526"/>
      <c r="P185" s="526"/>
      <c r="Q185" s="526"/>
      <c r="R185" s="526"/>
      <c r="S185" s="526"/>
      <c r="T185" s="526"/>
      <c r="U185" s="526"/>
      <c r="V185" s="526"/>
      <c r="W185" s="526"/>
      <c r="X185" s="526"/>
      <c r="Y185" s="526"/>
    </row>
    <row r="186" spans="4:25">
      <c r="D186" s="526"/>
      <c r="E186" s="526"/>
      <c r="F186" s="526"/>
      <c r="G186" s="526"/>
      <c r="H186" s="526"/>
      <c r="I186" s="526"/>
      <c r="J186" s="526"/>
      <c r="K186" s="526"/>
      <c r="L186" s="526"/>
      <c r="M186" s="526"/>
      <c r="N186" s="526"/>
      <c r="O186" s="526"/>
      <c r="P186" s="526"/>
      <c r="Q186" s="526"/>
      <c r="R186" s="526"/>
      <c r="S186" s="526"/>
      <c r="T186" s="526"/>
      <c r="U186" s="526"/>
      <c r="V186" s="526"/>
      <c r="W186" s="526"/>
      <c r="X186" s="526"/>
      <c r="Y186" s="526"/>
    </row>
    <row r="187" spans="4:25">
      <c r="D187" s="526"/>
      <c r="E187" s="526"/>
      <c r="F187" s="526"/>
      <c r="G187" s="526"/>
      <c r="H187" s="526"/>
      <c r="I187" s="526"/>
      <c r="J187" s="526"/>
      <c r="K187" s="526"/>
      <c r="L187" s="526"/>
      <c r="M187" s="526"/>
      <c r="N187" s="526"/>
      <c r="O187" s="526"/>
      <c r="P187" s="526"/>
      <c r="Q187" s="526"/>
      <c r="R187" s="526"/>
      <c r="S187" s="526"/>
      <c r="T187" s="526"/>
      <c r="U187" s="526"/>
      <c r="V187" s="526"/>
      <c r="W187" s="526"/>
      <c r="X187" s="526"/>
      <c r="Y187" s="526"/>
    </row>
    <row r="188" spans="4:25">
      <c r="D188" s="526"/>
      <c r="E188" s="526"/>
      <c r="F188" s="526"/>
      <c r="G188" s="526"/>
      <c r="H188" s="526"/>
      <c r="I188" s="526"/>
      <c r="J188" s="526"/>
      <c r="K188" s="526"/>
      <c r="L188" s="526"/>
      <c r="M188" s="526"/>
      <c r="N188" s="526"/>
      <c r="O188" s="526"/>
      <c r="P188" s="526"/>
      <c r="Q188" s="526"/>
      <c r="R188" s="526"/>
      <c r="S188" s="526"/>
      <c r="T188" s="526"/>
      <c r="U188" s="526"/>
      <c r="V188" s="526"/>
      <c r="W188" s="526"/>
      <c r="X188" s="526"/>
      <c r="Y188" s="526"/>
    </row>
    <row r="189" spans="4:25">
      <c r="D189" s="526"/>
      <c r="E189" s="526"/>
      <c r="F189" s="526"/>
      <c r="G189" s="526"/>
      <c r="H189" s="526"/>
      <c r="I189" s="526"/>
      <c r="J189" s="526"/>
      <c r="K189" s="526"/>
      <c r="L189" s="526"/>
      <c r="M189" s="526"/>
      <c r="N189" s="526"/>
      <c r="O189" s="526"/>
      <c r="P189" s="526"/>
      <c r="Q189" s="526"/>
      <c r="R189" s="526"/>
      <c r="S189" s="526"/>
      <c r="T189" s="526"/>
      <c r="U189" s="526"/>
      <c r="V189" s="526"/>
      <c r="W189" s="526"/>
      <c r="X189" s="526"/>
      <c r="Y189" s="526"/>
    </row>
    <row r="190" spans="4:25">
      <c r="D190" s="526"/>
      <c r="E190" s="526"/>
      <c r="F190" s="526"/>
      <c r="G190" s="526"/>
      <c r="H190" s="526"/>
      <c r="I190" s="526"/>
      <c r="J190" s="526"/>
      <c r="K190" s="526"/>
      <c r="L190" s="526"/>
      <c r="M190" s="526"/>
      <c r="N190" s="526"/>
      <c r="O190" s="526"/>
      <c r="P190" s="526"/>
      <c r="Q190" s="526"/>
      <c r="R190" s="526"/>
      <c r="S190" s="526"/>
      <c r="T190" s="526"/>
      <c r="U190" s="526"/>
      <c r="V190" s="526"/>
      <c r="W190" s="526"/>
      <c r="X190" s="526"/>
      <c r="Y190" s="526"/>
    </row>
    <row r="191" spans="4:25">
      <c r="D191" s="526"/>
      <c r="E191" s="526"/>
      <c r="F191" s="526"/>
      <c r="G191" s="526"/>
      <c r="H191" s="526"/>
      <c r="I191" s="526"/>
      <c r="J191" s="526"/>
      <c r="K191" s="526"/>
      <c r="L191" s="526"/>
      <c r="M191" s="526"/>
      <c r="N191" s="526"/>
      <c r="O191" s="526"/>
      <c r="P191" s="526"/>
      <c r="Q191" s="526"/>
      <c r="R191" s="526"/>
      <c r="S191" s="526"/>
      <c r="T191" s="526"/>
      <c r="U191" s="526"/>
      <c r="V191" s="526"/>
      <c r="W191" s="526"/>
      <c r="X191" s="526"/>
      <c r="Y191" s="526"/>
    </row>
    <row r="192" spans="4:25">
      <c r="D192" s="526"/>
      <c r="E192" s="526"/>
      <c r="F192" s="526"/>
      <c r="G192" s="526"/>
      <c r="H192" s="526"/>
      <c r="I192" s="526"/>
      <c r="J192" s="526"/>
      <c r="K192" s="526"/>
      <c r="L192" s="526"/>
      <c r="M192" s="526"/>
      <c r="N192" s="526"/>
      <c r="O192" s="526"/>
      <c r="P192" s="526"/>
      <c r="Q192" s="526"/>
      <c r="R192" s="526"/>
      <c r="S192" s="526"/>
      <c r="T192" s="526"/>
      <c r="U192" s="526"/>
      <c r="V192" s="526"/>
      <c r="W192" s="526"/>
      <c r="X192" s="526"/>
      <c r="Y192" s="526"/>
    </row>
    <row r="193" spans="4:25">
      <c r="D193" s="526"/>
      <c r="E193" s="526"/>
      <c r="F193" s="526"/>
      <c r="G193" s="526"/>
      <c r="H193" s="526"/>
      <c r="I193" s="526"/>
      <c r="J193" s="526"/>
      <c r="K193" s="526"/>
      <c r="L193" s="526"/>
      <c r="M193" s="526"/>
      <c r="N193" s="526"/>
      <c r="O193" s="526"/>
      <c r="P193" s="526"/>
      <c r="Q193" s="526"/>
      <c r="R193" s="526"/>
      <c r="S193" s="526"/>
      <c r="T193" s="526"/>
      <c r="U193" s="526"/>
      <c r="V193" s="526"/>
      <c r="W193" s="526"/>
      <c r="X193" s="526"/>
      <c r="Y193" s="526"/>
    </row>
    <row r="194" spans="4:25">
      <c r="D194" s="526"/>
      <c r="E194" s="526"/>
      <c r="F194" s="526"/>
      <c r="G194" s="526"/>
      <c r="H194" s="526"/>
      <c r="I194" s="526"/>
      <c r="J194" s="526"/>
      <c r="K194" s="526"/>
      <c r="L194" s="526"/>
      <c r="M194" s="526"/>
      <c r="N194" s="526"/>
      <c r="O194" s="526"/>
      <c r="P194" s="526"/>
      <c r="Q194" s="526"/>
      <c r="R194" s="526"/>
      <c r="S194" s="526"/>
      <c r="T194" s="526"/>
      <c r="U194" s="526"/>
      <c r="V194" s="526"/>
      <c r="W194" s="526"/>
      <c r="X194" s="526"/>
      <c r="Y194" s="526"/>
    </row>
    <row r="195" spans="4:25">
      <c r="D195" s="526"/>
      <c r="E195" s="526"/>
      <c r="F195" s="526"/>
      <c r="G195" s="526"/>
      <c r="H195" s="526"/>
      <c r="I195" s="526"/>
      <c r="J195" s="526"/>
      <c r="K195" s="526"/>
      <c r="L195" s="526"/>
      <c r="M195" s="526"/>
      <c r="N195" s="526"/>
      <c r="O195" s="526"/>
      <c r="P195" s="526"/>
      <c r="Q195" s="526"/>
      <c r="R195" s="526"/>
      <c r="S195" s="526"/>
      <c r="T195" s="526"/>
      <c r="U195" s="526"/>
      <c r="V195" s="526"/>
      <c r="W195" s="526"/>
      <c r="X195" s="526"/>
      <c r="Y195" s="526"/>
    </row>
    <row r="196" spans="4:25">
      <c r="D196" s="526"/>
      <c r="E196" s="526"/>
      <c r="F196" s="526"/>
      <c r="G196" s="526"/>
      <c r="H196" s="526"/>
      <c r="I196" s="526"/>
      <c r="J196" s="526"/>
      <c r="K196" s="526"/>
      <c r="L196" s="526"/>
      <c r="M196" s="526"/>
      <c r="N196" s="526"/>
      <c r="O196" s="526"/>
      <c r="P196" s="526"/>
      <c r="Q196" s="526"/>
      <c r="R196" s="526"/>
      <c r="S196" s="526"/>
      <c r="T196" s="526"/>
      <c r="U196" s="526"/>
      <c r="V196" s="526"/>
      <c r="W196" s="526"/>
      <c r="X196" s="526"/>
      <c r="Y196" s="526"/>
    </row>
    <row r="197" spans="4:25">
      <c r="D197" s="526"/>
      <c r="E197" s="526"/>
      <c r="F197" s="526"/>
      <c r="G197" s="526"/>
      <c r="H197" s="526"/>
      <c r="I197" s="526"/>
      <c r="J197" s="526"/>
      <c r="K197" s="526"/>
      <c r="L197" s="526"/>
      <c r="M197" s="526"/>
      <c r="N197" s="526"/>
      <c r="O197" s="526"/>
      <c r="P197" s="526"/>
      <c r="Q197" s="526"/>
      <c r="R197" s="526"/>
      <c r="S197" s="526"/>
      <c r="T197" s="526"/>
      <c r="U197" s="526"/>
      <c r="V197" s="526"/>
      <c r="W197" s="526"/>
      <c r="X197" s="526"/>
      <c r="Y197" s="526"/>
    </row>
    <row r="198" spans="4:25">
      <c r="D198" s="526"/>
      <c r="E198" s="526"/>
      <c r="F198" s="526"/>
      <c r="G198" s="526"/>
      <c r="H198" s="526"/>
      <c r="I198" s="526"/>
      <c r="J198" s="526"/>
      <c r="K198" s="526"/>
      <c r="L198" s="526"/>
      <c r="M198" s="526"/>
      <c r="N198" s="526"/>
      <c r="O198" s="526"/>
      <c r="P198" s="526"/>
      <c r="Q198" s="526"/>
      <c r="R198" s="526"/>
      <c r="S198" s="526"/>
      <c r="T198" s="526"/>
      <c r="U198" s="526"/>
      <c r="V198" s="526"/>
      <c r="W198" s="526"/>
      <c r="X198" s="526"/>
      <c r="Y198" s="526"/>
    </row>
    <row r="199" spans="4:25">
      <c r="D199" s="526"/>
      <c r="E199" s="526"/>
      <c r="F199" s="526"/>
      <c r="G199" s="526"/>
      <c r="H199" s="526"/>
      <c r="I199" s="526"/>
      <c r="J199" s="526"/>
      <c r="K199" s="526"/>
      <c r="L199" s="526"/>
      <c r="M199" s="526"/>
      <c r="N199" s="526"/>
      <c r="O199" s="526"/>
      <c r="P199" s="526"/>
      <c r="Q199" s="526"/>
      <c r="R199" s="526"/>
      <c r="S199" s="526"/>
      <c r="T199" s="526"/>
      <c r="U199" s="526"/>
      <c r="V199" s="526"/>
      <c r="W199" s="526"/>
      <c r="X199" s="526"/>
      <c r="Y199" s="526"/>
    </row>
    <row r="200" spans="4:25">
      <c r="D200" s="526"/>
      <c r="E200" s="526"/>
      <c r="F200" s="526"/>
      <c r="G200" s="526"/>
      <c r="H200" s="526"/>
      <c r="I200" s="526"/>
      <c r="J200" s="526"/>
      <c r="K200" s="526"/>
      <c r="L200" s="526"/>
      <c r="M200" s="526"/>
      <c r="N200" s="526"/>
      <c r="O200" s="526"/>
      <c r="P200" s="526"/>
      <c r="Q200" s="526"/>
      <c r="R200" s="526"/>
      <c r="S200" s="526"/>
      <c r="T200" s="526"/>
      <c r="U200" s="526"/>
      <c r="V200" s="526"/>
      <c r="W200" s="526"/>
      <c r="X200" s="526"/>
      <c r="Y200" s="526"/>
    </row>
    <row r="201" spans="4:25">
      <c r="D201" s="526"/>
      <c r="E201" s="526"/>
      <c r="F201" s="526"/>
      <c r="G201" s="526"/>
      <c r="H201" s="526"/>
      <c r="I201" s="526"/>
      <c r="J201" s="526"/>
      <c r="K201" s="526"/>
      <c r="L201" s="526"/>
      <c r="M201" s="526"/>
      <c r="N201" s="526"/>
      <c r="O201" s="526"/>
      <c r="P201" s="526"/>
      <c r="Q201" s="526"/>
      <c r="R201" s="526"/>
      <c r="S201" s="526"/>
      <c r="T201" s="526"/>
      <c r="U201" s="526"/>
      <c r="V201" s="526"/>
      <c r="W201" s="526"/>
      <c r="X201" s="526"/>
      <c r="Y201" s="526"/>
    </row>
    <row r="202" spans="4:25">
      <c r="D202" s="526"/>
      <c r="E202" s="526"/>
      <c r="F202" s="526"/>
      <c r="G202" s="526"/>
      <c r="H202" s="526"/>
      <c r="I202" s="526"/>
      <c r="J202" s="526"/>
      <c r="K202" s="526"/>
      <c r="L202" s="526"/>
      <c r="M202" s="526"/>
      <c r="N202" s="526"/>
      <c r="O202" s="526"/>
      <c r="P202" s="526"/>
      <c r="Q202" s="526"/>
      <c r="R202" s="526"/>
      <c r="S202" s="526"/>
      <c r="T202" s="526"/>
      <c r="U202" s="526"/>
      <c r="V202" s="526"/>
      <c r="W202" s="526"/>
      <c r="X202" s="526"/>
      <c r="Y202" s="526"/>
    </row>
    <row r="203" spans="4:25">
      <c r="D203" s="526"/>
      <c r="E203" s="526"/>
      <c r="F203" s="526"/>
      <c r="G203" s="526"/>
      <c r="H203" s="526"/>
      <c r="I203" s="526"/>
      <c r="J203" s="526"/>
      <c r="K203" s="526"/>
      <c r="L203" s="526"/>
      <c r="M203" s="526"/>
      <c r="N203" s="526"/>
      <c r="O203" s="526"/>
      <c r="P203" s="526"/>
      <c r="Q203" s="526"/>
      <c r="R203" s="526"/>
      <c r="S203" s="526"/>
      <c r="T203" s="526"/>
      <c r="U203" s="526"/>
      <c r="V203" s="526"/>
      <c r="W203" s="526"/>
      <c r="X203" s="526"/>
      <c r="Y203" s="526"/>
    </row>
    <row r="204" spans="4:25">
      <c r="D204" s="526"/>
      <c r="E204" s="526"/>
      <c r="F204" s="526"/>
      <c r="G204" s="526"/>
      <c r="H204" s="526"/>
      <c r="I204" s="526"/>
      <c r="J204" s="526"/>
      <c r="K204" s="526"/>
      <c r="L204" s="526"/>
      <c r="M204" s="526"/>
      <c r="N204" s="526"/>
      <c r="O204" s="526"/>
      <c r="P204" s="526"/>
      <c r="Q204" s="526"/>
      <c r="R204" s="526"/>
      <c r="S204" s="526"/>
      <c r="T204" s="526"/>
      <c r="U204" s="526"/>
      <c r="V204" s="526"/>
      <c r="W204" s="526"/>
      <c r="X204" s="526"/>
      <c r="Y204" s="526"/>
    </row>
    <row r="205" spans="4:25">
      <c r="D205" s="526"/>
      <c r="E205" s="526"/>
      <c r="F205" s="526"/>
      <c r="G205" s="526"/>
      <c r="H205" s="526"/>
      <c r="I205" s="526"/>
      <c r="J205" s="526"/>
      <c r="K205" s="526"/>
      <c r="L205" s="526"/>
      <c r="M205" s="526"/>
      <c r="N205" s="526"/>
      <c r="O205" s="526"/>
      <c r="P205" s="526"/>
      <c r="Q205" s="526"/>
      <c r="R205" s="526"/>
      <c r="S205" s="526"/>
      <c r="T205" s="526"/>
      <c r="U205" s="526"/>
      <c r="V205" s="526"/>
      <c r="W205" s="526"/>
      <c r="X205" s="526"/>
      <c r="Y205" s="526"/>
    </row>
    <row r="206" spans="4:25">
      <c r="D206" s="526"/>
      <c r="E206" s="526"/>
      <c r="F206" s="526"/>
      <c r="G206" s="526"/>
      <c r="H206" s="526"/>
      <c r="I206" s="526"/>
      <c r="J206" s="526"/>
      <c r="K206" s="526"/>
      <c r="L206" s="526"/>
      <c r="M206" s="526"/>
      <c r="N206" s="526"/>
      <c r="O206" s="526"/>
      <c r="P206" s="526"/>
      <c r="Q206" s="526"/>
      <c r="R206" s="526"/>
      <c r="S206" s="526"/>
      <c r="T206" s="526"/>
      <c r="U206" s="526"/>
      <c r="V206" s="526"/>
      <c r="W206" s="526"/>
      <c r="X206" s="526"/>
      <c r="Y206" s="526"/>
    </row>
    <row r="207" spans="4:25">
      <c r="D207" s="526"/>
      <c r="E207" s="526"/>
      <c r="F207" s="526"/>
      <c r="G207" s="526"/>
      <c r="H207" s="526"/>
      <c r="I207" s="526"/>
      <c r="J207" s="526"/>
      <c r="K207" s="526"/>
      <c r="L207" s="526"/>
      <c r="M207" s="526"/>
      <c r="N207" s="526"/>
      <c r="O207" s="526"/>
      <c r="P207" s="526"/>
      <c r="Q207" s="526"/>
      <c r="R207" s="526"/>
      <c r="S207" s="526"/>
      <c r="T207" s="526"/>
      <c r="U207" s="526"/>
      <c r="V207" s="526"/>
      <c r="W207" s="526"/>
      <c r="X207" s="526"/>
      <c r="Y207" s="526"/>
    </row>
    <row r="208" spans="4:25">
      <c r="D208" s="526"/>
      <c r="E208" s="526"/>
      <c r="F208" s="526"/>
      <c r="G208" s="526"/>
      <c r="H208" s="526"/>
      <c r="I208" s="526"/>
      <c r="J208" s="526"/>
      <c r="K208" s="526"/>
      <c r="L208" s="526"/>
      <c r="M208" s="526"/>
      <c r="N208" s="526"/>
      <c r="O208" s="526"/>
      <c r="P208" s="526"/>
      <c r="Q208" s="526"/>
      <c r="R208" s="526"/>
      <c r="S208" s="526"/>
      <c r="T208" s="526"/>
      <c r="U208" s="526"/>
      <c r="V208" s="526"/>
      <c r="W208" s="526"/>
      <c r="X208" s="526"/>
      <c r="Y208" s="526"/>
    </row>
    <row r="209" spans="4:25">
      <c r="D209" s="526"/>
      <c r="E209" s="526"/>
      <c r="F209" s="526"/>
      <c r="G209" s="526"/>
      <c r="H209" s="526"/>
      <c r="I209" s="526"/>
      <c r="J209" s="526"/>
      <c r="K209" s="526"/>
      <c r="L209" s="526"/>
      <c r="M209" s="526"/>
      <c r="N209" s="526"/>
      <c r="O209" s="526"/>
      <c r="P209" s="526"/>
      <c r="Q209" s="526"/>
      <c r="R209" s="526"/>
      <c r="S209" s="526"/>
      <c r="T209" s="526"/>
      <c r="U209" s="526"/>
      <c r="V209" s="526"/>
      <c r="W209" s="526"/>
      <c r="X209" s="526"/>
      <c r="Y209" s="526"/>
    </row>
  </sheetData>
  <phoneticPr fontId="0" type="noConversion"/>
  <printOptions horizontalCentered="1" verticalCentered="1"/>
  <pageMargins left="0.51181102362204722" right="0.51181102362204722" top="0.51181102362204722" bottom="0.51181102362204722" header="0.51181102362204722" footer="0.51181102362204722"/>
  <pageSetup scale="88" orientation="portrait" blackAndWhite="1" horizontalDpi="300" verticalDpi="300"/>
  <headerFooter alignWithMargins="0">
    <oddHeader>&amp;C&amp;A</oddHeader>
    <oddFooter>&amp;CCia.Modelo -  EVA&amp;RPágina &amp;P</oddFooter>
  </headerFooter>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245"/>
  <sheetViews>
    <sheetView showGridLines="0" zoomScale="90" zoomScaleNormal="90" zoomScalePageLayoutView="90" workbookViewId="0">
      <pane ySplit="1" topLeftCell="A2" activePane="bottomLeft" state="frozen"/>
      <selection pane="bottomLeft" activeCell="L3" sqref="L3"/>
    </sheetView>
  </sheetViews>
  <sheetFormatPr baseColWidth="10" defaultRowHeight="15"/>
  <cols>
    <col min="2" max="2" width="10.6640625" style="291" customWidth="1"/>
    <col min="4" max="4" width="7.44140625" customWidth="1"/>
    <col min="5" max="5" width="12.33203125" customWidth="1"/>
    <col min="6" max="6" width="12.109375" customWidth="1"/>
  </cols>
  <sheetData>
    <row r="1" spans="2:7" ht="16.5" thickBot="1">
      <c r="B1" s="568" t="s">
        <v>319</v>
      </c>
      <c r="C1" s="569" t="s">
        <v>996</v>
      </c>
    </row>
    <row r="2" spans="2:7" ht="15.75" thickBot="1">
      <c r="B2" s="292">
        <v>41638</v>
      </c>
      <c r="C2" s="293">
        <v>1922.56</v>
      </c>
    </row>
    <row r="3" spans="2:7" ht="15.75" thickBot="1">
      <c r="B3" s="292">
        <v>41635</v>
      </c>
      <c r="C3" s="293">
        <v>1921.22</v>
      </c>
    </row>
    <row r="4" spans="2:7" ht="16.5" thickBot="1">
      <c r="B4" s="292">
        <v>41634</v>
      </c>
      <c r="C4" s="293">
        <v>1922.76</v>
      </c>
      <c r="E4" s="707" t="s">
        <v>997</v>
      </c>
      <c r="F4" s="708"/>
      <c r="G4" s="570">
        <f>+AVERAGE(C2:C245)</f>
        <v>1868.6615573770505</v>
      </c>
    </row>
    <row r="5" spans="2:7" ht="15.75" thickBot="1">
      <c r="B5" s="292">
        <v>41632</v>
      </c>
      <c r="C5" s="293">
        <v>1925.45</v>
      </c>
    </row>
    <row r="6" spans="2:7" ht="16.5" thickBot="1">
      <c r="B6" s="292">
        <v>41631</v>
      </c>
      <c r="C6" s="293">
        <v>1935.93</v>
      </c>
      <c r="E6" s="322" t="s">
        <v>999</v>
      </c>
    </row>
    <row r="7" spans="2:7" ht="15.75" thickBot="1">
      <c r="B7" s="292">
        <v>41628</v>
      </c>
      <c r="C7" s="293">
        <v>1943.46</v>
      </c>
    </row>
    <row r="8" spans="2:7" ht="15.75" thickBot="1">
      <c r="B8" s="292">
        <v>41627</v>
      </c>
      <c r="C8" s="293">
        <v>1945.6</v>
      </c>
    </row>
    <row r="9" spans="2:7" ht="15.75" thickBot="1">
      <c r="B9" s="292">
        <v>41626</v>
      </c>
      <c r="C9" s="293">
        <v>1936.14</v>
      </c>
    </row>
    <row r="10" spans="2:7" ht="15.75" thickBot="1">
      <c r="B10" s="292">
        <v>41625</v>
      </c>
      <c r="C10" s="293">
        <v>1934.95</v>
      </c>
    </row>
    <row r="11" spans="2:7" ht="15.75" thickBot="1">
      <c r="B11" s="292">
        <v>41624</v>
      </c>
      <c r="C11" s="293">
        <v>1930.87</v>
      </c>
    </row>
    <row r="12" spans="2:7" ht="15.75" thickBot="1">
      <c r="B12" s="292">
        <v>41621</v>
      </c>
      <c r="C12" s="293">
        <v>1935.89</v>
      </c>
    </row>
    <row r="13" spans="2:7" ht="15.75" thickBot="1">
      <c r="B13" s="292">
        <v>41620</v>
      </c>
      <c r="C13" s="293">
        <v>1935.61</v>
      </c>
    </row>
    <row r="14" spans="2:7" ht="15.75" thickBot="1">
      <c r="B14" s="292">
        <v>41619</v>
      </c>
      <c r="C14" s="293">
        <v>1933.52</v>
      </c>
    </row>
    <row r="15" spans="2:7" ht="15.75" thickBot="1">
      <c r="B15" s="292">
        <v>41618</v>
      </c>
      <c r="C15" s="293">
        <v>1932.71</v>
      </c>
    </row>
    <row r="16" spans="2:7" ht="15.75" thickBot="1">
      <c r="B16" s="292">
        <v>41617</v>
      </c>
      <c r="C16" s="293">
        <v>1936.33</v>
      </c>
    </row>
    <row r="17" spans="2:3" ht="15.75" thickBot="1">
      <c r="B17" s="292">
        <v>41614</v>
      </c>
      <c r="C17" s="293">
        <v>1940.26</v>
      </c>
    </row>
    <row r="18" spans="2:3" ht="15.75" thickBot="1">
      <c r="B18" s="292">
        <v>41613</v>
      </c>
      <c r="C18" s="293">
        <v>1948.48</v>
      </c>
    </row>
    <row r="19" spans="2:3" ht="15.75" thickBot="1">
      <c r="B19" s="292">
        <v>41612</v>
      </c>
      <c r="C19" s="293">
        <v>1941.01</v>
      </c>
    </row>
    <row r="20" spans="2:3" ht="15.75" thickBot="1">
      <c r="B20" s="292">
        <v>41611</v>
      </c>
      <c r="C20" s="293">
        <v>1934.16</v>
      </c>
    </row>
    <row r="21" spans="2:3" ht="15.75" thickBot="1">
      <c r="B21" s="292">
        <v>41610</v>
      </c>
      <c r="C21" s="293">
        <v>1931.88</v>
      </c>
    </row>
    <row r="22" spans="2:3" ht="15.75" thickBot="1">
      <c r="B22" s="292">
        <v>41607</v>
      </c>
      <c r="C22" s="293">
        <v>1928.25</v>
      </c>
    </row>
    <row r="23" spans="2:3" ht="15.75" thickBot="1">
      <c r="B23" s="292">
        <v>41606</v>
      </c>
      <c r="C23" s="293">
        <v>1928.25</v>
      </c>
    </row>
    <row r="24" spans="2:3" ht="15.75" thickBot="1">
      <c r="B24" s="292">
        <v>41605</v>
      </c>
      <c r="C24" s="293">
        <v>1926.74</v>
      </c>
    </row>
    <row r="25" spans="2:3" ht="15.75" thickBot="1">
      <c r="B25" s="292">
        <v>41604</v>
      </c>
      <c r="C25" s="293">
        <v>1926.99</v>
      </c>
    </row>
    <row r="26" spans="2:3" ht="15.75" thickBot="1">
      <c r="B26" s="292">
        <v>41603</v>
      </c>
      <c r="C26" s="293">
        <v>1929.13</v>
      </c>
    </row>
    <row r="27" spans="2:3" ht="15.75" thickBot="1">
      <c r="B27" s="292">
        <v>41600</v>
      </c>
      <c r="C27" s="293">
        <v>1932.42</v>
      </c>
    </row>
    <row r="28" spans="2:3" ht="15.75" thickBot="1">
      <c r="B28" s="292">
        <v>41599</v>
      </c>
      <c r="C28" s="293">
        <v>1923.19</v>
      </c>
    </row>
    <row r="29" spans="2:3" ht="15.75" thickBot="1">
      <c r="B29" s="292">
        <v>41598</v>
      </c>
      <c r="C29" s="293">
        <v>1919.2</v>
      </c>
    </row>
    <row r="30" spans="2:3" ht="15.75" thickBot="1">
      <c r="B30" s="292">
        <v>41597</v>
      </c>
      <c r="C30" s="293">
        <v>1915.37</v>
      </c>
    </row>
    <row r="31" spans="2:3" ht="15.75" thickBot="1">
      <c r="B31" s="292">
        <v>41596</v>
      </c>
      <c r="C31" s="293">
        <v>1919.89</v>
      </c>
    </row>
    <row r="32" spans="2:3" ht="15.75" thickBot="1">
      <c r="B32" s="292">
        <v>41593</v>
      </c>
      <c r="C32" s="293">
        <v>1929.24</v>
      </c>
    </row>
    <row r="33" spans="2:3" ht="15.75" thickBot="1">
      <c r="B33" s="292">
        <v>41592</v>
      </c>
      <c r="C33" s="293">
        <v>1932.03</v>
      </c>
    </row>
    <row r="34" spans="2:3" ht="15.75" thickBot="1">
      <c r="B34" s="292">
        <v>41591</v>
      </c>
      <c r="C34" s="293">
        <v>1928.96</v>
      </c>
    </row>
    <row r="35" spans="2:3" ht="15.75" thickBot="1">
      <c r="B35" s="292">
        <v>41590</v>
      </c>
      <c r="C35" s="293">
        <v>1932.77</v>
      </c>
    </row>
    <row r="36" spans="2:3" ht="15.75" thickBot="1">
      <c r="B36" s="292">
        <v>41586</v>
      </c>
      <c r="C36" s="293">
        <v>1924.87</v>
      </c>
    </row>
    <row r="37" spans="2:3" ht="15.75" thickBot="1">
      <c r="B37" s="292">
        <v>41585</v>
      </c>
      <c r="C37" s="293">
        <v>1916.8</v>
      </c>
    </row>
    <row r="38" spans="2:3" ht="15.75" thickBot="1">
      <c r="B38" s="292">
        <v>41584</v>
      </c>
      <c r="C38" s="293">
        <v>1916.22</v>
      </c>
    </row>
    <row r="39" spans="2:3" ht="15.75" thickBot="1">
      <c r="B39" s="292">
        <v>41583</v>
      </c>
      <c r="C39" s="293">
        <v>1901.22</v>
      </c>
    </row>
    <row r="40" spans="2:3" ht="15.75" thickBot="1">
      <c r="B40" s="292">
        <v>41579</v>
      </c>
      <c r="C40" s="293">
        <v>1889.16</v>
      </c>
    </row>
    <row r="41" spans="2:3" ht="15.75" thickBot="1">
      <c r="B41" s="292">
        <v>41578</v>
      </c>
      <c r="C41" s="293">
        <v>1884.06</v>
      </c>
    </row>
    <row r="42" spans="2:3" ht="15.75" thickBot="1">
      <c r="B42" s="292">
        <v>41577</v>
      </c>
      <c r="C42" s="293">
        <v>1883.42</v>
      </c>
    </row>
    <row r="43" spans="2:3" ht="15.75" thickBot="1">
      <c r="B43" s="292">
        <v>41576</v>
      </c>
      <c r="C43" s="293">
        <v>1884.43</v>
      </c>
    </row>
    <row r="44" spans="2:3" ht="15.75" thickBot="1">
      <c r="B44" s="292">
        <v>41575</v>
      </c>
      <c r="C44" s="293">
        <v>1882.34</v>
      </c>
    </row>
    <row r="45" spans="2:3" ht="15.75" thickBot="1">
      <c r="B45" s="292">
        <v>41572</v>
      </c>
      <c r="C45" s="293">
        <v>1882.11</v>
      </c>
    </row>
    <row r="46" spans="2:3" ht="15.75" thickBot="1">
      <c r="B46" s="292">
        <v>41571</v>
      </c>
      <c r="C46" s="293">
        <v>1883.14</v>
      </c>
    </row>
    <row r="47" spans="2:3" ht="15.75" thickBot="1">
      <c r="B47" s="292">
        <v>41570</v>
      </c>
      <c r="C47" s="293">
        <v>1879.46</v>
      </c>
    </row>
    <row r="48" spans="2:3" ht="15.75" thickBot="1">
      <c r="B48" s="292">
        <v>41569</v>
      </c>
      <c r="C48" s="293">
        <v>1885.52</v>
      </c>
    </row>
    <row r="49" spans="2:3" ht="15.75" thickBot="1">
      <c r="B49" s="292">
        <v>41568</v>
      </c>
      <c r="C49" s="293">
        <v>1879.88</v>
      </c>
    </row>
    <row r="50" spans="2:3" ht="15.75" thickBot="1">
      <c r="B50" s="292">
        <v>41565</v>
      </c>
      <c r="C50" s="293">
        <v>1879.48</v>
      </c>
    </row>
    <row r="51" spans="2:3" ht="15.75" thickBot="1">
      <c r="B51" s="292">
        <v>41564</v>
      </c>
      <c r="C51" s="293">
        <v>1880.91</v>
      </c>
    </row>
    <row r="52" spans="2:3" ht="15.75" thickBot="1">
      <c r="B52" s="292">
        <v>41563</v>
      </c>
      <c r="C52" s="293">
        <v>1883.7</v>
      </c>
    </row>
    <row r="53" spans="2:3" ht="15.75" thickBot="1">
      <c r="B53" s="292">
        <v>41562</v>
      </c>
      <c r="C53" s="293">
        <v>1883.65</v>
      </c>
    </row>
    <row r="54" spans="2:3" ht="15.75" thickBot="1">
      <c r="B54" s="292">
        <v>41558</v>
      </c>
      <c r="C54" s="293">
        <v>1885.84</v>
      </c>
    </row>
    <row r="55" spans="2:3" ht="15.75" thickBot="1">
      <c r="B55" s="292">
        <v>41557</v>
      </c>
      <c r="C55" s="293">
        <v>1894.06</v>
      </c>
    </row>
    <row r="56" spans="2:3" ht="15.75" thickBot="1">
      <c r="B56" s="292">
        <v>41556</v>
      </c>
      <c r="C56" s="293">
        <v>1889.17</v>
      </c>
    </row>
    <row r="57" spans="2:3" ht="15.75" thickBot="1">
      <c r="B57" s="292">
        <v>41555</v>
      </c>
      <c r="C57" s="293">
        <v>1885.19</v>
      </c>
    </row>
    <row r="58" spans="2:3" ht="15.75" thickBot="1">
      <c r="B58" s="292">
        <v>41554</v>
      </c>
      <c r="C58" s="293">
        <v>1886.78</v>
      </c>
    </row>
    <row r="59" spans="2:3" ht="15.75" thickBot="1">
      <c r="B59" s="292">
        <v>41551</v>
      </c>
      <c r="C59" s="293">
        <v>1889.95</v>
      </c>
    </row>
    <row r="60" spans="2:3" ht="15.75" thickBot="1">
      <c r="B60" s="292">
        <v>41550</v>
      </c>
      <c r="C60" s="293">
        <v>1884.97</v>
      </c>
    </row>
    <row r="61" spans="2:3" ht="15.75" thickBot="1">
      <c r="B61" s="292">
        <v>41549</v>
      </c>
      <c r="C61" s="293">
        <v>1893.77</v>
      </c>
    </row>
    <row r="62" spans="2:3" ht="15.75" thickBot="1">
      <c r="B62" s="292">
        <v>41548</v>
      </c>
      <c r="C62" s="293">
        <v>1908.29</v>
      </c>
    </row>
    <row r="63" spans="2:3" ht="15.75" thickBot="1">
      <c r="B63" s="292">
        <v>41547</v>
      </c>
      <c r="C63" s="293">
        <v>1914.65</v>
      </c>
    </row>
    <row r="64" spans="2:3" ht="15.75" thickBot="1">
      <c r="B64" s="292">
        <v>41544</v>
      </c>
      <c r="C64" s="293">
        <v>1899.1</v>
      </c>
    </row>
    <row r="65" spans="2:3" ht="15.75" thickBot="1">
      <c r="B65" s="292">
        <v>41543</v>
      </c>
      <c r="C65" s="293">
        <v>1893.42</v>
      </c>
    </row>
    <row r="66" spans="2:3" ht="15.75" thickBot="1">
      <c r="B66" s="292">
        <v>41542</v>
      </c>
      <c r="C66" s="293">
        <v>1888.14</v>
      </c>
    </row>
    <row r="67" spans="2:3" ht="15.75" thickBot="1">
      <c r="B67" s="292">
        <v>41541</v>
      </c>
      <c r="C67" s="293">
        <v>1892.89</v>
      </c>
    </row>
    <row r="68" spans="2:3" ht="15.75" thickBot="1">
      <c r="B68" s="292">
        <v>41540</v>
      </c>
      <c r="C68" s="293">
        <v>1889.12</v>
      </c>
    </row>
    <row r="69" spans="2:3" ht="15.75" thickBot="1">
      <c r="B69" s="292">
        <v>41537</v>
      </c>
      <c r="C69" s="293">
        <v>1887.3</v>
      </c>
    </row>
    <row r="70" spans="2:3" ht="15.75" thickBot="1">
      <c r="B70" s="292">
        <v>41536</v>
      </c>
      <c r="C70" s="293">
        <v>1911.3</v>
      </c>
    </row>
    <row r="71" spans="2:3" ht="15.75" thickBot="1">
      <c r="B71" s="292">
        <v>41535</v>
      </c>
      <c r="C71" s="293">
        <v>1914.12</v>
      </c>
    </row>
    <row r="72" spans="2:3" ht="15.75" thickBot="1">
      <c r="B72" s="292">
        <v>41534</v>
      </c>
      <c r="C72" s="293">
        <v>1917.03</v>
      </c>
    </row>
    <row r="73" spans="2:3" ht="15.75" thickBot="1">
      <c r="B73" s="292">
        <v>41533</v>
      </c>
      <c r="C73" s="293">
        <v>1919.54</v>
      </c>
    </row>
    <row r="74" spans="2:3" ht="15.75" thickBot="1">
      <c r="B74" s="292">
        <v>41530</v>
      </c>
      <c r="C74" s="293">
        <v>1919.25</v>
      </c>
    </row>
    <row r="75" spans="2:3" ht="15.75" thickBot="1">
      <c r="B75" s="292">
        <v>41529</v>
      </c>
      <c r="C75" s="293">
        <v>1923.64</v>
      </c>
    </row>
    <row r="76" spans="2:3" ht="15.75" thickBot="1">
      <c r="B76" s="292">
        <v>41528</v>
      </c>
      <c r="C76" s="293">
        <v>1935.55</v>
      </c>
    </row>
    <row r="77" spans="2:3" ht="15.75" thickBot="1">
      <c r="B77" s="292">
        <v>41527</v>
      </c>
      <c r="C77" s="293">
        <v>1946.06</v>
      </c>
    </row>
    <row r="78" spans="2:3" ht="15.75" thickBot="1">
      <c r="B78" s="292">
        <v>41526</v>
      </c>
      <c r="C78" s="293">
        <v>1947.99</v>
      </c>
    </row>
    <row r="79" spans="2:3" ht="15.75" thickBot="1">
      <c r="B79" s="292">
        <v>41523</v>
      </c>
      <c r="C79" s="293">
        <v>1952.11</v>
      </c>
    </row>
    <row r="80" spans="2:3" ht="15.75" thickBot="1">
      <c r="B80" s="292">
        <v>41522</v>
      </c>
      <c r="C80" s="293">
        <v>1938.99</v>
      </c>
    </row>
    <row r="81" spans="2:3" ht="15.75" thickBot="1">
      <c r="B81" s="292">
        <v>41521</v>
      </c>
      <c r="C81" s="293">
        <v>1946.28</v>
      </c>
    </row>
    <row r="82" spans="2:3" ht="15.75" thickBot="1">
      <c r="B82" s="292">
        <v>41520</v>
      </c>
      <c r="C82" s="293">
        <v>1935.43</v>
      </c>
    </row>
    <row r="83" spans="2:3" ht="15.75" thickBot="1">
      <c r="B83" s="292">
        <v>41519</v>
      </c>
      <c r="C83" s="293">
        <v>1935.43</v>
      </c>
    </row>
    <row r="84" spans="2:3" ht="15.75" thickBot="1">
      <c r="B84" s="292">
        <v>41516</v>
      </c>
      <c r="C84" s="293">
        <v>1943.04</v>
      </c>
    </row>
    <row r="85" spans="2:3" ht="15.75" thickBot="1">
      <c r="B85" s="292">
        <v>41515</v>
      </c>
      <c r="C85" s="293">
        <v>1939.85</v>
      </c>
    </row>
    <row r="86" spans="2:3" ht="15.75" thickBot="1">
      <c r="B86" s="292">
        <v>41514</v>
      </c>
      <c r="C86" s="293">
        <v>1938.26</v>
      </c>
    </row>
    <row r="87" spans="2:3" ht="15.75" thickBot="1">
      <c r="B87" s="292">
        <v>41513</v>
      </c>
      <c r="C87" s="293">
        <v>1922.96</v>
      </c>
    </row>
    <row r="88" spans="2:3" ht="15.75" thickBot="1">
      <c r="B88" s="292">
        <v>41512</v>
      </c>
      <c r="C88" s="293">
        <v>1911.16</v>
      </c>
    </row>
    <row r="89" spans="2:3" ht="15.75" thickBot="1">
      <c r="B89" s="292">
        <v>41509</v>
      </c>
      <c r="C89" s="293">
        <v>1921.99</v>
      </c>
    </row>
    <row r="90" spans="2:3" ht="15.75" thickBot="1">
      <c r="B90" s="292">
        <v>41508</v>
      </c>
      <c r="C90" s="293">
        <v>1929.75</v>
      </c>
    </row>
    <row r="91" spans="2:3" ht="15.75" thickBot="1">
      <c r="B91" s="292">
        <v>41507</v>
      </c>
      <c r="C91" s="293">
        <v>1922.73</v>
      </c>
    </row>
    <row r="92" spans="2:3" ht="15.75" thickBot="1">
      <c r="B92" s="292">
        <v>41506</v>
      </c>
      <c r="C92" s="293">
        <v>1907.06</v>
      </c>
    </row>
    <row r="93" spans="2:3" ht="15.75" thickBot="1">
      <c r="B93" s="292">
        <v>41502</v>
      </c>
      <c r="C93" s="293">
        <v>1901.03</v>
      </c>
    </row>
    <row r="94" spans="2:3" ht="15.75" thickBot="1">
      <c r="B94" s="292">
        <v>41501</v>
      </c>
      <c r="C94" s="293">
        <v>1883.15</v>
      </c>
    </row>
    <row r="95" spans="2:3" ht="15.75" thickBot="1">
      <c r="B95" s="292">
        <v>41500</v>
      </c>
      <c r="C95" s="293">
        <v>1882.36</v>
      </c>
    </row>
    <row r="96" spans="2:3" ht="15.75" thickBot="1">
      <c r="B96" s="292">
        <v>41499</v>
      </c>
      <c r="C96" s="293">
        <v>1868.9</v>
      </c>
    </row>
    <row r="97" spans="2:3" ht="15.75" thickBot="1">
      <c r="B97" s="292">
        <v>41498</v>
      </c>
      <c r="C97" s="293">
        <v>1873.92</v>
      </c>
    </row>
    <row r="98" spans="2:3" ht="15.75" thickBot="1">
      <c r="B98" s="292">
        <v>41495</v>
      </c>
      <c r="C98" s="293">
        <v>1877.23</v>
      </c>
    </row>
    <row r="99" spans="2:3" ht="15.75" thickBot="1">
      <c r="B99" s="292">
        <v>41494</v>
      </c>
      <c r="C99" s="293">
        <v>1882.01</v>
      </c>
    </row>
    <row r="100" spans="2:3" ht="15.75" thickBot="1">
      <c r="B100" s="292">
        <v>41492</v>
      </c>
      <c r="C100" s="293">
        <v>1883.24</v>
      </c>
    </row>
    <row r="101" spans="2:3" ht="15.75" thickBot="1">
      <c r="B101" s="292">
        <v>41491</v>
      </c>
      <c r="C101" s="293">
        <v>1891.67</v>
      </c>
    </row>
    <row r="102" spans="2:3" ht="15.75" thickBot="1">
      <c r="B102" s="292">
        <v>41488</v>
      </c>
      <c r="C102" s="293">
        <v>1896.65</v>
      </c>
    </row>
    <row r="103" spans="2:3" ht="15.75" thickBot="1">
      <c r="B103" s="292">
        <v>41487</v>
      </c>
      <c r="C103" s="293">
        <v>1896.15</v>
      </c>
    </row>
    <row r="104" spans="2:3" ht="15.75" thickBot="1">
      <c r="B104" s="292">
        <v>41486</v>
      </c>
      <c r="C104" s="293">
        <v>1890.33</v>
      </c>
    </row>
    <row r="105" spans="2:3" ht="15.75" thickBot="1">
      <c r="B105" s="292">
        <v>41485</v>
      </c>
      <c r="C105" s="293">
        <v>1888.95</v>
      </c>
    </row>
    <row r="106" spans="2:3" ht="15.75" thickBot="1">
      <c r="B106" s="292">
        <v>41484</v>
      </c>
      <c r="C106" s="293">
        <v>1886.26</v>
      </c>
    </row>
    <row r="107" spans="2:3" ht="15.75" thickBot="1">
      <c r="B107" s="292">
        <v>41481</v>
      </c>
      <c r="C107" s="293">
        <v>1887.4</v>
      </c>
    </row>
    <row r="108" spans="2:3" ht="15.75" thickBot="1">
      <c r="B108" s="292">
        <v>41480</v>
      </c>
      <c r="C108" s="293">
        <v>1891.02</v>
      </c>
    </row>
    <row r="109" spans="2:3" ht="15.75" thickBot="1">
      <c r="B109" s="292">
        <v>41479</v>
      </c>
      <c r="C109" s="293">
        <v>1886.06</v>
      </c>
    </row>
    <row r="110" spans="2:3" ht="15.75" thickBot="1">
      <c r="B110" s="292">
        <v>41478</v>
      </c>
      <c r="C110" s="293">
        <v>1880.87</v>
      </c>
    </row>
    <row r="111" spans="2:3" ht="15.75" thickBot="1">
      <c r="B111" s="292">
        <v>41477</v>
      </c>
      <c r="C111" s="293">
        <v>1884.01</v>
      </c>
    </row>
    <row r="112" spans="2:3" ht="15.75" thickBot="1">
      <c r="B112" s="292">
        <v>41474</v>
      </c>
      <c r="C112" s="293">
        <v>1883.29</v>
      </c>
    </row>
    <row r="113" spans="2:3" ht="15.75" thickBot="1">
      <c r="B113" s="292">
        <v>41473</v>
      </c>
      <c r="C113" s="293">
        <v>1873.25</v>
      </c>
    </row>
    <row r="114" spans="2:3" ht="15.75" thickBot="1">
      <c r="B114" s="292">
        <v>41472</v>
      </c>
      <c r="C114" s="293">
        <v>1878.42</v>
      </c>
    </row>
    <row r="115" spans="2:3" ht="15.75" thickBot="1">
      <c r="B115" s="292">
        <v>41471</v>
      </c>
      <c r="C115" s="293">
        <v>1893.16</v>
      </c>
    </row>
    <row r="116" spans="2:3" ht="15.75" thickBot="1">
      <c r="B116" s="292">
        <v>41470</v>
      </c>
      <c r="C116" s="293">
        <v>1905.25</v>
      </c>
    </row>
    <row r="117" spans="2:3" ht="15.75" thickBot="1">
      <c r="B117" s="292">
        <v>41467</v>
      </c>
      <c r="C117" s="293">
        <v>1910.79</v>
      </c>
    </row>
    <row r="118" spans="2:3" ht="15.75" thickBot="1">
      <c r="B118" s="292">
        <v>41466</v>
      </c>
      <c r="C118" s="293">
        <v>1920.24</v>
      </c>
    </row>
    <row r="119" spans="2:3" ht="15.75" thickBot="1">
      <c r="B119" s="292">
        <v>41465</v>
      </c>
      <c r="C119" s="293">
        <v>1920.12</v>
      </c>
    </row>
    <row r="120" spans="2:3" ht="15.75" thickBot="1">
      <c r="B120" s="292">
        <v>41464</v>
      </c>
      <c r="C120" s="293">
        <v>1926.84</v>
      </c>
    </row>
    <row r="121" spans="2:3" ht="15.75" thickBot="1">
      <c r="B121" s="292">
        <v>41463</v>
      </c>
      <c r="C121" s="293">
        <v>1927.4</v>
      </c>
    </row>
    <row r="122" spans="2:3" ht="15.75" thickBot="1">
      <c r="B122" s="292">
        <v>41460</v>
      </c>
      <c r="C122" s="293">
        <v>1915.45</v>
      </c>
    </row>
    <row r="123" spans="2:3" ht="15.75" thickBot="1">
      <c r="B123" s="292">
        <v>41459</v>
      </c>
      <c r="C123" s="293">
        <v>1915.45</v>
      </c>
    </row>
    <row r="124" spans="2:3" ht="15.75" thickBot="1">
      <c r="B124" s="292">
        <v>41458</v>
      </c>
      <c r="C124" s="293">
        <v>1919.42</v>
      </c>
    </row>
    <row r="125" spans="2:3" ht="15.75" thickBot="1">
      <c r="B125" s="292">
        <v>41457</v>
      </c>
      <c r="C125" s="293">
        <v>1929</v>
      </c>
    </row>
    <row r="126" spans="2:3" ht="15.75" thickBot="1">
      <c r="B126" s="292">
        <v>41453</v>
      </c>
      <c r="C126" s="293">
        <v>1922.63</v>
      </c>
    </row>
    <row r="127" spans="2:3" ht="15.75" thickBot="1">
      <c r="B127" s="292">
        <v>41452</v>
      </c>
      <c r="C127" s="293">
        <v>1921.86</v>
      </c>
    </row>
    <row r="128" spans="2:3" ht="15.75" thickBot="1">
      <c r="B128" s="292">
        <v>41451</v>
      </c>
      <c r="C128" s="293">
        <v>1928.27</v>
      </c>
    </row>
    <row r="129" spans="2:3" ht="15.75" thickBot="1">
      <c r="B129" s="292">
        <v>41450</v>
      </c>
      <c r="C129" s="293">
        <v>1942.97</v>
      </c>
    </row>
    <row r="130" spans="2:3" ht="15.75" thickBot="1">
      <c r="B130" s="292">
        <v>41449</v>
      </c>
      <c r="C130" s="293">
        <v>1941.06</v>
      </c>
    </row>
    <row r="131" spans="2:3" ht="15.75" thickBot="1">
      <c r="B131" s="292">
        <v>41446</v>
      </c>
      <c r="C131" s="293">
        <v>1937.26</v>
      </c>
    </row>
    <row r="132" spans="2:3" ht="15.75" thickBot="1">
      <c r="B132" s="292">
        <v>41445</v>
      </c>
      <c r="C132" s="293">
        <v>1900.87</v>
      </c>
    </row>
    <row r="133" spans="2:3" ht="15.75" thickBot="1">
      <c r="B133" s="292">
        <v>41444</v>
      </c>
      <c r="C133" s="293">
        <v>1902.47</v>
      </c>
    </row>
    <row r="134" spans="2:3" ht="15.75" thickBot="1">
      <c r="B134" s="292">
        <v>41443</v>
      </c>
      <c r="C134" s="293">
        <v>1883.57</v>
      </c>
    </row>
    <row r="135" spans="2:3" ht="15.75" thickBot="1">
      <c r="B135" s="292">
        <v>41442</v>
      </c>
      <c r="C135" s="293">
        <v>1882.38</v>
      </c>
    </row>
    <row r="136" spans="2:3" ht="15.75" thickBot="1">
      <c r="B136" s="292">
        <v>41439</v>
      </c>
      <c r="C136" s="293">
        <v>1895.01</v>
      </c>
    </row>
    <row r="137" spans="2:3" ht="15.75" thickBot="1">
      <c r="B137" s="292">
        <v>41438</v>
      </c>
      <c r="C137" s="293">
        <v>1897.53</v>
      </c>
    </row>
    <row r="138" spans="2:3" ht="15.75" thickBot="1">
      <c r="B138" s="292">
        <v>41437</v>
      </c>
      <c r="C138" s="293">
        <v>1907.12</v>
      </c>
    </row>
    <row r="139" spans="2:3" ht="15.75" thickBot="1">
      <c r="B139" s="292">
        <v>41436</v>
      </c>
      <c r="C139" s="293">
        <v>1898.8</v>
      </c>
    </row>
    <row r="140" spans="2:3" ht="15.75" thickBot="1">
      <c r="B140" s="292">
        <v>41432</v>
      </c>
      <c r="C140" s="293">
        <v>1907.88</v>
      </c>
    </row>
    <row r="141" spans="2:3" ht="15.75" thickBot="1">
      <c r="B141" s="292">
        <v>41431</v>
      </c>
      <c r="C141" s="293">
        <v>1899.08</v>
      </c>
    </row>
    <row r="142" spans="2:3" ht="15.75" thickBot="1">
      <c r="B142" s="292">
        <v>41430</v>
      </c>
      <c r="C142" s="293">
        <v>1894.4</v>
      </c>
    </row>
    <row r="143" spans="2:3" ht="15.75" thickBot="1">
      <c r="B143" s="292">
        <v>41429</v>
      </c>
      <c r="C143" s="293">
        <v>1907.76</v>
      </c>
    </row>
    <row r="144" spans="2:3" ht="15.75" thickBot="1">
      <c r="B144" s="292">
        <v>41425</v>
      </c>
      <c r="C144" s="293">
        <v>1891.48</v>
      </c>
    </row>
    <row r="145" spans="2:3" ht="15.75" thickBot="1">
      <c r="B145" s="292">
        <v>41424</v>
      </c>
      <c r="C145" s="293">
        <v>1894.13</v>
      </c>
    </row>
    <row r="146" spans="2:3" ht="15.75" thickBot="1">
      <c r="B146" s="292">
        <v>41423</v>
      </c>
      <c r="C146" s="293">
        <v>1897.1</v>
      </c>
    </row>
    <row r="147" spans="2:3" ht="15.75" thickBot="1">
      <c r="B147" s="292">
        <v>41422</v>
      </c>
      <c r="C147" s="293">
        <v>1874.1</v>
      </c>
    </row>
    <row r="148" spans="2:3" ht="15.75" thickBot="1">
      <c r="B148" s="292">
        <v>41421</v>
      </c>
      <c r="C148" s="293">
        <v>1874.1</v>
      </c>
    </row>
    <row r="149" spans="2:3" ht="15.75" thickBot="1">
      <c r="B149" s="292">
        <v>41418</v>
      </c>
      <c r="C149" s="293">
        <v>1864.02</v>
      </c>
    </row>
    <row r="150" spans="2:3" ht="15.75" thickBot="1">
      <c r="B150" s="292">
        <v>41417</v>
      </c>
      <c r="C150" s="293">
        <v>1850.55</v>
      </c>
    </row>
    <row r="151" spans="2:3" ht="15.75" thickBot="1">
      <c r="B151" s="292">
        <v>41416</v>
      </c>
      <c r="C151" s="293">
        <v>1846.76</v>
      </c>
    </row>
    <row r="152" spans="2:3" ht="15.75" thickBot="1">
      <c r="B152" s="292">
        <v>41415</v>
      </c>
      <c r="C152" s="293">
        <v>1842.59</v>
      </c>
    </row>
    <row r="153" spans="2:3" ht="15.75" thickBot="1">
      <c r="B153" s="292">
        <v>41414</v>
      </c>
      <c r="C153" s="293">
        <v>1841.35</v>
      </c>
    </row>
    <row r="154" spans="2:3" ht="15.75" thickBot="1">
      <c r="B154" s="292">
        <v>41411</v>
      </c>
      <c r="C154" s="293">
        <v>1838.82</v>
      </c>
    </row>
    <row r="155" spans="2:3" ht="15.75" thickBot="1">
      <c r="B155" s="292">
        <v>41410</v>
      </c>
      <c r="C155" s="293">
        <v>1843.75</v>
      </c>
    </row>
    <row r="156" spans="2:3" ht="15.75" thickBot="1">
      <c r="B156" s="292">
        <v>41409</v>
      </c>
      <c r="C156" s="293">
        <v>1838.63</v>
      </c>
    </row>
    <row r="157" spans="2:3" ht="15.75" thickBot="1">
      <c r="B157" s="292">
        <v>41408</v>
      </c>
      <c r="C157" s="293">
        <v>1834.83</v>
      </c>
    </row>
    <row r="158" spans="2:3" ht="15.75" thickBot="1">
      <c r="B158" s="292">
        <v>41404</v>
      </c>
      <c r="C158" s="293">
        <v>1833.07</v>
      </c>
    </row>
    <row r="159" spans="2:3" ht="15.75" thickBot="1">
      <c r="B159" s="292">
        <v>41403</v>
      </c>
      <c r="C159" s="293">
        <v>1830.7</v>
      </c>
    </row>
    <row r="160" spans="2:3" ht="15.75" thickBot="1">
      <c r="B160" s="292">
        <v>41402</v>
      </c>
      <c r="C160" s="293">
        <v>1827.13</v>
      </c>
    </row>
    <row r="161" spans="2:3" ht="15.75" thickBot="1">
      <c r="B161" s="292">
        <v>41401</v>
      </c>
      <c r="C161" s="293">
        <v>1831.42</v>
      </c>
    </row>
    <row r="162" spans="2:3" ht="15.75" thickBot="1">
      <c r="B162" s="292">
        <v>41400</v>
      </c>
      <c r="C162" s="293">
        <v>1835.88</v>
      </c>
    </row>
    <row r="163" spans="2:3" ht="15.75" thickBot="1">
      <c r="B163" s="292">
        <v>41397</v>
      </c>
      <c r="C163" s="293">
        <v>1836.34</v>
      </c>
    </row>
    <row r="164" spans="2:3" ht="15.75" thickBot="1">
      <c r="B164" s="292">
        <v>41396</v>
      </c>
      <c r="C164" s="293">
        <v>1825.83</v>
      </c>
    </row>
    <row r="165" spans="2:3" ht="15.75" thickBot="1">
      <c r="B165" s="292">
        <v>41394</v>
      </c>
      <c r="C165" s="293">
        <v>1828.79</v>
      </c>
    </row>
    <row r="166" spans="2:3" ht="15.75" thickBot="1">
      <c r="B166" s="292">
        <v>41393</v>
      </c>
      <c r="C166" s="293">
        <v>1833.7</v>
      </c>
    </row>
    <row r="167" spans="2:3" ht="15.75" thickBot="1">
      <c r="B167" s="292">
        <v>41390</v>
      </c>
      <c r="C167" s="293">
        <v>1830.84</v>
      </c>
    </row>
    <row r="168" spans="2:3" ht="15.75" thickBot="1">
      <c r="B168" s="292">
        <v>41389</v>
      </c>
      <c r="C168" s="293">
        <v>1836.79</v>
      </c>
    </row>
    <row r="169" spans="2:3" ht="15.75" thickBot="1">
      <c r="B169" s="292">
        <v>41388</v>
      </c>
      <c r="C169" s="293">
        <v>1838.03</v>
      </c>
    </row>
    <row r="170" spans="2:3" ht="15.75" thickBot="1">
      <c r="B170" s="292">
        <v>41387</v>
      </c>
      <c r="C170" s="293">
        <v>1841.14</v>
      </c>
    </row>
    <row r="171" spans="2:3" ht="15.75" thickBot="1">
      <c r="B171" s="292">
        <v>41386</v>
      </c>
      <c r="C171" s="293">
        <v>1835.57</v>
      </c>
    </row>
    <row r="172" spans="2:3" ht="15.75" thickBot="1">
      <c r="B172" s="292">
        <v>41383</v>
      </c>
      <c r="C172" s="293">
        <v>1847.02</v>
      </c>
    </row>
    <row r="173" spans="2:3" ht="15.75" thickBot="1">
      <c r="B173" s="292">
        <v>41382</v>
      </c>
      <c r="C173" s="293">
        <v>1846.46</v>
      </c>
    </row>
    <row r="174" spans="2:3" ht="15.75" thickBot="1">
      <c r="B174" s="292">
        <v>41381</v>
      </c>
      <c r="C174" s="293">
        <v>1833.98</v>
      </c>
    </row>
    <row r="175" spans="2:3" ht="15.75" thickBot="1">
      <c r="B175" s="292">
        <v>41380</v>
      </c>
      <c r="C175" s="293">
        <v>1834.86</v>
      </c>
    </row>
    <row r="176" spans="2:3" ht="15.75" thickBot="1">
      <c r="B176" s="292">
        <v>41379</v>
      </c>
      <c r="C176" s="293">
        <v>1827.79</v>
      </c>
    </row>
    <row r="177" spans="2:3" ht="15.75" thickBot="1">
      <c r="B177" s="292">
        <v>41376</v>
      </c>
      <c r="C177" s="293">
        <v>1823.84</v>
      </c>
    </row>
    <row r="178" spans="2:3" ht="15.75" thickBot="1">
      <c r="B178" s="292">
        <v>41375</v>
      </c>
      <c r="C178" s="293">
        <v>1821.2</v>
      </c>
    </row>
    <row r="179" spans="2:3" ht="15.75" thickBot="1">
      <c r="B179" s="292">
        <v>41374</v>
      </c>
      <c r="C179" s="293">
        <v>1813.11</v>
      </c>
    </row>
    <row r="180" spans="2:3" ht="15.75" thickBot="1">
      <c r="B180" s="292">
        <v>41373</v>
      </c>
      <c r="C180" s="293">
        <v>1817.66</v>
      </c>
    </row>
    <row r="181" spans="2:3" ht="15.75" thickBot="1">
      <c r="B181" s="292">
        <v>41372</v>
      </c>
      <c r="C181" s="293">
        <v>1826.88</v>
      </c>
    </row>
    <row r="182" spans="2:3" ht="15.75" thickBot="1">
      <c r="B182" s="292">
        <v>41369</v>
      </c>
      <c r="C182" s="293">
        <v>1829.01</v>
      </c>
    </row>
    <row r="183" spans="2:3" ht="15.75" thickBot="1">
      <c r="B183" s="292">
        <v>41368</v>
      </c>
      <c r="C183" s="293">
        <v>1819.93</v>
      </c>
    </row>
    <row r="184" spans="2:3" ht="15.75" thickBot="1">
      <c r="B184" s="292">
        <v>41367</v>
      </c>
      <c r="C184" s="293">
        <v>1817.14</v>
      </c>
    </row>
    <row r="185" spans="2:3" ht="15.75" thickBot="1">
      <c r="B185" s="292">
        <v>41366</v>
      </c>
      <c r="C185" s="293">
        <v>1823.12</v>
      </c>
    </row>
    <row r="186" spans="2:3" ht="15.75" thickBot="1">
      <c r="B186" s="292">
        <v>41365</v>
      </c>
      <c r="C186" s="293">
        <v>1832.2</v>
      </c>
    </row>
    <row r="187" spans="2:3" ht="15.75" thickBot="1">
      <c r="B187" s="292">
        <v>41360</v>
      </c>
      <c r="C187" s="293">
        <v>1828.95</v>
      </c>
    </row>
    <row r="188" spans="2:3" ht="15.75" thickBot="1">
      <c r="B188" s="292">
        <v>41359</v>
      </c>
      <c r="C188" s="293">
        <v>1825.79</v>
      </c>
    </row>
    <row r="189" spans="2:3" ht="15.75" thickBot="1">
      <c r="B189" s="292">
        <v>41355</v>
      </c>
      <c r="C189" s="293">
        <v>1822.78</v>
      </c>
    </row>
    <row r="190" spans="2:3" ht="15.75" thickBot="1">
      <c r="B190" s="292">
        <v>41354</v>
      </c>
      <c r="C190" s="293">
        <v>1812.35</v>
      </c>
    </row>
    <row r="191" spans="2:3" ht="15.75" thickBot="1">
      <c r="B191" s="292">
        <v>41353</v>
      </c>
      <c r="C191" s="293">
        <v>1809.83</v>
      </c>
    </row>
    <row r="192" spans="2:3" ht="15.75" thickBot="1">
      <c r="B192" s="292">
        <v>41352</v>
      </c>
      <c r="C192" s="293">
        <v>1809.58</v>
      </c>
    </row>
    <row r="193" spans="2:3" ht="15.75" thickBot="1">
      <c r="B193" s="292">
        <v>41348</v>
      </c>
      <c r="C193" s="293">
        <v>1797.28</v>
      </c>
    </row>
    <row r="194" spans="2:3" ht="15.75" thickBot="1">
      <c r="B194" s="292">
        <v>41348</v>
      </c>
      <c r="C194" s="293">
        <v>1804.06</v>
      </c>
    </row>
    <row r="195" spans="2:3" ht="15.75" thickBot="1">
      <c r="B195" s="292">
        <v>41347</v>
      </c>
      <c r="C195" s="293">
        <v>1798.56</v>
      </c>
    </row>
    <row r="196" spans="2:3" ht="15.75" thickBot="1">
      <c r="B196" s="292">
        <v>41346</v>
      </c>
      <c r="C196" s="293">
        <v>1801.64</v>
      </c>
    </row>
    <row r="197" spans="2:3" ht="15.75" thickBot="1">
      <c r="B197" s="292">
        <v>41345</v>
      </c>
      <c r="C197" s="293">
        <v>1801.2</v>
      </c>
    </row>
    <row r="198" spans="2:3" ht="15.75" thickBot="1">
      <c r="B198" s="292">
        <v>41344</v>
      </c>
      <c r="C198" s="293">
        <v>1800.45</v>
      </c>
    </row>
    <row r="199" spans="2:3" ht="15.75" thickBot="1">
      <c r="B199" s="292">
        <v>41341</v>
      </c>
      <c r="C199" s="293">
        <v>1803.65</v>
      </c>
    </row>
    <row r="200" spans="2:3" ht="15.75" thickBot="1">
      <c r="B200" s="292">
        <v>41340</v>
      </c>
      <c r="C200" s="293">
        <v>1808</v>
      </c>
    </row>
    <row r="201" spans="2:3" ht="15.75" thickBot="1">
      <c r="B201" s="292">
        <v>41339</v>
      </c>
      <c r="C201" s="293">
        <v>1809.65</v>
      </c>
    </row>
    <row r="202" spans="2:3" ht="15.75" thickBot="1">
      <c r="B202" s="292">
        <v>41338</v>
      </c>
      <c r="C202" s="293">
        <v>1813.53</v>
      </c>
    </row>
    <row r="203" spans="2:3" ht="15.75" thickBot="1">
      <c r="B203" s="292">
        <v>41337</v>
      </c>
      <c r="C203" s="293">
        <v>1816.48</v>
      </c>
    </row>
    <row r="204" spans="2:3" ht="15.75" thickBot="1">
      <c r="B204" s="292">
        <v>41334</v>
      </c>
      <c r="C204" s="293">
        <v>1814.28</v>
      </c>
    </row>
    <row r="205" spans="2:3" ht="15.75" thickBot="1">
      <c r="B205" s="292">
        <v>41333</v>
      </c>
      <c r="C205" s="293">
        <v>1816.42</v>
      </c>
    </row>
    <row r="206" spans="2:3" ht="15.75" thickBot="1">
      <c r="B206" s="292">
        <v>41332</v>
      </c>
      <c r="C206" s="293">
        <v>1818.54</v>
      </c>
    </row>
    <row r="207" spans="2:3" ht="15.75" thickBot="1">
      <c r="B207" s="292">
        <v>41331</v>
      </c>
      <c r="C207" s="293">
        <v>1806.11</v>
      </c>
    </row>
    <row r="208" spans="2:3" ht="15.75" thickBot="1">
      <c r="B208" s="292">
        <v>41330</v>
      </c>
      <c r="C208" s="293">
        <v>1800.7</v>
      </c>
    </row>
    <row r="209" spans="2:3" ht="15.75" thickBot="1">
      <c r="B209" s="292">
        <v>41327</v>
      </c>
      <c r="C209" s="293">
        <v>1798.21</v>
      </c>
    </row>
    <row r="210" spans="2:3" ht="15.75" thickBot="1">
      <c r="B210" s="292">
        <v>41326</v>
      </c>
      <c r="C210" s="293">
        <v>1791.33</v>
      </c>
    </row>
    <row r="211" spans="2:3" ht="15.75" thickBot="1">
      <c r="B211" s="292">
        <v>41325</v>
      </c>
      <c r="C211" s="293">
        <v>1794.63</v>
      </c>
    </row>
    <row r="212" spans="2:3" ht="15.75" thickBot="1">
      <c r="B212" s="292">
        <v>41324</v>
      </c>
      <c r="C212" s="293">
        <v>1785.41</v>
      </c>
    </row>
    <row r="213" spans="2:3" ht="15.75" thickBot="1">
      <c r="B213" s="292">
        <v>41323</v>
      </c>
      <c r="C213" s="293">
        <v>1785.41</v>
      </c>
    </row>
    <row r="214" spans="2:3" ht="15.75" thickBot="1">
      <c r="B214" s="292">
        <v>41320</v>
      </c>
      <c r="C214" s="293">
        <v>1783.19</v>
      </c>
    </row>
    <row r="215" spans="2:3" ht="15.75" thickBot="1">
      <c r="B215" s="292">
        <v>41319</v>
      </c>
      <c r="C215" s="293">
        <v>1777.72</v>
      </c>
    </row>
    <row r="216" spans="2:3" ht="15.75" thickBot="1">
      <c r="B216" s="292">
        <v>41318</v>
      </c>
      <c r="C216" s="293">
        <v>1783.2</v>
      </c>
    </row>
    <row r="217" spans="2:3" ht="15.75" thickBot="1">
      <c r="B217" s="292">
        <v>41317</v>
      </c>
      <c r="C217" s="293">
        <v>1784.71</v>
      </c>
    </row>
    <row r="218" spans="2:3" ht="15.75" thickBot="1">
      <c r="B218" s="292">
        <v>41316</v>
      </c>
      <c r="C218" s="293">
        <v>1790.61</v>
      </c>
    </row>
    <row r="219" spans="2:3" ht="15.75" thickBot="1">
      <c r="B219" s="292">
        <v>41313</v>
      </c>
      <c r="C219" s="293">
        <v>1795.21</v>
      </c>
    </row>
    <row r="220" spans="2:3" ht="15.75" thickBot="1">
      <c r="B220" s="292">
        <v>41312</v>
      </c>
      <c r="C220" s="293">
        <v>1791.24</v>
      </c>
    </row>
    <row r="221" spans="2:3" ht="15.75" thickBot="1">
      <c r="B221" s="292">
        <v>41311</v>
      </c>
      <c r="C221" s="293">
        <v>1789.09</v>
      </c>
    </row>
    <row r="222" spans="2:3" ht="15.75" thickBot="1">
      <c r="B222" s="292">
        <v>41310</v>
      </c>
      <c r="C222" s="293">
        <v>1785.92</v>
      </c>
    </row>
    <row r="223" spans="2:3" ht="15.75" thickBot="1">
      <c r="B223" s="292">
        <v>41309</v>
      </c>
      <c r="C223" s="293">
        <v>1776.2</v>
      </c>
    </row>
    <row r="224" spans="2:3" ht="15.75" thickBot="1">
      <c r="B224" s="292">
        <v>41306</v>
      </c>
      <c r="C224" s="293">
        <v>1775.65</v>
      </c>
    </row>
    <row r="225" spans="2:3" ht="15.75" thickBot="1">
      <c r="B225" s="292">
        <v>41305</v>
      </c>
      <c r="C225" s="293">
        <v>1773.24</v>
      </c>
    </row>
    <row r="226" spans="2:3" ht="15.75" thickBot="1">
      <c r="B226" s="292">
        <v>41304</v>
      </c>
      <c r="C226" s="293">
        <v>1776.09</v>
      </c>
    </row>
    <row r="227" spans="2:3" ht="15.75" thickBot="1">
      <c r="B227" s="292">
        <v>41303</v>
      </c>
      <c r="C227" s="293">
        <v>1779.84</v>
      </c>
    </row>
    <row r="228" spans="2:3" ht="15.75" thickBot="1">
      <c r="B228" s="292">
        <v>41302</v>
      </c>
      <c r="C228" s="293">
        <v>1779.25</v>
      </c>
    </row>
    <row r="229" spans="2:3" ht="15.75" thickBot="1">
      <c r="B229" s="292">
        <v>41299</v>
      </c>
      <c r="C229" s="293">
        <v>1779.73</v>
      </c>
    </row>
    <row r="230" spans="2:3" ht="15.75" thickBot="1">
      <c r="B230" s="292">
        <v>41298</v>
      </c>
      <c r="C230" s="293">
        <v>1778.69</v>
      </c>
    </row>
    <row r="231" spans="2:3" ht="15.75" thickBot="1">
      <c r="B231" s="292">
        <v>41297</v>
      </c>
      <c r="C231" s="293">
        <v>1776.96</v>
      </c>
    </row>
    <row r="232" spans="2:3" ht="15.75" thickBot="1">
      <c r="B232" s="292">
        <v>41296</v>
      </c>
      <c r="C232" s="293">
        <v>1767.74</v>
      </c>
    </row>
    <row r="233" spans="2:3" ht="15.75" thickBot="1">
      <c r="B233" s="292">
        <v>41295</v>
      </c>
      <c r="C233" s="293">
        <v>1767.74</v>
      </c>
    </row>
    <row r="234" spans="2:3" ht="15.75" thickBot="1">
      <c r="B234" s="292">
        <v>41292</v>
      </c>
      <c r="C234" s="293">
        <v>1767.78</v>
      </c>
    </row>
    <row r="235" spans="2:3" ht="15.75" thickBot="1">
      <c r="B235" s="292">
        <v>41291</v>
      </c>
      <c r="C235" s="293">
        <v>1775.15</v>
      </c>
    </row>
    <row r="236" spans="2:3" ht="15.75" thickBot="1">
      <c r="B236" s="292">
        <v>41290</v>
      </c>
      <c r="C236" s="293">
        <v>1769.88</v>
      </c>
    </row>
    <row r="237" spans="2:3" ht="15.75" thickBot="1">
      <c r="B237" s="292">
        <v>41289</v>
      </c>
      <c r="C237" s="293">
        <v>1758.45</v>
      </c>
    </row>
    <row r="238" spans="2:3" ht="15.75" thickBot="1">
      <c r="B238" s="292">
        <v>41288</v>
      </c>
      <c r="C238" s="293">
        <v>1762.38</v>
      </c>
    </row>
    <row r="239" spans="2:3" ht="15.75" thickBot="1">
      <c r="B239" s="292">
        <v>41285</v>
      </c>
      <c r="C239" s="293">
        <v>1761.5</v>
      </c>
    </row>
    <row r="240" spans="2:3" ht="15.75" thickBot="1">
      <c r="B240" s="292">
        <v>41284</v>
      </c>
      <c r="C240" s="293">
        <v>1767.96</v>
      </c>
    </row>
    <row r="241" spans="2:3" ht="15.75" thickBot="1">
      <c r="B241" s="292">
        <v>41283</v>
      </c>
      <c r="C241" s="293">
        <v>1771.31</v>
      </c>
    </row>
    <row r="242" spans="2:3" ht="15.75" thickBot="1">
      <c r="B242" s="292">
        <v>41282</v>
      </c>
      <c r="C242" s="293">
        <v>1767.54</v>
      </c>
    </row>
    <row r="243" spans="2:3" ht="15.75" thickBot="1">
      <c r="B243" s="292">
        <v>41278</v>
      </c>
      <c r="C243" s="293">
        <v>1760.83</v>
      </c>
    </row>
    <row r="244" spans="2:3" ht="15.75" thickBot="1">
      <c r="B244" s="292">
        <v>41277</v>
      </c>
      <c r="C244" s="293">
        <v>1759.97</v>
      </c>
    </row>
    <row r="245" spans="2:3" ht="15.75" thickBot="1">
      <c r="B245" s="292">
        <v>41276</v>
      </c>
      <c r="C245" s="293">
        <v>1768.23</v>
      </c>
    </row>
  </sheetData>
  <mergeCells count="1">
    <mergeCell ref="E4:F4"/>
  </mergeCells>
  <phoneticPr fontId="67" type="noConversion"/>
  <hyperlinks>
    <hyperlink ref="E6" r:id="rId1"/>
  </hyperlinks>
  <pageMargins left="0.7" right="0.7" top="0.75" bottom="0.75" header="0.3" footer="0.3"/>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showGridLines="0" zoomScale="75" zoomScaleNormal="75" zoomScalePageLayoutView="75" workbookViewId="0">
      <selection activeCell="C13" sqref="C13"/>
    </sheetView>
  </sheetViews>
  <sheetFormatPr baseColWidth="10" defaultColWidth="8.88671875" defaultRowHeight="15"/>
  <cols>
    <col min="1" max="16384" width="8.88671875" style="86"/>
  </cols>
  <sheetData>
    <row r="1" spans="1:12" ht="15.75">
      <c r="A1" s="85" t="str">
        <f>BG</f>
        <v>Compañía Modelo - EVA</v>
      </c>
      <c r="B1" s="85"/>
      <c r="C1" s="85"/>
    </row>
    <row r="2" spans="1:12" ht="15.75">
      <c r="A2" s="245" t="s">
        <v>271</v>
      </c>
      <c r="B2" s="245"/>
      <c r="C2" s="245"/>
    </row>
    <row r="4" spans="1:12" ht="32.25" thickBot="1">
      <c r="B4" s="249" t="s">
        <v>272</v>
      </c>
      <c r="C4" s="249">
        <f>Indicadores!A4</f>
        <v>0</v>
      </c>
      <c r="D4" s="249" t="str">
        <f>Indicadores!C4</f>
        <v>2015P</v>
      </c>
      <c r="E4" s="249" t="str">
        <f>Indicadores!D4</f>
        <v>2016P</v>
      </c>
      <c r="F4" s="249" t="str">
        <f>Indicadores!E4</f>
        <v>2017P</v>
      </c>
      <c r="G4" s="249" t="str">
        <f>Indicadores!F4</f>
        <v>2018P</v>
      </c>
      <c r="H4" s="249" t="str">
        <f>Indicadores!G4</f>
        <v>2019P</v>
      </c>
      <c r="I4" s="249"/>
      <c r="J4" s="249"/>
      <c r="K4" s="249"/>
      <c r="L4" s="250" t="s">
        <v>273</v>
      </c>
    </row>
    <row r="5" spans="1:12">
      <c r="L5" s="251"/>
    </row>
    <row r="6" spans="1:12">
      <c r="A6" s="86" t="s">
        <v>274</v>
      </c>
      <c r="B6" s="247">
        <v>0.1</v>
      </c>
      <c r="C6" s="248"/>
      <c r="D6" s="248"/>
      <c r="E6" s="248"/>
      <c r="F6" s="248"/>
      <c r="G6" s="248"/>
      <c r="H6" s="248"/>
      <c r="I6" s="248"/>
      <c r="J6" s="248"/>
      <c r="K6" s="248"/>
      <c r="L6" s="252"/>
    </row>
    <row r="7" spans="1:12">
      <c r="A7" s="86" t="s">
        <v>275</v>
      </c>
      <c r="B7" s="247">
        <v>0.6</v>
      </c>
      <c r="C7" s="248"/>
      <c r="D7" s="248"/>
      <c r="E7" s="248"/>
      <c r="F7" s="248"/>
      <c r="G7" s="248"/>
      <c r="H7" s="248"/>
      <c r="I7" s="248"/>
      <c r="J7" s="248"/>
      <c r="K7" s="248"/>
      <c r="L7" s="252"/>
    </row>
    <row r="8" spans="1:12">
      <c r="A8" s="86" t="s">
        <v>276</v>
      </c>
      <c r="B8" s="247">
        <f>1-B7-B6</f>
        <v>0.30000000000000004</v>
      </c>
      <c r="C8" s="248"/>
      <c r="D8" s="248"/>
      <c r="E8" s="248"/>
      <c r="F8" s="248"/>
      <c r="G8" s="248"/>
      <c r="H8" s="248"/>
      <c r="I8" s="248"/>
      <c r="J8" s="248"/>
      <c r="K8" s="248"/>
      <c r="L8" s="252"/>
    </row>
    <row r="10" spans="1:12">
      <c r="A10" s="86" t="s">
        <v>168</v>
      </c>
      <c r="B10" s="246">
        <f>Valoraciones!B13</f>
        <v>0.11449193144592162</v>
      </c>
    </row>
    <row r="12" spans="1:12">
      <c r="A12" s="86" t="s">
        <v>277</v>
      </c>
      <c r="C12" s="248">
        <f t="shared" ref="C12:K12" si="0">SUMPRODUCT($B$6:$B$8,C6:C8)</f>
        <v>0</v>
      </c>
      <c r="D12" s="248">
        <f t="shared" si="0"/>
        <v>0</v>
      </c>
      <c r="E12" s="248">
        <f t="shared" si="0"/>
        <v>0</v>
      </c>
      <c r="F12" s="248">
        <f t="shared" si="0"/>
        <v>0</v>
      </c>
      <c r="G12" s="248">
        <f t="shared" si="0"/>
        <v>0</v>
      </c>
      <c r="H12" s="248">
        <f t="shared" si="0"/>
        <v>0</v>
      </c>
      <c r="I12" s="248">
        <f t="shared" si="0"/>
        <v>0</v>
      </c>
      <c r="J12" s="248">
        <f t="shared" si="0"/>
        <v>0</v>
      </c>
      <c r="K12" s="248">
        <f t="shared" si="0"/>
        <v>0</v>
      </c>
    </row>
    <row r="13" spans="1:12">
      <c r="A13" s="86" t="s">
        <v>278</v>
      </c>
      <c r="C13" s="248" t="e">
        <f>NPV(B10,D12:J12)+C12+PV(B10,K4-D4,,-K12)</f>
        <v>#VALUE!</v>
      </c>
    </row>
    <row r="15" spans="1:12">
      <c r="A15" s="86" t="s">
        <v>279</v>
      </c>
      <c r="C15" s="248">
        <f t="shared" ref="C15:K15" si="1">(($B$6*((C$12-C6)^2))+($B$7*((C$12-C7)^2))+($B$8*((C$12-C8)^2)))^(1/2)</f>
        <v>0</v>
      </c>
      <c r="D15" s="248">
        <f t="shared" si="1"/>
        <v>0</v>
      </c>
      <c r="E15" s="248">
        <f t="shared" si="1"/>
        <v>0</v>
      </c>
      <c r="F15" s="248">
        <f t="shared" si="1"/>
        <v>0</v>
      </c>
      <c r="G15" s="248">
        <f t="shared" si="1"/>
        <v>0</v>
      </c>
      <c r="H15" s="248">
        <f t="shared" si="1"/>
        <v>0</v>
      </c>
      <c r="I15" s="248">
        <f t="shared" si="1"/>
        <v>0</v>
      </c>
      <c r="J15" s="248">
        <f t="shared" si="1"/>
        <v>0</v>
      </c>
      <c r="K15" s="248">
        <f t="shared" si="1"/>
        <v>0</v>
      </c>
    </row>
    <row r="16" spans="1:12">
      <c r="A16" s="86" t="s">
        <v>280</v>
      </c>
      <c r="C16" s="248" t="e">
        <f>NPV(B10,D15:J15)+C15+PV(B10,K4-D4,,-K15)</f>
        <v>#VALUE!</v>
      </c>
    </row>
    <row r="18" spans="1:3">
      <c r="A18" s="86" t="s">
        <v>281</v>
      </c>
      <c r="C18" s="253" t="e">
        <f>C16/C13</f>
        <v>#VALUE!</v>
      </c>
    </row>
    <row r="19" spans="1:3">
      <c r="A19" s="86" t="s">
        <v>282</v>
      </c>
      <c r="C19" s="247" t="e">
        <f>NORMDIST(C18,C13,C16,TRUE)</f>
        <v>#VALUE!</v>
      </c>
    </row>
  </sheetData>
  <phoneticPr fontId="0" type="noConversion"/>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showGridLines="0" workbookViewId="0">
      <pane ySplit="15" topLeftCell="A16" activePane="bottomLeft" state="frozen"/>
      <selection activeCell="A100" sqref="A100"/>
      <selection pane="bottomLeft" activeCell="G13" sqref="G13"/>
    </sheetView>
  </sheetViews>
  <sheetFormatPr baseColWidth="10" defaultColWidth="10.6640625" defaultRowHeight="12.75"/>
  <cols>
    <col min="1" max="1" width="28.6640625" style="62" customWidth="1"/>
    <col min="2" max="2" width="17.88671875" style="62" customWidth="1"/>
    <col min="3" max="8" width="14.44140625" style="62" customWidth="1"/>
    <col min="9" max="16384" width="10.6640625" style="62"/>
  </cols>
  <sheetData>
    <row r="1" spans="1:8" ht="30">
      <c r="A1" s="61" t="s">
        <v>379</v>
      </c>
    </row>
    <row r="2" spans="1:8">
      <c r="A2" s="63"/>
    </row>
    <row r="3" spans="1:8" ht="15">
      <c r="A3" s="64" t="s">
        <v>380</v>
      </c>
    </row>
    <row r="4" spans="1:8">
      <c r="A4" s="63"/>
    </row>
    <row r="5" spans="1:8" ht="15">
      <c r="A5" s="64" t="s">
        <v>381</v>
      </c>
    </row>
    <row r="6" spans="1:8">
      <c r="A6" s="63"/>
    </row>
    <row r="7" spans="1:8">
      <c r="B7" s="65" t="s">
        <v>382</v>
      </c>
    </row>
    <row r="8" spans="1:8">
      <c r="A8" s="64"/>
    </row>
    <row r="9" spans="1:8">
      <c r="B9" s="65" t="s">
        <v>383</v>
      </c>
    </row>
    <row r="10" spans="1:8">
      <c r="A10" s="63"/>
    </row>
    <row r="11" spans="1:8">
      <c r="A11" s="63"/>
    </row>
    <row r="12" spans="1:8">
      <c r="B12" s="65" t="s">
        <v>384</v>
      </c>
    </row>
    <row r="15" spans="1:8">
      <c r="A15" s="66" t="s">
        <v>385</v>
      </c>
      <c r="B15" s="67" t="s">
        <v>386</v>
      </c>
      <c r="C15" s="68" t="s">
        <v>387</v>
      </c>
      <c r="D15" s="67" t="s">
        <v>388</v>
      </c>
      <c r="E15" s="67" t="s">
        <v>389</v>
      </c>
      <c r="F15" s="67" t="s">
        <v>390</v>
      </c>
      <c r="G15" s="67" t="s">
        <v>391</v>
      </c>
      <c r="H15" s="67" t="s">
        <v>392</v>
      </c>
    </row>
    <row r="16" spans="1:8">
      <c r="A16" s="69" t="s">
        <v>393</v>
      </c>
      <c r="B16" s="70">
        <v>65</v>
      </c>
      <c r="C16" s="71" t="s">
        <v>394</v>
      </c>
      <c r="D16" s="72" t="s">
        <v>395</v>
      </c>
      <c r="E16" s="72" t="s">
        <v>396</v>
      </c>
      <c r="F16" s="71" t="s">
        <v>397</v>
      </c>
      <c r="G16" s="72" t="s">
        <v>398</v>
      </c>
      <c r="H16" s="71" t="s">
        <v>399</v>
      </c>
    </row>
    <row r="17" spans="1:8">
      <c r="A17" s="69" t="s">
        <v>400</v>
      </c>
      <c r="B17" s="70">
        <v>95</v>
      </c>
      <c r="C17" s="71" t="s">
        <v>401</v>
      </c>
      <c r="D17" s="72" t="s">
        <v>402</v>
      </c>
      <c r="E17" s="72" t="s">
        <v>403</v>
      </c>
      <c r="F17" s="71" t="s">
        <v>404</v>
      </c>
      <c r="G17" s="72" t="s">
        <v>405</v>
      </c>
      <c r="H17" s="71" t="s">
        <v>406</v>
      </c>
    </row>
    <row r="18" spans="1:8">
      <c r="A18" s="69" t="s">
        <v>407</v>
      </c>
      <c r="B18" s="70">
        <v>25</v>
      </c>
      <c r="C18" s="71" t="s">
        <v>408</v>
      </c>
      <c r="D18" s="72" t="s">
        <v>409</v>
      </c>
      <c r="E18" s="72" t="s">
        <v>410</v>
      </c>
      <c r="F18" s="71" t="s">
        <v>411</v>
      </c>
      <c r="G18" s="72" t="s">
        <v>412</v>
      </c>
      <c r="H18" s="71" t="s">
        <v>413</v>
      </c>
    </row>
    <row r="19" spans="1:8">
      <c r="A19" s="69" t="s">
        <v>414</v>
      </c>
      <c r="B19" s="70">
        <v>70</v>
      </c>
      <c r="C19" s="71" t="s">
        <v>415</v>
      </c>
      <c r="D19" s="72" t="s">
        <v>416</v>
      </c>
      <c r="E19" s="72" t="s">
        <v>417</v>
      </c>
      <c r="F19" s="71" t="s">
        <v>418</v>
      </c>
      <c r="G19" s="72" t="s">
        <v>419</v>
      </c>
      <c r="H19" s="71" t="s">
        <v>420</v>
      </c>
    </row>
    <row r="20" spans="1:8">
      <c r="A20" s="69" t="s">
        <v>421</v>
      </c>
      <c r="B20" s="70">
        <v>26</v>
      </c>
      <c r="C20" s="71" t="s">
        <v>422</v>
      </c>
      <c r="D20" s="72" t="s">
        <v>423</v>
      </c>
      <c r="E20" s="72" t="s">
        <v>424</v>
      </c>
      <c r="F20" s="71" t="s">
        <v>425</v>
      </c>
      <c r="G20" s="72" t="s">
        <v>426</v>
      </c>
      <c r="H20" s="71" t="s">
        <v>427</v>
      </c>
    </row>
    <row r="21" spans="1:8">
      <c r="A21" s="69" t="s">
        <v>428</v>
      </c>
      <c r="B21" s="70">
        <v>75</v>
      </c>
      <c r="C21" s="71" t="s">
        <v>429</v>
      </c>
      <c r="D21" s="72" t="s">
        <v>430</v>
      </c>
      <c r="E21" s="72" t="s">
        <v>431</v>
      </c>
      <c r="F21" s="71" t="s">
        <v>432</v>
      </c>
      <c r="G21" s="72" t="s">
        <v>433</v>
      </c>
      <c r="H21" s="71" t="s">
        <v>434</v>
      </c>
    </row>
    <row r="22" spans="1:8">
      <c r="A22" s="69" t="s">
        <v>435</v>
      </c>
      <c r="B22" s="70">
        <v>7</v>
      </c>
      <c r="C22" s="71" t="s">
        <v>427</v>
      </c>
      <c r="D22" s="72" t="s">
        <v>436</v>
      </c>
      <c r="E22" s="72" t="s">
        <v>437</v>
      </c>
      <c r="F22" s="71" t="s">
        <v>438</v>
      </c>
      <c r="G22" s="72" t="s">
        <v>439</v>
      </c>
      <c r="H22" s="71" t="s">
        <v>440</v>
      </c>
    </row>
    <row r="23" spans="1:8">
      <c r="A23" s="69" t="s">
        <v>441</v>
      </c>
      <c r="B23" s="70">
        <v>721</v>
      </c>
      <c r="C23" s="71" t="s">
        <v>442</v>
      </c>
      <c r="D23" s="72" t="s">
        <v>443</v>
      </c>
      <c r="E23" s="72" t="s">
        <v>444</v>
      </c>
      <c r="F23" s="71" t="s">
        <v>445</v>
      </c>
      <c r="G23" s="72" t="s">
        <v>446</v>
      </c>
      <c r="H23" s="71" t="s">
        <v>438</v>
      </c>
    </row>
    <row r="24" spans="1:8">
      <c r="A24" s="69" t="s">
        <v>447</v>
      </c>
      <c r="B24" s="70">
        <v>47</v>
      </c>
      <c r="C24" s="71" t="s">
        <v>448</v>
      </c>
      <c r="D24" s="72" t="s">
        <v>449</v>
      </c>
      <c r="E24" s="72" t="s">
        <v>450</v>
      </c>
      <c r="F24" s="71" t="s">
        <v>451</v>
      </c>
      <c r="G24" s="72" t="s">
        <v>452</v>
      </c>
      <c r="H24" s="71" t="s">
        <v>453</v>
      </c>
    </row>
    <row r="25" spans="1:8">
      <c r="A25" s="69" t="s">
        <v>454</v>
      </c>
      <c r="B25" s="70">
        <v>19</v>
      </c>
      <c r="C25" s="71" t="s">
        <v>455</v>
      </c>
      <c r="D25" s="72" t="s">
        <v>456</v>
      </c>
      <c r="E25" s="72" t="s">
        <v>457</v>
      </c>
      <c r="F25" s="71" t="s">
        <v>458</v>
      </c>
      <c r="G25" s="72" t="s">
        <v>459</v>
      </c>
      <c r="H25" s="71" t="s">
        <v>460</v>
      </c>
    </row>
    <row r="26" spans="1:8">
      <c r="A26" s="69" t="s">
        <v>461</v>
      </c>
      <c r="B26" s="70">
        <v>349</v>
      </c>
      <c r="C26" s="71" t="s">
        <v>462</v>
      </c>
      <c r="D26" s="72" t="s">
        <v>463</v>
      </c>
      <c r="E26" s="72" t="s">
        <v>464</v>
      </c>
      <c r="F26" s="71" t="s">
        <v>465</v>
      </c>
      <c r="G26" s="72" t="s">
        <v>466</v>
      </c>
      <c r="H26" s="71" t="s">
        <v>467</v>
      </c>
    </row>
    <row r="27" spans="1:8">
      <c r="A27" s="69" t="s">
        <v>468</v>
      </c>
      <c r="B27" s="70">
        <v>30</v>
      </c>
      <c r="C27" s="71" t="s">
        <v>469</v>
      </c>
      <c r="D27" s="72" t="s">
        <v>470</v>
      </c>
      <c r="E27" s="72" t="s">
        <v>471</v>
      </c>
      <c r="F27" s="71" t="s">
        <v>472</v>
      </c>
      <c r="G27" s="72" t="s">
        <v>473</v>
      </c>
      <c r="H27" s="71" t="s">
        <v>474</v>
      </c>
    </row>
    <row r="28" spans="1:8">
      <c r="A28" s="69" t="s">
        <v>475</v>
      </c>
      <c r="B28" s="70">
        <v>49</v>
      </c>
      <c r="C28" s="71" t="s">
        <v>476</v>
      </c>
      <c r="D28" s="72" t="s">
        <v>477</v>
      </c>
      <c r="E28" s="72" t="s">
        <v>478</v>
      </c>
      <c r="F28" s="71" t="s">
        <v>479</v>
      </c>
      <c r="G28" s="72" t="s">
        <v>480</v>
      </c>
      <c r="H28" s="71" t="s">
        <v>481</v>
      </c>
    </row>
    <row r="29" spans="1:8">
      <c r="A29" s="69" t="s">
        <v>482</v>
      </c>
      <c r="B29" s="70">
        <v>37</v>
      </c>
      <c r="C29" s="71" t="s">
        <v>483</v>
      </c>
      <c r="D29" s="72" t="s">
        <v>484</v>
      </c>
      <c r="E29" s="72" t="s">
        <v>485</v>
      </c>
      <c r="F29" s="71" t="s">
        <v>465</v>
      </c>
      <c r="G29" s="72" t="s">
        <v>486</v>
      </c>
      <c r="H29" s="71" t="s">
        <v>467</v>
      </c>
    </row>
    <row r="30" spans="1:8">
      <c r="A30" s="69" t="s">
        <v>487</v>
      </c>
      <c r="B30" s="70">
        <v>179</v>
      </c>
      <c r="C30" s="71" t="s">
        <v>488</v>
      </c>
      <c r="D30" s="72" t="s">
        <v>489</v>
      </c>
      <c r="E30" s="72" t="s">
        <v>490</v>
      </c>
      <c r="F30" s="71" t="s">
        <v>427</v>
      </c>
      <c r="G30" s="72" t="s">
        <v>491</v>
      </c>
      <c r="H30" s="71" t="s">
        <v>492</v>
      </c>
    </row>
    <row r="31" spans="1:8">
      <c r="A31" s="69" t="s">
        <v>493</v>
      </c>
      <c r="B31" s="70">
        <v>16</v>
      </c>
      <c r="C31" s="71" t="s">
        <v>494</v>
      </c>
      <c r="D31" s="72" t="s">
        <v>495</v>
      </c>
      <c r="E31" s="72" t="s">
        <v>496</v>
      </c>
      <c r="F31" s="71" t="s">
        <v>397</v>
      </c>
      <c r="G31" s="72" t="s">
        <v>497</v>
      </c>
      <c r="H31" s="71" t="s">
        <v>498</v>
      </c>
    </row>
    <row r="32" spans="1:8">
      <c r="A32" s="73" t="s">
        <v>499</v>
      </c>
      <c r="B32" s="70">
        <v>47</v>
      </c>
      <c r="C32" s="71" t="s">
        <v>401</v>
      </c>
      <c r="D32" s="72" t="s">
        <v>500</v>
      </c>
      <c r="E32" s="72" t="s">
        <v>501</v>
      </c>
      <c r="F32" s="71" t="s">
        <v>502</v>
      </c>
      <c r="G32" s="72" t="s">
        <v>503</v>
      </c>
      <c r="H32" s="71" t="s">
        <v>504</v>
      </c>
    </row>
    <row r="33" spans="1:8">
      <c r="A33" s="74" t="s">
        <v>505</v>
      </c>
      <c r="B33" s="75">
        <v>10</v>
      </c>
      <c r="C33" s="76" t="s">
        <v>448</v>
      </c>
      <c r="D33" s="77" t="s">
        <v>506</v>
      </c>
      <c r="E33" s="77" t="s">
        <v>507</v>
      </c>
      <c r="F33" s="76" t="s">
        <v>432</v>
      </c>
      <c r="G33" s="77" t="s">
        <v>508</v>
      </c>
      <c r="H33" s="76" t="s">
        <v>509</v>
      </c>
    </row>
    <row r="34" spans="1:8">
      <c r="A34" s="73" t="s">
        <v>510</v>
      </c>
      <c r="B34" s="70">
        <v>100</v>
      </c>
      <c r="C34" s="71" t="s">
        <v>401</v>
      </c>
      <c r="D34" s="72" t="s">
        <v>511</v>
      </c>
      <c r="E34" s="72" t="s">
        <v>512</v>
      </c>
      <c r="F34" s="71" t="s">
        <v>513</v>
      </c>
      <c r="G34" s="72" t="s">
        <v>514</v>
      </c>
      <c r="H34" s="71" t="s">
        <v>515</v>
      </c>
    </row>
    <row r="35" spans="1:8">
      <c r="A35" s="69" t="s">
        <v>516</v>
      </c>
      <c r="B35" s="70">
        <v>45</v>
      </c>
      <c r="C35" s="71" t="s">
        <v>422</v>
      </c>
      <c r="D35" s="72" t="s">
        <v>517</v>
      </c>
      <c r="E35" s="72" t="s">
        <v>518</v>
      </c>
      <c r="F35" s="71" t="s">
        <v>397</v>
      </c>
      <c r="G35" s="72" t="s">
        <v>519</v>
      </c>
      <c r="H35" s="71" t="s">
        <v>399</v>
      </c>
    </row>
    <row r="36" spans="1:8">
      <c r="A36" s="69" t="s">
        <v>520</v>
      </c>
      <c r="B36" s="70">
        <v>129</v>
      </c>
      <c r="C36" s="71" t="s">
        <v>406</v>
      </c>
      <c r="D36" s="72" t="s">
        <v>521</v>
      </c>
      <c r="E36" s="72" t="s">
        <v>522</v>
      </c>
      <c r="F36" s="71" t="s">
        <v>523</v>
      </c>
      <c r="G36" s="72" t="s">
        <v>524</v>
      </c>
      <c r="H36" s="71" t="s">
        <v>525</v>
      </c>
    </row>
    <row r="37" spans="1:8">
      <c r="A37" s="69" t="s">
        <v>526</v>
      </c>
      <c r="B37" s="70">
        <v>273</v>
      </c>
      <c r="C37" s="71" t="s">
        <v>467</v>
      </c>
      <c r="D37" s="72" t="s">
        <v>527</v>
      </c>
      <c r="E37" s="72" t="s">
        <v>528</v>
      </c>
      <c r="F37" s="71" t="s">
        <v>420</v>
      </c>
      <c r="G37" s="72" t="s">
        <v>529</v>
      </c>
      <c r="H37" s="71" t="s">
        <v>530</v>
      </c>
    </row>
    <row r="38" spans="1:8">
      <c r="A38" s="69" t="s">
        <v>531</v>
      </c>
      <c r="B38" s="70">
        <v>66</v>
      </c>
      <c r="C38" s="71" t="s">
        <v>415</v>
      </c>
      <c r="D38" s="72" t="s">
        <v>532</v>
      </c>
      <c r="E38" s="72" t="s">
        <v>533</v>
      </c>
      <c r="F38" s="71" t="s">
        <v>534</v>
      </c>
      <c r="G38" s="72" t="s">
        <v>535</v>
      </c>
      <c r="H38" s="71" t="s">
        <v>432</v>
      </c>
    </row>
    <row r="39" spans="1:8">
      <c r="A39" s="69" t="s">
        <v>536</v>
      </c>
      <c r="B39" s="70">
        <v>18</v>
      </c>
      <c r="C39" s="71" t="s">
        <v>418</v>
      </c>
      <c r="D39" s="72" t="s">
        <v>537</v>
      </c>
      <c r="E39" s="72" t="s">
        <v>538</v>
      </c>
      <c r="F39" s="71" t="s">
        <v>492</v>
      </c>
      <c r="G39" s="72" t="s">
        <v>539</v>
      </c>
      <c r="H39" s="71" t="s">
        <v>540</v>
      </c>
    </row>
    <row r="40" spans="1:8">
      <c r="A40" s="69" t="s">
        <v>541</v>
      </c>
      <c r="B40" s="70">
        <v>20</v>
      </c>
      <c r="C40" s="71" t="s">
        <v>540</v>
      </c>
      <c r="D40" s="72" t="s">
        <v>542</v>
      </c>
      <c r="E40" s="72" t="s">
        <v>543</v>
      </c>
      <c r="F40" s="71" t="s">
        <v>544</v>
      </c>
      <c r="G40" s="72" t="s">
        <v>545</v>
      </c>
      <c r="H40" s="71" t="s">
        <v>438</v>
      </c>
    </row>
    <row r="41" spans="1:8">
      <c r="A41" s="69" t="s">
        <v>546</v>
      </c>
      <c r="B41" s="70">
        <v>40</v>
      </c>
      <c r="C41" s="71" t="s">
        <v>453</v>
      </c>
      <c r="D41" s="72" t="s">
        <v>547</v>
      </c>
      <c r="E41" s="72" t="s">
        <v>548</v>
      </c>
      <c r="F41" s="71" t="s">
        <v>406</v>
      </c>
      <c r="G41" s="72" t="s">
        <v>549</v>
      </c>
      <c r="H41" s="71" t="s">
        <v>530</v>
      </c>
    </row>
    <row r="42" spans="1:8">
      <c r="A42" s="69" t="s">
        <v>550</v>
      </c>
      <c r="B42" s="70">
        <v>135</v>
      </c>
      <c r="C42" s="71" t="s">
        <v>455</v>
      </c>
      <c r="D42" s="72" t="s">
        <v>551</v>
      </c>
      <c r="E42" s="72" t="s">
        <v>552</v>
      </c>
      <c r="F42" s="71" t="s">
        <v>401</v>
      </c>
      <c r="G42" s="72" t="s">
        <v>553</v>
      </c>
      <c r="H42" s="71" t="s">
        <v>467</v>
      </c>
    </row>
    <row r="43" spans="1:8">
      <c r="A43" s="69" t="s">
        <v>554</v>
      </c>
      <c r="B43" s="70">
        <v>191</v>
      </c>
      <c r="C43" s="71" t="s">
        <v>465</v>
      </c>
      <c r="D43" s="72" t="s">
        <v>555</v>
      </c>
      <c r="E43" s="72" t="s">
        <v>556</v>
      </c>
      <c r="F43" s="71" t="s">
        <v>513</v>
      </c>
      <c r="G43" s="72" t="s">
        <v>557</v>
      </c>
      <c r="H43" s="71" t="s">
        <v>558</v>
      </c>
    </row>
    <row r="44" spans="1:8">
      <c r="A44" s="69" t="s">
        <v>559</v>
      </c>
      <c r="B44" s="70">
        <v>26</v>
      </c>
      <c r="C44" s="71" t="s">
        <v>560</v>
      </c>
      <c r="D44" s="72" t="s">
        <v>561</v>
      </c>
      <c r="E44" s="72" t="s">
        <v>562</v>
      </c>
      <c r="F44" s="71" t="s">
        <v>558</v>
      </c>
      <c r="G44" s="72" t="s">
        <v>563</v>
      </c>
      <c r="H44" s="71" t="s">
        <v>472</v>
      </c>
    </row>
    <row r="45" spans="1:8">
      <c r="A45" s="69" t="s">
        <v>564</v>
      </c>
      <c r="B45" s="70">
        <v>56</v>
      </c>
      <c r="C45" s="71" t="s">
        <v>565</v>
      </c>
      <c r="D45" s="72" t="s">
        <v>566</v>
      </c>
      <c r="E45" s="72" t="s">
        <v>567</v>
      </c>
      <c r="F45" s="71" t="s">
        <v>401</v>
      </c>
      <c r="G45" s="72" t="s">
        <v>568</v>
      </c>
      <c r="H45" s="71" t="s">
        <v>432</v>
      </c>
    </row>
    <row r="46" spans="1:8">
      <c r="A46" s="69" t="s">
        <v>569</v>
      </c>
      <c r="B46" s="70">
        <v>85</v>
      </c>
      <c r="C46" s="71" t="s">
        <v>570</v>
      </c>
      <c r="D46" s="72" t="s">
        <v>571</v>
      </c>
      <c r="E46" s="72" t="s">
        <v>572</v>
      </c>
      <c r="F46" s="71" t="s">
        <v>515</v>
      </c>
      <c r="G46" s="72" t="s">
        <v>573</v>
      </c>
      <c r="H46" s="71" t="s">
        <v>420</v>
      </c>
    </row>
    <row r="47" spans="1:8">
      <c r="A47" s="69" t="s">
        <v>574</v>
      </c>
      <c r="B47" s="70">
        <v>108</v>
      </c>
      <c r="C47" s="71" t="s">
        <v>432</v>
      </c>
      <c r="D47" s="72" t="s">
        <v>575</v>
      </c>
      <c r="E47" s="72" t="s">
        <v>576</v>
      </c>
      <c r="F47" s="71" t="s">
        <v>577</v>
      </c>
      <c r="G47" s="72" t="s">
        <v>578</v>
      </c>
      <c r="H47" s="71" t="s">
        <v>579</v>
      </c>
    </row>
    <row r="48" spans="1:8">
      <c r="A48" s="69" t="s">
        <v>580</v>
      </c>
      <c r="B48" s="70">
        <v>29</v>
      </c>
      <c r="C48" s="71" t="s">
        <v>502</v>
      </c>
      <c r="D48" s="72" t="s">
        <v>581</v>
      </c>
      <c r="E48" s="72" t="s">
        <v>582</v>
      </c>
      <c r="F48" s="71" t="s">
        <v>442</v>
      </c>
      <c r="G48" s="72" t="s">
        <v>583</v>
      </c>
      <c r="H48" s="71" t="s">
        <v>584</v>
      </c>
    </row>
    <row r="49" spans="1:8">
      <c r="A49" s="69" t="s">
        <v>585</v>
      </c>
      <c r="B49" s="70">
        <v>76</v>
      </c>
      <c r="C49" s="71" t="s">
        <v>420</v>
      </c>
      <c r="D49" s="72" t="s">
        <v>586</v>
      </c>
      <c r="E49" s="72" t="s">
        <v>587</v>
      </c>
      <c r="F49" s="71" t="s">
        <v>588</v>
      </c>
      <c r="G49" s="72" t="s">
        <v>589</v>
      </c>
      <c r="H49" s="71" t="s">
        <v>442</v>
      </c>
    </row>
    <row r="50" spans="1:8">
      <c r="A50" s="69" t="s">
        <v>590</v>
      </c>
      <c r="B50" s="70">
        <v>17</v>
      </c>
      <c r="C50" s="71" t="s">
        <v>591</v>
      </c>
      <c r="D50" s="72" t="s">
        <v>592</v>
      </c>
      <c r="E50" s="72" t="s">
        <v>593</v>
      </c>
      <c r="F50" s="71" t="s">
        <v>594</v>
      </c>
      <c r="G50" s="72" t="s">
        <v>595</v>
      </c>
      <c r="H50" s="71" t="s">
        <v>596</v>
      </c>
    </row>
    <row r="51" spans="1:8">
      <c r="A51" s="69" t="s">
        <v>597</v>
      </c>
      <c r="B51" s="70">
        <v>97</v>
      </c>
      <c r="C51" s="71" t="s">
        <v>504</v>
      </c>
      <c r="D51" s="72" t="s">
        <v>598</v>
      </c>
      <c r="E51" s="72" t="s">
        <v>599</v>
      </c>
      <c r="F51" s="71" t="s">
        <v>397</v>
      </c>
      <c r="G51" s="72" t="s">
        <v>600</v>
      </c>
      <c r="H51" s="71" t="s">
        <v>498</v>
      </c>
    </row>
    <row r="52" spans="1:8">
      <c r="A52" s="69" t="s">
        <v>601</v>
      </c>
      <c r="B52" s="70">
        <v>18</v>
      </c>
      <c r="C52" s="71" t="s">
        <v>602</v>
      </c>
      <c r="D52" s="72" t="s">
        <v>603</v>
      </c>
      <c r="E52" s="72" t="s">
        <v>557</v>
      </c>
      <c r="F52" s="71" t="s">
        <v>465</v>
      </c>
      <c r="G52" s="72" t="s">
        <v>604</v>
      </c>
      <c r="H52" s="71" t="s">
        <v>530</v>
      </c>
    </row>
    <row r="53" spans="1:8">
      <c r="A53" s="69" t="s">
        <v>605</v>
      </c>
      <c r="B53" s="70">
        <v>36</v>
      </c>
      <c r="C53" s="71" t="s">
        <v>453</v>
      </c>
      <c r="D53" s="72" t="s">
        <v>606</v>
      </c>
      <c r="E53" s="72" t="s">
        <v>607</v>
      </c>
      <c r="F53" s="71" t="s">
        <v>420</v>
      </c>
      <c r="G53" s="72" t="s">
        <v>608</v>
      </c>
      <c r="H53" s="71" t="s">
        <v>394</v>
      </c>
    </row>
    <row r="54" spans="1:8">
      <c r="A54" s="69" t="s">
        <v>609</v>
      </c>
      <c r="B54" s="70">
        <v>193</v>
      </c>
      <c r="C54" s="71" t="s">
        <v>504</v>
      </c>
      <c r="D54" s="72" t="s">
        <v>610</v>
      </c>
      <c r="E54" s="72" t="s">
        <v>611</v>
      </c>
      <c r="F54" s="71" t="s">
        <v>399</v>
      </c>
      <c r="G54" s="72" t="s">
        <v>612</v>
      </c>
      <c r="H54" s="71" t="s">
        <v>540</v>
      </c>
    </row>
    <row r="55" spans="1:8">
      <c r="A55" s="69" t="s">
        <v>613</v>
      </c>
      <c r="B55" s="70">
        <v>47</v>
      </c>
      <c r="C55" s="71" t="s">
        <v>432</v>
      </c>
      <c r="D55" s="72" t="s">
        <v>614</v>
      </c>
      <c r="E55" s="72" t="s">
        <v>615</v>
      </c>
      <c r="F55" s="71" t="s">
        <v>616</v>
      </c>
      <c r="G55" s="72" t="s">
        <v>617</v>
      </c>
      <c r="H55" s="71" t="s">
        <v>618</v>
      </c>
    </row>
    <row r="56" spans="1:8">
      <c r="A56" s="69" t="s">
        <v>619</v>
      </c>
      <c r="B56" s="70">
        <v>58</v>
      </c>
      <c r="C56" s="71" t="s">
        <v>558</v>
      </c>
      <c r="D56" s="72" t="s">
        <v>620</v>
      </c>
      <c r="E56" s="72" t="s">
        <v>621</v>
      </c>
      <c r="F56" s="71" t="s">
        <v>504</v>
      </c>
      <c r="G56" s="72" t="s">
        <v>622</v>
      </c>
      <c r="H56" s="71" t="s">
        <v>513</v>
      </c>
    </row>
    <row r="57" spans="1:8">
      <c r="A57" s="69" t="s">
        <v>623</v>
      </c>
      <c r="B57" s="70">
        <v>126</v>
      </c>
      <c r="C57" s="71" t="s">
        <v>624</v>
      </c>
      <c r="D57" s="72" t="s">
        <v>625</v>
      </c>
      <c r="E57" s="72" t="s">
        <v>626</v>
      </c>
      <c r="F57" s="71" t="s">
        <v>627</v>
      </c>
      <c r="G57" s="72" t="s">
        <v>628</v>
      </c>
      <c r="H57" s="71" t="s">
        <v>427</v>
      </c>
    </row>
    <row r="58" spans="1:8">
      <c r="A58" s="69" t="s">
        <v>629</v>
      </c>
      <c r="B58" s="70">
        <v>125</v>
      </c>
      <c r="C58" s="71" t="s">
        <v>420</v>
      </c>
      <c r="D58" s="72" t="s">
        <v>630</v>
      </c>
      <c r="E58" s="72" t="s">
        <v>631</v>
      </c>
      <c r="F58" s="71" t="s">
        <v>404</v>
      </c>
      <c r="G58" s="72" t="s">
        <v>632</v>
      </c>
      <c r="H58" s="71" t="s">
        <v>406</v>
      </c>
    </row>
    <row r="59" spans="1:8">
      <c r="A59" s="69" t="s">
        <v>633</v>
      </c>
      <c r="B59" s="70">
        <v>46</v>
      </c>
      <c r="C59" s="71" t="s">
        <v>634</v>
      </c>
      <c r="D59" s="72" t="s">
        <v>635</v>
      </c>
      <c r="E59" s="72" t="s">
        <v>636</v>
      </c>
      <c r="F59" s="71" t="s">
        <v>415</v>
      </c>
      <c r="G59" s="72" t="s">
        <v>637</v>
      </c>
      <c r="H59" s="71" t="s">
        <v>509</v>
      </c>
    </row>
    <row r="60" spans="1:8">
      <c r="A60" s="83" t="s">
        <v>638</v>
      </c>
      <c r="B60" s="75">
        <v>32</v>
      </c>
      <c r="C60" s="76" t="s">
        <v>639</v>
      </c>
      <c r="D60" s="77" t="s">
        <v>640</v>
      </c>
      <c r="E60" s="77" t="s">
        <v>641</v>
      </c>
      <c r="F60" s="76">
        <v>1.1200000000000001</v>
      </c>
      <c r="G60" s="77" t="s">
        <v>463</v>
      </c>
      <c r="H60" s="76" t="s">
        <v>434</v>
      </c>
    </row>
    <row r="61" spans="1:8">
      <c r="A61" s="69" t="s">
        <v>642</v>
      </c>
      <c r="B61" s="70">
        <v>89</v>
      </c>
      <c r="C61" s="71" t="s">
        <v>483</v>
      </c>
      <c r="D61" s="72" t="s">
        <v>643</v>
      </c>
      <c r="E61" s="72" t="s">
        <v>644</v>
      </c>
      <c r="F61" s="71" t="s">
        <v>404</v>
      </c>
      <c r="G61" s="72" t="s">
        <v>645</v>
      </c>
      <c r="H61" s="71" t="s">
        <v>488</v>
      </c>
    </row>
    <row r="62" spans="1:8" ht="11.25" customHeight="1">
      <c r="A62" s="69" t="s">
        <v>646</v>
      </c>
      <c r="B62" s="70">
        <v>139</v>
      </c>
      <c r="C62" s="71" t="s">
        <v>558</v>
      </c>
      <c r="D62" s="72" t="s">
        <v>647</v>
      </c>
      <c r="E62" s="72" t="s">
        <v>648</v>
      </c>
      <c r="F62" s="71" t="s">
        <v>649</v>
      </c>
      <c r="G62" s="72" t="s">
        <v>650</v>
      </c>
      <c r="H62" s="71" t="s">
        <v>513</v>
      </c>
    </row>
    <row r="63" spans="1:8">
      <c r="A63" s="69" t="s">
        <v>651</v>
      </c>
      <c r="B63" s="70">
        <v>71</v>
      </c>
      <c r="C63" s="71" t="s">
        <v>652</v>
      </c>
      <c r="D63" s="72" t="s">
        <v>653</v>
      </c>
      <c r="E63" s="72" t="s">
        <v>654</v>
      </c>
      <c r="F63" s="71" t="s">
        <v>540</v>
      </c>
      <c r="G63" s="72" t="s">
        <v>645</v>
      </c>
      <c r="H63" s="71" t="s">
        <v>579</v>
      </c>
    </row>
    <row r="64" spans="1:8">
      <c r="A64" s="69" t="s">
        <v>655</v>
      </c>
      <c r="B64" s="70">
        <v>26</v>
      </c>
      <c r="C64" s="71" t="s">
        <v>406</v>
      </c>
      <c r="D64" s="72" t="s">
        <v>656</v>
      </c>
      <c r="E64" s="72" t="s">
        <v>657</v>
      </c>
      <c r="F64" s="71" t="s">
        <v>627</v>
      </c>
      <c r="G64" s="72" t="s">
        <v>486</v>
      </c>
      <c r="H64" s="71" t="s">
        <v>498</v>
      </c>
    </row>
    <row r="65" spans="1:8">
      <c r="A65" s="69" t="s">
        <v>658</v>
      </c>
      <c r="B65" s="70">
        <v>27</v>
      </c>
      <c r="C65" s="71" t="s">
        <v>659</v>
      </c>
      <c r="D65" s="72" t="s">
        <v>660</v>
      </c>
      <c r="E65" s="72" t="s">
        <v>661</v>
      </c>
      <c r="F65" s="71" t="s">
        <v>523</v>
      </c>
      <c r="G65" s="72" t="s">
        <v>662</v>
      </c>
      <c r="H65" s="71" t="s">
        <v>404</v>
      </c>
    </row>
    <row r="66" spans="1:8">
      <c r="A66" s="69" t="s">
        <v>663</v>
      </c>
      <c r="B66" s="70">
        <v>53</v>
      </c>
      <c r="C66" s="71" t="s">
        <v>664</v>
      </c>
      <c r="D66" s="72" t="s">
        <v>665</v>
      </c>
      <c r="E66" s="72" t="s">
        <v>666</v>
      </c>
      <c r="F66" s="71" t="s">
        <v>667</v>
      </c>
      <c r="G66" s="72" t="s">
        <v>668</v>
      </c>
      <c r="H66" s="71" t="s">
        <v>584</v>
      </c>
    </row>
    <row r="67" spans="1:8">
      <c r="A67" s="69" t="s">
        <v>669</v>
      </c>
      <c r="B67" s="70">
        <v>330</v>
      </c>
      <c r="C67" s="71" t="s">
        <v>591</v>
      </c>
      <c r="D67" s="72" t="s">
        <v>670</v>
      </c>
      <c r="E67" s="72" t="s">
        <v>671</v>
      </c>
      <c r="F67" s="71" t="s">
        <v>401</v>
      </c>
      <c r="G67" s="72" t="s">
        <v>672</v>
      </c>
      <c r="H67" s="71" t="s">
        <v>591</v>
      </c>
    </row>
    <row r="68" spans="1:8">
      <c r="A68" s="69" t="s">
        <v>673</v>
      </c>
      <c r="B68" s="70">
        <v>65</v>
      </c>
      <c r="C68" s="71" t="s">
        <v>525</v>
      </c>
      <c r="D68" s="72" t="s">
        <v>674</v>
      </c>
      <c r="E68" s="72" t="s">
        <v>675</v>
      </c>
      <c r="F68" s="71" t="s">
        <v>676</v>
      </c>
      <c r="G68" s="72" t="s">
        <v>677</v>
      </c>
      <c r="H68" s="71" t="s">
        <v>678</v>
      </c>
    </row>
    <row r="69" spans="1:8">
      <c r="A69" s="69" t="s">
        <v>679</v>
      </c>
      <c r="B69" s="70">
        <v>141</v>
      </c>
      <c r="C69" s="71" t="s">
        <v>530</v>
      </c>
      <c r="D69" s="72" t="s">
        <v>680</v>
      </c>
      <c r="E69" s="72" t="s">
        <v>681</v>
      </c>
      <c r="F69" s="71" t="s">
        <v>458</v>
      </c>
      <c r="G69" s="72" t="s">
        <v>682</v>
      </c>
      <c r="H69" s="71" t="s">
        <v>418</v>
      </c>
    </row>
    <row r="70" spans="1:8">
      <c r="A70" s="69" t="s">
        <v>683</v>
      </c>
      <c r="B70" s="70">
        <v>134</v>
      </c>
      <c r="C70" s="71" t="s">
        <v>684</v>
      </c>
      <c r="D70" s="72" t="s">
        <v>685</v>
      </c>
      <c r="E70" s="72" t="s">
        <v>686</v>
      </c>
      <c r="F70" s="71" t="s">
        <v>649</v>
      </c>
      <c r="G70" s="72" t="s">
        <v>553</v>
      </c>
      <c r="H70" s="71" t="s">
        <v>488</v>
      </c>
    </row>
    <row r="71" spans="1:8">
      <c r="A71" s="69" t="s">
        <v>687</v>
      </c>
      <c r="B71" s="70">
        <v>30</v>
      </c>
      <c r="C71" s="71" t="s">
        <v>455</v>
      </c>
      <c r="D71" s="72" t="s">
        <v>688</v>
      </c>
      <c r="E71" s="72" t="s">
        <v>689</v>
      </c>
      <c r="F71" s="71" t="s">
        <v>540</v>
      </c>
      <c r="G71" s="72" t="s">
        <v>690</v>
      </c>
      <c r="H71" s="71" t="s">
        <v>525</v>
      </c>
    </row>
    <row r="72" spans="1:8">
      <c r="A72" s="69" t="s">
        <v>691</v>
      </c>
      <c r="B72" s="70">
        <v>8</v>
      </c>
      <c r="C72" s="71" t="s">
        <v>558</v>
      </c>
      <c r="D72" s="72" t="s">
        <v>692</v>
      </c>
      <c r="E72" s="72" t="s">
        <v>693</v>
      </c>
      <c r="F72" s="71" t="s">
        <v>408</v>
      </c>
      <c r="G72" s="72" t="s">
        <v>694</v>
      </c>
      <c r="H72" s="71" t="s">
        <v>494</v>
      </c>
    </row>
    <row r="73" spans="1:8">
      <c r="A73" s="69" t="s">
        <v>695</v>
      </c>
      <c r="B73" s="70">
        <v>411</v>
      </c>
      <c r="C73" s="71" t="s">
        <v>453</v>
      </c>
      <c r="D73" s="72" t="s">
        <v>696</v>
      </c>
      <c r="E73" s="72" t="s">
        <v>697</v>
      </c>
      <c r="F73" s="71" t="s">
        <v>698</v>
      </c>
      <c r="G73" s="72" t="s">
        <v>699</v>
      </c>
      <c r="H73" s="71" t="s">
        <v>700</v>
      </c>
    </row>
    <row r="74" spans="1:8">
      <c r="A74" s="69" t="s">
        <v>701</v>
      </c>
      <c r="B74" s="70">
        <v>80</v>
      </c>
      <c r="C74" s="71" t="s">
        <v>525</v>
      </c>
      <c r="D74" s="72" t="s">
        <v>702</v>
      </c>
      <c r="E74" s="72" t="s">
        <v>703</v>
      </c>
      <c r="F74" s="71" t="s">
        <v>616</v>
      </c>
      <c r="G74" s="72" t="s">
        <v>704</v>
      </c>
      <c r="H74" s="71" t="s">
        <v>616</v>
      </c>
    </row>
    <row r="75" spans="1:8">
      <c r="A75" s="69" t="s">
        <v>705</v>
      </c>
      <c r="B75" s="70">
        <v>163</v>
      </c>
      <c r="C75" s="71" t="s">
        <v>706</v>
      </c>
      <c r="D75" s="72" t="s">
        <v>707</v>
      </c>
      <c r="E75" s="72" t="s">
        <v>708</v>
      </c>
      <c r="F75" s="71" t="s">
        <v>474</v>
      </c>
      <c r="G75" s="72" t="s">
        <v>709</v>
      </c>
      <c r="H75" s="71" t="s">
        <v>451</v>
      </c>
    </row>
    <row r="76" spans="1:8">
      <c r="A76" s="69" t="s">
        <v>710</v>
      </c>
      <c r="B76" s="70">
        <v>24</v>
      </c>
      <c r="C76" s="71" t="s">
        <v>420</v>
      </c>
      <c r="D76" s="72" t="s">
        <v>711</v>
      </c>
      <c r="E76" s="72" t="s">
        <v>712</v>
      </c>
      <c r="F76" s="71" t="s">
        <v>498</v>
      </c>
      <c r="G76" s="72" t="s">
        <v>713</v>
      </c>
      <c r="H76" s="71" t="s">
        <v>399</v>
      </c>
    </row>
    <row r="77" spans="1:8">
      <c r="A77" s="69" t="s">
        <v>714</v>
      </c>
      <c r="B77" s="70">
        <v>21</v>
      </c>
      <c r="C77" s="71" t="s">
        <v>715</v>
      </c>
      <c r="D77" s="72" t="s">
        <v>716</v>
      </c>
      <c r="E77" s="72" t="s">
        <v>717</v>
      </c>
      <c r="F77" s="71" t="s">
        <v>488</v>
      </c>
      <c r="G77" s="72" t="s">
        <v>718</v>
      </c>
      <c r="H77" s="71" t="s">
        <v>460</v>
      </c>
    </row>
    <row r="78" spans="1:8">
      <c r="A78" s="69" t="s">
        <v>719</v>
      </c>
      <c r="B78" s="70">
        <v>138</v>
      </c>
      <c r="C78" s="71" t="s">
        <v>474</v>
      </c>
      <c r="D78" s="72" t="s">
        <v>720</v>
      </c>
      <c r="E78" s="72" t="s">
        <v>721</v>
      </c>
      <c r="F78" s="71" t="s">
        <v>494</v>
      </c>
      <c r="G78" s="72" t="s">
        <v>722</v>
      </c>
      <c r="H78" s="71" t="s">
        <v>394</v>
      </c>
    </row>
    <row r="79" spans="1:8">
      <c r="A79" s="69" t="s">
        <v>723</v>
      </c>
      <c r="B79" s="70">
        <v>106</v>
      </c>
      <c r="C79" s="71" t="s">
        <v>724</v>
      </c>
      <c r="D79" s="72" t="s">
        <v>725</v>
      </c>
      <c r="E79" s="72" t="s">
        <v>726</v>
      </c>
      <c r="F79" s="71" t="s">
        <v>727</v>
      </c>
      <c r="G79" s="72" t="s">
        <v>728</v>
      </c>
      <c r="H79" s="71" t="s">
        <v>727</v>
      </c>
    </row>
    <row r="80" spans="1:8">
      <c r="A80" s="69" t="s">
        <v>729</v>
      </c>
      <c r="B80" s="70">
        <v>166</v>
      </c>
      <c r="C80" s="71" t="s">
        <v>730</v>
      </c>
      <c r="D80" s="72" t="s">
        <v>731</v>
      </c>
      <c r="E80" s="72" t="s">
        <v>732</v>
      </c>
      <c r="F80" s="71" t="s">
        <v>733</v>
      </c>
      <c r="G80" s="72" t="s">
        <v>734</v>
      </c>
      <c r="H80" s="71" t="s">
        <v>735</v>
      </c>
    </row>
    <row r="81" spans="1:8">
      <c r="A81" s="69" t="s">
        <v>736</v>
      </c>
      <c r="B81" s="70">
        <v>52</v>
      </c>
      <c r="C81" s="71" t="s">
        <v>472</v>
      </c>
      <c r="D81" s="72" t="s">
        <v>737</v>
      </c>
      <c r="E81" s="72" t="s">
        <v>738</v>
      </c>
      <c r="F81" s="71" t="s">
        <v>525</v>
      </c>
      <c r="G81" s="72" t="s">
        <v>739</v>
      </c>
      <c r="H81" s="71" t="s">
        <v>404</v>
      </c>
    </row>
    <row r="82" spans="1:8">
      <c r="A82" s="69" t="s">
        <v>740</v>
      </c>
      <c r="B82" s="70">
        <v>46</v>
      </c>
      <c r="C82" s="71" t="s">
        <v>523</v>
      </c>
      <c r="D82" s="72" t="s">
        <v>741</v>
      </c>
      <c r="E82" s="72" t="s">
        <v>742</v>
      </c>
      <c r="F82" s="71" t="s">
        <v>743</v>
      </c>
      <c r="G82" s="72" t="s">
        <v>744</v>
      </c>
      <c r="H82" s="71" t="s">
        <v>743</v>
      </c>
    </row>
    <row r="83" spans="1:8">
      <c r="A83" s="69" t="s">
        <v>745</v>
      </c>
      <c r="B83" s="70">
        <v>10</v>
      </c>
      <c r="C83" s="71" t="s">
        <v>472</v>
      </c>
      <c r="D83" s="72" t="s">
        <v>746</v>
      </c>
      <c r="E83" s="72" t="s">
        <v>747</v>
      </c>
      <c r="F83" s="71" t="s">
        <v>458</v>
      </c>
      <c r="G83" s="72" t="s">
        <v>748</v>
      </c>
      <c r="H83" s="71" t="s">
        <v>406</v>
      </c>
    </row>
    <row r="84" spans="1:8">
      <c r="A84" s="69" t="s">
        <v>749</v>
      </c>
      <c r="B84" s="70">
        <v>22</v>
      </c>
      <c r="C84" s="71" t="s">
        <v>420</v>
      </c>
      <c r="D84" s="72" t="s">
        <v>750</v>
      </c>
      <c r="E84" s="72" t="s">
        <v>751</v>
      </c>
      <c r="F84" s="71" t="s">
        <v>577</v>
      </c>
      <c r="G84" s="72" t="s">
        <v>501</v>
      </c>
      <c r="H84" s="71" t="s">
        <v>504</v>
      </c>
    </row>
    <row r="85" spans="1:8">
      <c r="A85" s="69" t="s">
        <v>752</v>
      </c>
      <c r="B85" s="70">
        <v>11</v>
      </c>
      <c r="C85" s="71" t="s">
        <v>427</v>
      </c>
      <c r="D85" s="72" t="s">
        <v>753</v>
      </c>
      <c r="E85" s="72" t="s">
        <v>754</v>
      </c>
      <c r="F85" s="71" t="s">
        <v>755</v>
      </c>
      <c r="G85" s="72" t="s">
        <v>756</v>
      </c>
      <c r="H85" s="71" t="s">
        <v>755</v>
      </c>
    </row>
    <row r="86" spans="1:8">
      <c r="A86" s="69" t="s">
        <v>757</v>
      </c>
      <c r="B86" s="70">
        <v>47</v>
      </c>
      <c r="C86" s="71" t="s">
        <v>758</v>
      </c>
      <c r="D86" s="72" t="s">
        <v>759</v>
      </c>
      <c r="E86" s="72" t="s">
        <v>760</v>
      </c>
      <c r="F86" s="71" t="s">
        <v>458</v>
      </c>
      <c r="G86" s="72" t="s">
        <v>761</v>
      </c>
      <c r="H86" s="71" t="s">
        <v>408</v>
      </c>
    </row>
    <row r="87" spans="1:8">
      <c r="A87" s="69" t="s">
        <v>762</v>
      </c>
      <c r="B87" s="70">
        <v>70</v>
      </c>
      <c r="C87" s="71" t="s">
        <v>706</v>
      </c>
      <c r="D87" s="72" t="s">
        <v>763</v>
      </c>
      <c r="E87" s="72" t="s">
        <v>764</v>
      </c>
      <c r="F87" s="71" t="s">
        <v>534</v>
      </c>
      <c r="G87" s="72" t="s">
        <v>765</v>
      </c>
      <c r="H87" s="71" t="s">
        <v>476</v>
      </c>
    </row>
    <row r="88" spans="1:8">
      <c r="A88" s="69" t="s">
        <v>766</v>
      </c>
      <c r="B88" s="70">
        <v>3</v>
      </c>
      <c r="C88" s="71" t="s">
        <v>618</v>
      </c>
      <c r="D88" s="72" t="s">
        <v>767</v>
      </c>
      <c r="E88" s="72" t="s">
        <v>768</v>
      </c>
      <c r="F88" s="71" t="s">
        <v>544</v>
      </c>
      <c r="G88" s="72" t="s">
        <v>769</v>
      </c>
      <c r="H88" s="71" t="s">
        <v>678</v>
      </c>
    </row>
    <row r="89" spans="1:8">
      <c r="A89" s="69" t="s">
        <v>770</v>
      </c>
      <c r="B89" s="70">
        <v>84</v>
      </c>
      <c r="C89" s="71" t="s">
        <v>649</v>
      </c>
      <c r="D89" s="72" t="s">
        <v>771</v>
      </c>
      <c r="E89" s="72" t="s">
        <v>772</v>
      </c>
      <c r="F89" s="71" t="s">
        <v>397</v>
      </c>
      <c r="G89" s="72" t="s">
        <v>773</v>
      </c>
      <c r="H89" s="71" t="s">
        <v>498</v>
      </c>
    </row>
    <row r="90" spans="1:8">
      <c r="A90" s="69" t="s">
        <v>774</v>
      </c>
      <c r="B90" s="70">
        <v>30</v>
      </c>
      <c r="C90" s="71" t="s">
        <v>415</v>
      </c>
      <c r="D90" s="72" t="s">
        <v>775</v>
      </c>
      <c r="E90" s="72" t="s">
        <v>776</v>
      </c>
      <c r="F90" s="71" t="s">
        <v>502</v>
      </c>
      <c r="G90" s="72" t="s">
        <v>777</v>
      </c>
      <c r="H90" s="71" t="s">
        <v>577</v>
      </c>
    </row>
    <row r="91" spans="1:8">
      <c r="A91" s="69" t="s">
        <v>778</v>
      </c>
      <c r="B91" s="70">
        <v>7</v>
      </c>
      <c r="C91" s="71" t="s">
        <v>467</v>
      </c>
      <c r="D91" s="72" t="s">
        <v>779</v>
      </c>
      <c r="E91" s="72" t="s">
        <v>780</v>
      </c>
      <c r="F91" s="71" t="s">
        <v>458</v>
      </c>
      <c r="G91" s="72" t="s">
        <v>781</v>
      </c>
      <c r="H91" s="71" t="s">
        <v>408</v>
      </c>
    </row>
    <row r="92" spans="1:8">
      <c r="A92" s="69" t="s">
        <v>782</v>
      </c>
      <c r="B92" s="70">
        <v>87</v>
      </c>
      <c r="C92" s="71" t="s">
        <v>558</v>
      </c>
      <c r="D92" s="72" t="s">
        <v>783</v>
      </c>
      <c r="E92" s="72" t="s">
        <v>784</v>
      </c>
      <c r="F92" s="71" t="s">
        <v>399</v>
      </c>
      <c r="G92" s="72" t="s">
        <v>785</v>
      </c>
      <c r="H92" s="71" t="s">
        <v>786</v>
      </c>
    </row>
    <row r="93" spans="1:8">
      <c r="A93" s="69" t="s">
        <v>787</v>
      </c>
      <c r="B93" s="70">
        <v>21</v>
      </c>
      <c r="C93" s="71" t="s">
        <v>733</v>
      </c>
      <c r="D93" s="72" t="s">
        <v>788</v>
      </c>
      <c r="E93" s="72" t="s">
        <v>507</v>
      </c>
      <c r="F93" s="71" t="s">
        <v>540</v>
      </c>
      <c r="G93" s="72" t="s">
        <v>789</v>
      </c>
      <c r="H93" s="71" t="s">
        <v>577</v>
      </c>
    </row>
    <row r="94" spans="1:8">
      <c r="A94" s="69" t="s">
        <v>790</v>
      </c>
      <c r="B94" s="70">
        <v>21</v>
      </c>
      <c r="C94" s="71" t="s">
        <v>579</v>
      </c>
      <c r="D94" s="72" t="s">
        <v>791</v>
      </c>
      <c r="E94" s="72" t="s">
        <v>792</v>
      </c>
      <c r="F94" s="71" t="s">
        <v>793</v>
      </c>
      <c r="G94" s="72" t="s">
        <v>794</v>
      </c>
      <c r="H94" s="71" t="s">
        <v>442</v>
      </c>
    </row>
    <row r="95" spans="1:8">
      <c r="A95" s="69" t="s">
        <v>795</v>
      </c>
      <c r="B95" s="70">
        <v>47</v>
      </c>
      <c r="C95" s="71" t="s">
        <v>394</v>
      </c>
      <c r="D95" s="72" t="s">
        <v>452</v>
      </c>
      <c r="E95" s="72" t="s">
        <v>796</v>
      </c>
      <c r="F95" s="71" t="s">
        <v>420</v>
      </c>
      <c r="G95" s="72" t="s">
        <v>797</v>
      </c>
      <c r="H95" s="71" t="s">
        <v>465</v>
      </c>
    </row>
    <row r="96" spans="1:8">
      <c r="A96" s="69" t="s">
        <v>798</v>
      </c>
      <c r="B96" s="70">
        <v>137</v>
      </c>
      <c r="C96" s="71" t="s">
        <v>420</v>
      </c>
      <c r="D96" s="72" t="s">
        <v>799</v>
      </c>
      <c r="E96" s="72" t="s">
        <v>800</v>
      </c>
      <c r="F96" s="71" t="s">
        <v>492</v>
      </c>
      <c r="G96" s="72" t="s">
        <v>801</v>
      </c>
      <c r="H96" s="71" t="s">
        <v>523</v>
      </c>
    </row>
    <row r="97" spans="1:8">
      <c r="A97" s="69" t="s">
        <v>802</v>
      </c>
      <c r="B97" s="70">
        <v>4</v>
      </c>
      <c r="C97" s="71" t="s">
        <v>483</v>
      </c>
      <c r="D97" s="72" t="s">
        <v>803</v>
      </c>
      <c r="E97" s="72" t="s">
        <v>804</v>
      </c>
      <c r="F97" s="71" t="s">
        <v>425</v>
      </c>
      <c r="G97" s="72" t="s">
        <v>680</v>
      </c>
      <c r="H97" s="71" t="s">
        <v>577</v>
      </c>
    </row>
    <row r="98" spans="1:8">
      <c r="A98" s="69" t="s">
        <v>805</v>
      </c>
      <c r="B98" s="70">
        <v>104</v>
      </c>
      <c r="C98" s="71" t="s">
        <v>570</v>
      </c>
      <c r="D98" s="72" t="s">
        <v>681</v>
      </c>
      <c r="E98" s="72" t="s">
        <v>806</v>
      </c>
      <c r="F98" s="71" t="s">
        <v>534</v>
      </c>
      <c r="G98" s="72" t="s">
        <v>807</v>
      </c>
      <c r="H98" s="71" t="s">
        <v>455</v>
      </c>
    </row>
    <row r="99" spans="1:8">
      <c r="A99" s="69" t="s">
        <v>808</v>
      </c>
      <c r="B99" s="70">
        <v>51</v>
      </c>
      <c r="C99" s="71" t="s">
        <v>809</v>
      </c>
      <c r="D99" s="72" t="s">
        <v>810</v>
      </c>
      <c r="E99" s="72" t="s">
        <v>811</v>
      </c>
      <c r="F99" s="71" t="s">
        <v>472</v>
      </c>
      <c r="G99" s="72" t="s">
        <v>812</v>
      </c>
      <c r="H99" s="71" t="s">
        <v>659</v>
      </c>
    </row>
    <row r="100" spans="1:8">
      <c r="A100" s="69" t="s">
        <v>813</v>
      </c>
      <c r="B100" s="70">
        <v>14</v>
      </c>
      <c r="C100" s="71" t="s">
        <v>814</v>
      </c>
      <c r="D100" s="72" t="s">
        <v>815</v>
      </c>
      <c r="E100" s="72" t="s">
        <v>816</v>
      </c>
      <c r="F100" s="71" t="s">
        <v>406</v>
      </c>
      <c r="G100" s="72" t="s">
        <v>817</v>
      </c>
      <c r="H100" s="71" t="s">
        <v>408</v>
      </c>
    </row>
    <row r="101" spans="1:8">
      <c r="A101" s="69" t="s">
        <v>818</v>
      </c>
      <c r="B101" s="70">
        <v>14</v>
      </c>
      <c r="C101" s="71" t="s">
        <v>624</v>
      </c>
      <c r="D101" s="72" t="s">
        <v>819</v>
      </c>
      <c r="E101" s="72" t="s">
        <v>820</v>
      </c>
      <c r="F101" s="71" t="s">
        <v>523</v>
      </c>
      <c r="G101" s="72" t="s">
        <v>821</v>
      </c>
      <c r="H101" s="71" t="s">
        <v>579</v>
      </c>
    </row>
    <row r="102" spans="1:8">
      <c r="A102" s="69" t="s">
        <v>822</v>
      </c>
      <c r="B102" s="70">
        <v>37</v>
      </c>
      <c r="C102" s="71" t="s">
        <v>570</v>
      </c>
      <c r="D102" s="72" t="s">
        <v>823</v>
      </c>
      <c r="E102" s="72" t="s">
        <v>824</v>
      </c>
      <c r="F102" s="71" t="s">
        <v>504</v>
      </c>
      <c r="G102" s="72" t="s">
        <v>825</v>
      </c>
      <c r="H102" s="71" t="s">
        <v>458</v>
      </c>
    </row>
    <row r="103" spans="1:8">
      <c r="A103" s="69" t="s">
        <v>826</v>
      </c>
      <c r="B103" s="70">
        <v>28</v>
      </c>
      <c r="C103" s="71" t="s">
        <v>724</v>
      </c>
      <c r="D103" s="72" t="s">
        <v>827</v>
      </c>
      <c r="E103" s="72" t="s">
        <v>828</v>
      </c>
      <c r="F103" s="71" t="s">
        <v>829</v>
      </c>
      <c r="G103" s="72" t="s">
        <v>722</v>
      </c>
      <c r="H103" s="71" t="s">
        <v>445</v>
      </c>
    </row>
    <row r="104" spans="1:8">
      <c r="A104" s="69" t="s">
        <v>830</v>
      </c>
      <c r="B104" s="70">
        <v>131</v>
      </c>
      <c r="C104" s="71" t="s">
        <v>455</v>
      </c>
      <c r="D104" s="72" t="s">
        <v>831</v>
      </c>
      <c r="E104" s="72" t="s">
        <v>832</v>
      </c>
      <c r="F104" s="71" t="s">
        <v>530</v>
      </c>
      <c r="G104" s="72" t="s">
        <v>833</v>
      </c>
      <c r="H104" s="71" t="s">
        <v>476</v>
      </c>
    </row>
    <row r="105" spans="1:8">
      <c r="A105" s="69" t="s">
        <v>834</v>
      </c>
      <c r="B105" s="70">
        <v>82</v>
      </c>
      <c r="C105" s="71" t="s">
        <v>408</v>
      </c>
      <c r="D105" s="72" t="s">
        <v>835</v>
      </c>
      <c r="E105" s="72" t="s">
        <v>836</v>
      </c>
      <c r="F105" s="71" t="s">
        <v>793</v>
      </c>
      <c r="G105" s="72" t="s">
        <v>837</v>
      </c>
      <c r="H105" s="71" t="s">
        <v>584</v>
      </c>
    </row>
    <row r="106" spans="1:8">
      <c r="A106" s="69" t="s">
        <v>838</v>
      </c>
      <c r="B106" s="70">
        <v>223</v>
      </c>
      <c r="C106" s="71" t="s">
        <v>839</v>
      </c>
      <c r="D106" s="72" t="s">
        <v>840</v>
      </c>
      <c r="E106" s="72" t="s">
        <v>841</v>
      </c>
      <c r="F106" s="71" t="s">
        <v>842</v>
      </c>
      <c r="G106" s="72" t="s">
        <v>843</v>
      </c>
      <c r="H106" s="71" t="s">
        <v>840</v>
      </c>
    </row>
    <row r="107" spans="1:8">
      <c r="A107" s="69" t="s">
        <v>844</v>
      </c>
      <c r="B107" s="70">
        <v>12</v>
      </c>
      <c r="C107" s="71" t="s">
        <v>408</v>
      </c>
      <c r="D107" s="72" t="s">
        <v>845</v>
      </c>
      <c r="E107" s="72" t="s">
        <v>846</v>
      </c>
      <c r="F107" s="71" t="s">
        <v>577</v>
      </c>
      <c r="G107" s="72" t="s">
        <v>847</v>
      </c>
      <c r="H107" s="71" t="s">
        <v>624</v>
      </c>
    </row>
    <row r="108" spans="1:8">
      <c r="A108" s="69" t="s">
        <v>848</v>
      </c>
      <c r="B108" s="70">
        <v>22</v>
      </c>
      <c r="C108" s="71" t="s">
        <v>401</v>
      </c>
      <c r="D108" s="72" t="s">
        <v>849</v>
      </c>
      <c r="E108" s="72" t="s">
        <v>850</v>
      </c>
      <c r="F108" s="71" t="s">
        <v>649</v>
      </c>
      <c r="G108" s="72" t="s">
        <v>851</v>
      </c>
      <c r="H108" s="71" t="s">
        <v>406</v>
      </c>
    </row>
    <row r="109" spans="1:8">
      <c r="A109" s="69" t="s">
        <v>852</v>
      </c>
      <c r="B109" s="70">
        <v>28</v>
      </c>
      <c r="C109" s="71" t="s">
        <v>451</v>
      </c>
      <c r="D109" s="72" t="s">
        <v>853</v>
      </c>
      <c r="E109" s="72" t="s">
        <v>625</v>
      </c>
      <c r="F109" s="71" t="s">
        <v>492</v>
      </c>
      <c r="G109" s="72" t="s">
        <v>854</v>
      </c>
      <c r="H109" s="71" t="s">
        <v>540</v>
      </c>
    </row>
    <row r="110" spans="1:8">
      <c r="A110" s="69" t="s">
        <v>855</v>
      </c>
      <c r="B110" s="70">
        <v>20</v>
      </c>
      <c r="C110" s="71" t="s">
        <v>618</v>
      </c>
      <c r="D110" s="72" t="s">
        <v>856</v>
      </c>
      <c r="E110" s="72" t="s">
        <v>857</v>
      </c>
      <c r="F110" s="71" t="s">
        <v>858</v>
      </c>
      <c r="G110" s="72" t="s">
        <v>859</v>
      </c>
      <c r="H110" s="71" t="s">
        <v>858</v>
      </c>
    </row>
    <row r="111" spans="1:8">
      <c r="A111" s="69" t="s">
        <v>860</v>
      </c>
      <c r="B111" s="70">
        <v>20</v>
      </c>
      <c r="C111" s="71" t="s">
        <v>492</v>
      </c>
      <c r="D111" s="72" t="s">
        <v>861</v>
      </c>
      <c r="E111" s="72" t="s">
        <v>630</v>
      </c>
      <c r="F111" s="71" t="s">
        <v>698</v>
      </c>
      <c r="G111" s="72" t="s">
        <v>862</v>
      </c>
      <c r="H111" s="71" t="s">
        <v>698</v>
      </c>
    </row>
    <row r="112" spans="1:8">
      <c r="A112" s="78" t="s">
        <v>863</v>
      </c>
      <c r="B112" s="79">
        <v>7766</v>
      </c>
      <c r="C112" s="80" t="s">
        <v>401</v>
      </c>
      <c r="D112" s="81" t="s">
        <v>864</v>
      </c>
      <c r="E112" s="81" t="s">
        <v>865</v>
      </c>
      <c r="F112" s="80" t="s">
        <v>667</v>
      </c>
      <c r="G112" s="81" t="s">
        <v>866</v>
      </c>
      <c r="H112" s="80" t="s">
        <v>867</v>
      </c>
    </row>
    <row r="114" spans="1:6">
      <c r="A114" s="62" t="s">
        <v>868</v>
      </c>
      <c r="F114" s="82">
        <v>1.1299999999999999</v>
      </c>
    </row>
  </sheetData>
  <phoneticPr fontId="67" type="noConversion"/>
  <hyperlinks>
    <hyperlink ref="B7" r:id="rId1" display="http://www.stern.nyu.edu/~adamodar/pc/datasets/betas.xls"/>
    <hyperlink ref="B9" r:id="rId2" display="http://pages.stern.nyu.edu/~adamodar/New_Home_Page/datafile/variable.htm"/>
    <hyperlink ref="B12" r:id="rId3" display="http://www.stern.nyu.edu/~adamodar/pc/datasets/indname.xls"/>
  </hyperlinks>
  <printOptions gridLinesSet="0"/>
  <pageMargins left="0.75" right="0.75" top="1" bottom="1" header="0.5" footer="0.5"/>
  <headerFooter alignWithMargins="0">
    <oddHeader>&amp;A</oddHeader>
    <oddFooter>Page &amp;P</odd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enableFormatConditionsCalculation="0"/>
  <dimension ref="A1:S34"/>
  <sheetViews>
    <sheetView showGridLines="0" topLeftCell="A5" zoomScale="70" zoomScaleNormal="70" zoomScalePageLayoutView="70" workbookViewId="0">
      <selection activeCell="H28" sqref="H28"/>
    </sheetView>
  </sheetViews>
  <sheetFormatPr baseColWidth="10" defaultColWidth="8.88671875" defaultRowHeight="15"/>
  <cols>
    <col min="1" max="1" width="3.6640625" customWidth="1"/>
    <col min="2" max="2" width="22.6640625" customWidth="1"/>
    <col min="3" max="13" width="14.6640625" customWidth="1"/>
    <col min="15" max="15" width="12.88671875" bestFit="1" customWidth="1"/>
  </cols>
  <sheetData>
    <row r="1" spans="1:19" ht="15.75">
      <c r="A1" s="1" t="str">
        <f>+Balance!A1</f>
        <v>Compañía Modelo - EVA</v>
      </c>
      <c r="B1" s="2"/>
      <c r="C1" s="34"/>
      <c r="D1" s="34"/>
      <c r="E1" s="34"/>
      <c r="F1" s="34"/>
      <c r="G1" s="34"/>
      <c r="H1" s="34"/>
      <c r="I1" s="34"/>
      <c r="J1" s="34"/>
      <c r="K1" s="34"/>
      <c r="L1" s="34"/>
      <c r="M1" s="34"/>
    </row>
    <row r="2" spans="1:19" ht="15.75">
      <c r="A2" s="1" t="s">
        <v>33</v>
      </c>
      <c r="B2" s="2"/>
      <c r="C2" s="34"/>
      <c r="D2" s="34"/>
      <c r="E2" s="34"/>
      <c r="F2" s="34"/>
      <c r="G2" s="34"/>
      <c r="H2" s="34"/>
      <c r="I2" s="34"/>
      <c r="J2" s="34"/>
      <c r="K2" s="34"/>
      <c r="L2" s="34"/>
      <c r="M2" s="34"/>
      <c r="N2" s="43"/>
    </row>
    <row r="3" spans="1:19">
      <c r="A3" s="2" t="s">
        <v>287</v>
      </c>
      <c r="B3" s="2"/>
      <c r="C3" s="40"/>
      <c r="D3" s="40"/>
      <c r="E3" s="40"/>
      <c r="F3" s="260"/>
      <c r="G3" s="260"/>
      <c r="H3" s="40"/>
      <c r="I3" s="47"/>
      <c r="J3" s="47"/>
      <c r="K3" s="47"/>
      <c r="L3" s="47"/>
      <c r="M3" s="47"/>
    </row>
    <row r="4" spans="1:19">
      <c r="C4" s="445"/>
      <c r="D4" s="445"/>
      <c r="E4" s="445"/>
      <c r="F4" s="445"/>
      <c r="G4" s="445"/>
      <c r="H4" s="445"/>
      <c r="I4" s="510"/>
      <c r="J4" s="445"/>
      <c r="K4" s="445"/>
      <c r="L4" s="445"/>
      <c r="M4" s="445"/>
    </row>
    <row r="5" spans="1:19" ht="16.5" thickBot="1">
      <c r="A5" s="2"/>
      <c r="B5" s="2"/>
      <c r="C5" s="3">
        <f>Balance!C5</f>
        <v>2009</v>
      </c>
      <c r="D5" s="3">
        <f>C5+1</f>
        <v>2010</v>
      </c>
      <c r="E5" s="3">
        <f>D5+1</f>
        <v>2011</v>
      </c>
      <c r="F5" s="3">
        <f>E5+1</f>
        <v>2012</v>
      </c>
      <c r="G5" s="3">
        <f>F5+1</f>
        <v>2013</v>
      </c>
      <c r="H5" s="3" t="s">
        <v>342</v>
      </c>
      <c r="I5" s="3" t="s">
        <v>343</v>
      </c>
      <c r="J5" s="3" t="s">
        <v>344</v>
      </c>
      <c r="K5" s="3" t="s">
        <v>345</v>
      </c>
      <c r="L5" s="3" t="s">
        <v>346</v>
      </c>
      <c r="M5" s="3" t="s">
        <v>347</v>
      </c>
    </row>
    <row r="6" spans="1:19">
      <c r="G6" s="260"/>
      <c r="H6" s="260"/>
    </row>
    <row r="7" spans="1:19" ht="15.75">
      <c r="A7" s="1" t="s">
        <v>34</v>
      </c>
      <c r="B7" s="2"/>
      <c r="C7" s="2">
        <f>+'Estado de resultados'!E10</f>
        <v>82168506</v>
      </c>
      <c r="D7" s="2">
        <f>+'Estado de resultados'!F10</f>
        <v>92362888</v>
      </c>
      <c r="E7" s="2">
        <f>+'Estado de resultados'!G10</f>
        <v>109079152</v>
      </c>
      <c r="F7" s="2">
        <f>+'Estado de resultados'!H10</f>
        <v>133173630</v>
      </c>
      <c r="G7" s="2">
        <f>+'Estado de resultados'!$I$10</f>
        <v>188970220</v>
      </c>
      <c r="H7" s="2">
        <f>+Supuestos!F51</f>
        <v>222718250.63338894</v>
      </c>
      <c r="I7" s="2">
        <f>+Supuestos!G51</f>
        <v>246041696.33152092</v>
      </c>
      <c r="J7" s="2">
        <f>+Supuestos!H51</f>
        <v>269311276.07352322</v>
      </c>
      <c r="K7" s="2">
        <f>+Supuestos!I51</f>
        <v>294325514.03584743</v>
      </c>
      <c r="L7" s="2">
        <f>+Supuestos!J51</f>
        <v>294325514.03584743</v>
      </c>
      <c r="M7" s="2">
        <f>+Supuestos!K51</f>
        <v>294325514.03584743</v>
      </c>
    </row>
    <row r="8" spans="1:19" s="38" customFormat="1" ht="15.75" thickBot="1">
      <c r="A8" s="60" t="s">
        <v>35</v>
      </c>
      <c r="B8" s="60"/>
      <c r="C8" s="95">
        <f>+'Estado de resultados'!E11</f>
        <v>-56163346</v>
      </c>
      <c r="D8" s="95">
        <f>+'Estado de resultados'!F11</f>
        <v>-60677052</v>
      </c>
      <c r="E8" s="95">
        <f>+'Estado de resultados'!G11</f>
        <v>-75022004</v>
      </c>
      <c r="F8" s="95">
        <f>+'Estado de resultados'!H11</f>
        <v>-93013103</v>
      </c>
      <c r="G8" s="95">
        <f>+'Estado de resultados'!$I$11</f>
        <v>-129591604</v>
      </c>
      <c r="H8" s="95">
        <f>+G8*(1+Supuestos!F29)*(1+Supuestos!$C$86)</f>
        <v>-144042895.88202205</v>
      </c>
      <c r="I8" s="95">
        <f>+H8*(1+Supuestos!G29)*(1+Supuestos!$C$86)</f>
        <v>-154431162.3022891</v>
      </c>
      <c r="J8" s="95">
        <f>+I8*(1+Supuestos!H29)*(1+Supuestos!$C$86)</f>
        <v>-164195767.05144885</v>
      </c>
      <c r="K8" s="95">
        <f>+J8*(1+Supuestos!I29)</f>
        <v>-179840137.81967357</v>
      </c>
      <c r="L8" s="95">
        <f>+J8*(1+Supuestos!J29)</f>
        <v>-179840137.81967357</v>
      </c>
      <c r="M8" s="95">
        <f>+J8*(1+Supuestos!K29)</f>
        <v>-179840137.81967357</v>
      </c>
      <c r="N8" s="95"/>
    </row>
    <row r="9" spans="1:19" s="38" customFormat="1" ht="15.75">
      <c r="A9" s="88" t="s">
        <v>36</v>
      </c>
      <c r="B9" s="60"/>
      <c r="C9" s="93">
        <f t="shared" ref="C9:M9" si="0">SUM(C7:C8)</f>
        <v>26005160</v>
      </c>
      <c r="D9" s="93">
        <f t="shared" si="0"/>
        <v>31685836</v>
      </c>
      <c r="E9" s="93">
        <f t="shared" si="0"/>
        <v>34057148</v>
      </c>
      <c r="F9" s="93">
        <f t="shared" si="0"/>
        <v>40160527</v>
      </c>
      <c r="G9" s="93">
        <f t="shared" si="0"/>
        <v>59378616</v>
      </c>
      <c r="H9" s="93">
        <f t="shared" si="0"/>
        <v>78675354.751366884</v>
      </c>
      <c r="I9" s="93">
        <f t="shared" si="0"/>
        <v>91610534.029231817</v>
      </c>
      <c r="J9" s="93">
        <f t="shared" si="0"/>
        <v>105115509.02207437</v>
      </c>
      <c r="K9" s="93">
        <f t="shared" si="0"/>
        <v>114485376.21617386</v>
      </c>
      <c r="L9" s="93">
        <f t="shared" si="0"/>
        <v>114485376.21617386</v>
      </c>
      <c r="M9" s="93">
        <f t="shared" si="0"/>
        <v>114485376.21617386</v>
      </c>
      <c r="N9" s="484"/>
      <c r="O9" s="483"/>
    </row>
    <row r="10" spans="1:19" s="38" customFormat="1" ht="15.75">
      <c r="A10" s="88"/>
      <c r="B10" s="60"/>
      <c r="C10" s="94"/>
      <c r="D10" s="94"/>
      <c r="E10" s="94"/>
      <c r="F10" s="94"/>
      <c r="G10" s="89"/>
      <c r="H10" s="130"/>
      <c r="I10" s="89"/>
      <c r="J10" s="415"/>
      <c r="K10" s="525">
        <f>+K9/K7</f>
        <v>0.38897537167719037</v>
      </c>
      <c r="L10" s="525">
        <f>+L9/L7</f>
        <v>0.38897537167719037</v>
      </c>
      <c r="M10" s="525">
        <f>+M9/M7</f>
        <v>0.38897537167719037</v>
      </c>
      <c r="O10" s="130"/>
    </row>
    <row r="11" spans="1:19" s="38" customFormat="1" ht="15.75">
      <c r="A11" s="88" t="s">
        <v>37</v>
      </c>
      <c r="B11" s="60"/>
      <c r="C11" s="130"/>
      <c r="D11" s="130"/>
      <c r="E11" s="130"/>
      <c r="F11" s="130"/>
      <c r="G11" s="254">
        <f>+G12+G13</f>
        <v>-38698056</v>
      </c>
      <c r="H11" s="254">
        <f>+H12+H13</f>
        <v>-39746773.317599997</v>
      </c>
      <c r="I11" s="130"/>
      <c r="J11" s="130"/>
      <c r="K11" s="130"/>
      <c r="L11" s="130"/>
      <c r="M11" s="130"/>
    </row>
    <row r="12" spans="1:19" s="84" customFormat="1" ht="15.75">
      <c r="A12" s="283"/>
      <c r="B12" s="134" t="s">
        <v>38</v>
      </c>
      <c r="C12" s="461">
        <f>+'Estado de resultados'!E15</f>
        <v>-13231850</v>
      </c>
      <c r="D12" s="461">
        <f>+'Estado de resultados'!F15</f>
        <v>-15951469</v>
      </c>
      <c r="E12" s="461">
        <f>+'Estado de resultados'!G15</f>
        <v>-16379115</v>
      </c>
      <c r="F12" s="461">
        <f>+'Estado de resultados'!H15</f>
        <v>-20440378</v>
      </c>
      <c r="G12" s="461">
        <f>+'Estado de resultados'!$I$15</f>
        <v>-30065852</v>
      </c>
      <c r="H12" s="461">
        <f>+G12*(1+Supuestos!F28)</f>
        <v>-30880636.589199997</v>
      </c>
      <c r="I12" s="461">
        <f>+H12*(1+Supuestos!G28)</f>
        <v>-31964546.933480915</v>
      </c>
      <c r="J12" s="461">
        <f>+I12*(1+Supuestos!H28)</f>
        <v>-33153628.079406403</v>
      </c>
      <c r="K12" s="461">
        <f>+J12*(1+Supuestos!I28)</f>
        <v>-34413465.946423851</v>
      </c>
      <c r="L12" s="461">
        <f>+J12*(1+Supuestos!J28)</f>
        <v>-34413465.946423851</v>
      </c>
      <c r="M12" s="461">
        <f>+J12*(1+Supuestos!K28)</f>
        <v>-34413465.946423851</v>
      </c>
    </row>
    <row r="13" spans="1:19" s="84" customFormat="1" ht="15.75">
      <c r="A13" s="283"/>
      <c r="B13" s="134" t="s">
        <v>39</v>
      </c>
      <c r="C13" s="461">
        <f>+'Estado de resultados'!E14</f>
        <v>-4453114</v>
      </c>
      <c r="D13" s="461">
        <f>+'Estado de resultados'!F14</f>
        <v>-5264126</v>
      </c>
      <c r="E13" s="461">
        <f>+'Estado de resultados'!G14</f>
        <v>-6494542</v>
      </c>
      <c r="F13" s="461">
        <f>+'Estado de resultados'!H14</f>
        <v>-7326949</v>
      </c>
      <c r="G13" s="461">
        <f>+'Estado de resultados'!$I$14</f>
        <v>-8632204</v>
      </c>
      <c r="H13" s="461">
        <f>+G13*(1+Supuestos!F28)</f>
        <v>-8866136.7283999994</v>
      </c>
      <c r="I13" s="461">
        <f>+H13*(1+Supuestos!G28)</f>
        <v>-9177338.1275668386</v>
      </c>
      <c r="J13" s="461">
        <f>+I13*(1+Supuestos!H28)</f>
        <v>-9518735.105912324</v>
      </c>
      <c r="K13" s="461">
        <f>+J13*(1+Supuestos!I28)</f>
        <v>-9880447.0399369933</v>
      </c>
      <c r="L13" s="461">
        <f>+J13*(1+Supuestos!J28)</f>
        <v>-9880447.0399369933</v>
      </c>
      <c r="M13" s="461">
        <f>+J13*(1+Supuestos!K28)</f>
        <v>-9880447.0399369933</v>
      </c>
    </row>
    <row r="14" spans="1:19" s="86" customFormat="1">
      <c r="A14" s="60"/>
      <c r="B14" s="60" t="s">
        <v>46</v>
      </c>
      <c r="C14" s="235">
        <f>+'Estado de resultados'!E21</f>
        <v>689782</v>
      </c>
      <c r="D14" s="235">
        <f>+'Estado de resultados'!F21</f>
        <v>590460</v>
      </c>
      <c r="E14" s="235">
        <f>+'Estado de resultados'!G21</f>
        <v>1091520</v>
      </c>
      <c r="F14" s="235">
        <f>+'Estado de resultados'!H21</f>
        <v>825711</v>
      </c>
      <c r="G14" s="235">
        <f>+'Estado de resultados'!$I$21</f>
        <v>1758461</v>
      </c>
      <c r="H14" s="261">
        <f>+G14*(1+Supuestos!F28)</f>
        <v>1806115.2930999999</v>
      </c>
      <c r="I14" s="261">
        <f>+H14*(1+Supuestos!G28)</f>
        <v>1869509.9398878098</v>
      </c>
      <c r="J14" s="261">
        <f>+I14*(1+Supuestos!H28)</f>
        <v>1939055.7096516362</v>
      </c>
      <c r="K14" s="261">
        <f>+J14*(1+Supuestos!I28)</f>
        <v>2012739.8266183985</v>
      </c>
      <c r="L14" s="261">
        <f>+J14*(1+Supuestos!J28)</f>
        <v>2012739.8266183985</v>
      </c>
      <c r="M14" s="261">
        <f>+J14*(1+Supuestos!K28)</f>
        <v>2012739.8266183985</v>
      </c>
      <c r="N14" s="87"/>
      <c r="O14" s="87"/>
      <c r="P14" s="87"/>
      <c r="Q14" s="87"/>
      <c r="R14" s="87"/>
      <c r="S14" s="87"/>
    </row>
    <row r="15" spans="1:19" s="86" customFormat="1" ht="15.75" thickBot="1">
      <c r="A15" s="60"/>
      <c r="B15" s="60" t="s">
        <v>47</v>
      </c>
      <c r="C15" s="95">
        <f>+'Estado de resultados'!E22</f>
        <v>-547046</v>
      </c>
      <c r="D15" s="95">
        <f>+'Estado de resultados'!F22</f>
        <v>-924913</v>
      </c>
      <c r="E15" s="95">
        <f>+'Estado de resultados'!G22</f>
        <v>-1411151</v>
      </c>
      <c r="F15" s="95">
        <f>+'Estado de resultados'!H22</f>
        <v>-4996495</v>
      </c>
      <c r="G15" s="95">
        <f>+'Estado de resultados'!$I$22</f>
        <v>-3815183</v>
      </c>
      <c r="H15" s="95">
        <f>+G15*(1+Supuestos!F28)</f>
        <v>-3918574.4592999998</v>
      </c>
      <c r="I15" s="95">
        <f>+H15*(1+Supuestos!G28)</f>
        <v>-4056116.4228214296</v>
      </c>
      <c r="J15" s="95">
        <f>+I15*(1+Supuestos!H28)</f>
        <v>-4207003.9537503859</v>
      </c>
      <c r="K15" s="95">
        <f>+J15*(1+Supuestos!I28)</f>
        <v>-4366870.1039929008</v>
      </c>
      <c r="L15" s="95">
        <f>+J15*(1+Supuestos!J28)</f>
        <v>-4366870.1039929008</v>
      </c>
      <c r="M15" s="95">
        <f>+J15*(1+Supuestos!K28)</f>
        <v>-4366870.1039929008</v>
      </c>
      <c r="N15" s="87"/>
      <c r="O15" s="87"/>
      <c r="P15" s="87"/>
      <c r="Q15" s="87"/>
      <c r="R15" s="87"/>
      <c r="S15" s="87"/>
    </row>
    <row r="16" spans="1:19" ht="15.75">
      <c r="A16" s="1" t="s">
        <v>40</v>
      </c>
      <c r="B16" s="2"/>
      <c r="C16" s="4">
        <f>C9+C12+C13+C14+C15</f>
        <v>8462932</v>
      </c>
      <c r="D16" s="4">
        <f t="shared" ref="D16:M16" si="1">D9+D12+D13+D14+D15</f>
        <v>10135788</v>
      </c>
      <c r="E16" s="4">
        <f t="shared" si="1"/>
        <v>10863860</v>
      </c>
      <c r="F16" s="4">
        <f t="shared" si="1"/>
        <v>8222416</v>
      </c>
      <c r="G16" s="4">
        <f t="shared" si="1"/>
        <v>18623838</v>
      </c>
      <c r="H16" s="4">
        <f t="shared" si="1"/>
        <v>36816122.26756689</v>
      </c>
      <c r="I16" s="4">
        <f t="shared" si="1"/>
        <v>48282042.485250436</v>
      </c>
      <c r="J16" s="4">
        <f t="shared" si="1"/>
        <v>60175197.592656881</v>
      </c>
      <c r="K16" s="4">
        <f t="shared" si="1"/>
        <v>67837332.952438518</v>
      </c>
      <c r="L16" s="4">
        <f t="shared" si="1"/>
        <v>67837332.952438518</v>
      </c>
      <c r="M16" s="4">
        <f t="shared" si="1"/>
        <v>67837332.952438518</v>
      </c>
    </row>
    <row r="17" spans="1:19" ht="15.75">
      <c r="A17" s="1"/>
      <c r="B17" s="2"/>
      <c r="C17" s="35"/>
      <c r="D17" s="35"/>
      <c r="E17" s="35"/>
      <c r="F17" s="35"/>
      <c r="G17" s="35"/>
      <c r="H17" s="35"/>
      <c r="I17" s="41"/>
      <c r="J17" s="41"/>
      <c r="K17" s="524">
        <f>+K16/K7</f>
        <v>0.23048403796952602</v>
      </c>
      <c r="L17" s="524">
        <f>+L16/L7</f>
        <v>0.23048403796952602</v>
      </c>
      <c r="M17" s="524">
        <f>+M16/M7</f>
        <v>0.23048403796952602</v>
      </c>
      <c r="N17" s="50"/>
      <c r="O17" s="50"/>
      <c r="P17" s="50"/>
      <c r="Q17" s="50"/>
      <c r="R17" s="50"/>
      <c r="S17" s="50"/>
    </row>
    <row r="18" spans="1:19" s="86" customFormat="1" ht="15.75">
      <c r="A18" s="256" t="s">
        <v>41</v>
      </c>
      <c r="B18" s="91"/>
      <c r="C18" s="131"/>
      <c r="D18" s="131"/>
      <c r="E18" s="131"/>
      <c r="F18" s="131"/>
      <c r="G18" s="131"/>
      <c r="H18" s="56"/>
      <c r="I18" s="91"/>
      <c r="J18" s="91"/>
      <c r="K18" s="91"/>
      <c r="L18" s="91"/>
      <c r="M18" s="91"/>
      <c r="N18" s="87"/>
      <c r="O18" s="87"/>
      <c r="P18" s="87"/>
      <c r="Q18" s="87"/>
      <c r="R18" s="87"/>
      <c r="S18" s="87"/>
    </row>
    <row r="19" spans="1:19" s="259" customFormat="1" ht="15.75">
      <c r="A19" s="256"/>
      <c r="B19" s="257" t="s">
        <v>42</v>
      </c>
      <c r="C19" s="238">
        <f>+'Estado de resultados'!E19</f>
        <v>1582094</v>
      </c>
      <c r="D19" s="238">
        <f>+'Estado de resultados'!F19</f>
        <v>1384090</v>
      </c>
      <c r="E19" s="238">
        <f>+'Estado de resultados'!G19</f>
        <v>1201980</v>
      </c>
      <c r="F19" s="238">
        <f>+'Estado de resultados'!H19</f>
        <v>5725961</v>
      </c>
      <c r="G19" s="238">
        <f>+'Estado de resultados'!$I$19</f>
        <v>13552238</v>
      </c>
      <c r="H19" s="262">
        <f>+'Deuda actual '!D68*(1+Supuestos!F30)</f>
        <v>2561588.9625000004</v>
      </c>
      <c r="I19" s="262">
        <f>+H19*(1+Supuestos!G30)</f>
        <v>2639973.5847525001</v>
      </c>
      <c r="J19" s="262">
        <f>+I19*(1+Supuestos!H30)</f>
        <v>2722868.7553137289</v>
      </c>
      <c r="K19" s="262">
        <f>+J19*(1+Supuestos!I30)</f>
        <v>2807277.6867284542</v>
      </c>
      <c r="L19" s="262">
        <f>+J19*(1+Supuestos!J30)</f>
        <v>2807277.6867284542</v>
      </c>
      <c r="M19" s="262">
        <f>+J19*(1+Supuestos!K30)</f>
        <v>2807277.6867284542</v>
      </c>
      <c r="N19" s="263"/>
      <c r="O19" s="263"/>
      <c r="P19" s="263"/>
      <c r="Q19" s="263"/>
      <c r="R19" s="263"/>
      <c r="S19" s="263"/>
    </row>
    <row r="20" spans="1:19" s="263" customFormat="1">
      <c r="A20" s="258"/>
      <c r="B20" s="258" t="s">
        <v>43</v>
      </c>
      <c r="C20" s="367">
        <f>+'Estado de resultados'!E20</f>
        <v>-2096022</v>
      </c>
      <c r="D20" s="367">
        <f>+'Estado de resultados'!F20</f>
        <v>-2067665</v>
      </c>
      <c r="E20" s="367">
        <f>+'Estado de resultados'!G20</f>
        <v>-4377044</v>
      </c>
      <c r="F20" s="367">
        <f>+'Estado de resultados'!H20</f>
        <v>-13740552</v>
      </c>
      <c r="G20" s="367">
        <f>+'Estado de resultados'!$I$20</f>
        <v>-21347256</v>
      </c>
      <c r="H20" s="367">
        <f>-'Deuda actual '!G21-'Deuda actual '!C65</f>
        <v>-4416223.7758189254</v>
      </c>
      <c r="I20" s="367">
        <f>-'Deuda actual '!G33-'Deuda actual '!D65</f>
        <v>-3763153.9337373655</v>
      </c>
      <c r="J20" s="367">
        <f>-'Deuda actual '!G45-'Deuda nueva'!G20-'Deuda actual '!E65</f>
        <v>-3855736.5724228839</v>
      </c>
      <c r="K20" s="367">
        <f>-'Deuda actual '!G57-'Deuda nueva'!G32-'Deuda actual '!F65</f>
        <v>-2918574.4682077141</v>
      </c>
      <c r="L20" s="367">
        <f>-'Deuda nueva'!G44-'Deuda actual '!G65</f>
        <v>-2320931.0902194725</v>
      </c>
      <c r="M20" s="367">
        <f>-'Deuda nueva'!G56-'Deuda actual '!H65</f>
        <v>-2164898.2654857147</v>
      </c>
    </row>
    <row r="21" spans="1:19" s="259" customFormat="1" ht="16.5" thickBot="1">
      <c r="A21" s="256"/>
      <c r="B21" s="257" t="s">
        <v>44</v>
      </c>
      <c r="C21" s="281">
        <v>0</v>
      </c>
      <c r="D21" s="282">
        <v>0</v>
      </c>
      <c r="E21" s="282">
        <v>0</v>
      </c>
      <c r="F21" s="282">
        <v>0</v>
      </c>
      <c r="G21" s="282">
        <v>0</v>
      </c>
      <c r="H21" s="281">
        <v>0</v>
      </c>
      <c r="I21" s="282">
        <v>0</v>
      </c>
      <c r="J21" s="282">
        <v>0</v>
      </c>
      <c r="K21" s="282">
        <v>0</v>
      </c>
      <c r="L21" s="282">
        <v>0</v>
      </c>
      <c r="M21" s="282">
        <v>0</v>
      </c>
      <c r="N21" s="263"/>
      <c r="O21" s="263"/>
      <c r="P21" s="263"/>
      <c r="Q21" s="263"/>
      <c r="R21" s="263"/>
      <c r="S21" s="263"/>
    </row>
    <row r="22" spans="1:19" s="259" customFormat="1" ht="15.75">
      <c r="A22" s="256" t="s">
        <v>45</v>
      </c>
      <c r="B22" s="257"/>
      <c r="C22" s="95">
        <f t="shared" ref="C22:H22" si="2">SUM(C19:C21)</f>
        <v>-513928</v>
      </c>
      <c r="D22" s="95">
        <f t="shared" si="2"/>
        <v>-683575</v>
      </c>
      <c r="E22" s="95">
        <f t="shared" si="2"/>
        <v>-3175064</v>
      </c>
      <c r="F22" s="95">
        <f t="shared" si="2"/>
        <v>-8014591</v>
      </c>
      <c r="G22" s="95">
        <f t="shared" si="2"/>
        <v>-7795018</v>
      </c>
      <c r="H22" s="95">
        <f t="shared" si="2"/>
        <v>-1854634.813318925</v>
      </c>
      <c r="I22" s="95">
        <f>SUM(I19:I21)</f>
        <v>-1123180.3489848655</v>
      </c>
      <c r="J22" s="95">
        <f>SUM(J19:J21)</f>
        <v>-1132867.817109155</v>
      </c>
      <c r="K22" s="95">
        <f>SUM(K19:K21)</f>
        <v>-111296.78147925995</v>
      </c>
      <c r="L22" s="280">
        <f>SUM(L19:L21)</f>
        <v>486346.59650898166</v>
      </c>
      <c r="M22" s="280">
        <f>SUM(M19:M21)</f>
        <v>642379.42124273954</v>
      </c>
      <c r="N22" s="263"/>
      <c r="O22" s="263"/>
      <c r="P22" s="263"/>
      <c r="Q22" s="263"/>
      <c r="R22" s="263"/>
      <c r="S22" s="263"/>
    </row>
    <row r="23" spans="1:19" s="38" customFormat="1" ht="15.75" thickBot="1">
      <c r="A23" s="60"/>
      <c r="B23" s="60" t="s">
        <v>299</v>
      </c>
      <c r="C23" s="60">
        <f>+'Estado de resultados'!E23</f>
        <v>0</v>
      </c>
      <c r="D23" s="60">
        <f>+'Estado de resultados'!F23</f>
        <v>0</v>
      </c>
      <c r="E23" s="262">
        <f>+'Estado de resultados'!G23</f>
        <v>-123957</v>
      </c>
      <c r="F23" s="60">
        <f>+'Estado de resultados'!H23</f>
        <v>0</v>
      </c>
      <c r="G23" s="60">
        <v>0</v>
      </c>
      <c r="H23" s="134">
        <v>0</v>
      </c>
      <c r="I23" s="60">
        <v>0</v>
      </c>
      <c r="J23" s="60">
        <v>0</v>
      </c>
      <c r="K23" s="60">
        <v>0</v>
      </c>
      <c r="L23" s="60">
        <v>0</v>
      </c>
      <c r="M23" s="60">
        <v>0</v>
      </c>
      <c r="N23" s="84"/>
      <c r="O23" s="84"/>
      <c r="P23" s="84"/>
      <c r="Q23" s="84"/>
      <c r="R23" s="84"/>
      <c r="S23" s="84"/>
    </row>
    <row r="24" spans="1:19" s="38" customFormat="1" ht="15.75">
      <c r="A24" s="88" t="s">
        <v>48</v>
      </c>
      <c r="B24" s="60"/>
      <c r="C24" s="135">
        <f>C16+SUM(C22:C23)</f>
        <v>7949004</v>
      </c>
      <c r="D24" s="135">
        <f t="shared" ref="D24:M24" si="3">D16+SUM(D22:D23)</f>
        <v>9452213</v>
      </c>
      <c r="E24" s="135">
        <f t="shared" si="3"/>
        <v>7564839</v>
      </c>
      <c r="F24" s="135">
        <f t="shared" si="3"/>
        <v>207825</v>
      </c>
      <c r="G24" s="135">
        <f t="shared" si="3"/>
        <v>10828820</v>
      </c>
      <c r="H24" s="135">
        <f t="shared" si="3"/>
        <v>34961487.454247966</v>
      </c>
      <c r="I24" s="135">
        <f t="shared" si="3"/>
        <v>47158862.136265568</v>
      </c>
      <c r="J24" s="135">
        <f t="shared" si="3"/>
        <v>59042329.775547728</v>
      </c>
      <c r="K24" s="135">
        <f t="shared" si="3"/>
        <v>67726036.170959264</v>
      </c>
      <c r="L24" s="135">
        <f t="shared" si="3"/>
        <v>68323679.548947498</v>
      </c>
      <c r="M24" s="135">
        <f t="shared" si="3"/>
        <v>68479712.373681262</v>
      </c>
      <c r="N24" s="84"/>
      <c r="O24" s="84"/>
      <c r="P24" s="84"/>
      <c r="Q24" s="84"/>
      <c r="R24" s="84"/>
      <c r="S24" s="84"/>
    </row>
    <row r="25" spans="1:19" s="86" customFormat="1" ht="15.75">
      <c r="A25" s="85"/>
      <c r="B25" s="91"/>
      <c r="C25" s="91"/>
      <c r="D25" s="91"/>
      <c r="E25" s="91"/>
      <c r="F25" s="91"/>
      <c r="G25" s="91"/>
      <c r="H25" s="92"/>
      <c r="I25" s="91"/>
      <c r="J25" s="91"/>
      <c r="K25" s="508"/>
      <c r="L25" s="508"/>
      <c r="M25" s="508"/>
      <c r="N25" s="87"/>
      <c r="O25" s="87"/>
      <c r="P25" s="87"/>
      <c r="Q25" s="87"/>
      <c r="R25" s="87"/>
      <c r="S25" s="87"/>
    </row>
    <row r="26" spans="1:19" s="259" customFormat="1" ht="15.75">
      <c r="A26" s="256" t="s">
        <v>49</v>
      </c>
      <c r="B26" s="258"/>
      <c r="C26" s="95">
        <f>+'Estado de resultados'!E26</f>
        <v>-1861488</v>
      </c>
      <c r="D26" s="95">
        <f>+'Estado de resultados'!F26</f>
        <v>-2338032</v>
      </c>
      <c r="E26" s="95">
        <f>+'Estado de resultados'!G26</f>
        <v>-2494091</v>
      </c>
      <c r="F26" s="95">
        <f>+'Estado de resultados'!H26</f>
        <v>-3333252</v>
      </c>
      <c r="G26" s="95">
        <f>+'Estado de resultados'!$I$26</f>
        <v>-6595161</v>
      </c>
      <c r="H26" s="95">
        <f>-'Base impuesto'!C21-'Base impuesto'!C22</f>
        <v>-12272261.086992012</v>
      </c>
      <c r="I26" s="95">
        <f>-'Base impuesto'!D21-'Base impuesto'!D22</f>
        <v>-16374362.102861654</v>
      </c>
      <c r="J26" s="95">
        <f>-'Base impuesto'!E21-'Base impuesto'!E22</f>
        <v>-20372696.036973376</v>
      </c>
      <c r="K26" s="95">
        <f>-'Base impuesto'!F21-'Base impuesto'!F22</f>
        <v>-23320866.132734854</v>
      </c>
      <c r="L26" s="95">
        <f>-'Base impuesto'!G21-'Base impuesto'!G22</f>
        <v>-23518088.44747097</v>
      </c>
      <c r="M26" s="95">
        <f>-'Base impuesto'!H21-'Base impuesto'!H22</f>
        <v>-23569579.279633112</v>
      </c>
      <c r="N26" s="263"/>
      <c r="O26" s="263"/>
      <c r="P26" s="263"/>
      <c r="Q26" s="263"/>
      <c r="R26" s="263"/>
      <c r="S26" s="263"/>
    </row>
    <row r="27" spans="1:19" ht="16.5" thickBot="1">
      <c r="A27" s="1"/>
      <c r="B27" s="2"/>
      <c r="C27" s="2"/>
      <c r="D27" s="2"/>
      <c r="E27" s="2"/>
      <c r="F27" s="2"/>
      <c r="G27" s="2"/>
      <c r="H27" s="2"/>
      <c r="I27" s="2"/>
      <c r="J27" s="2"/>
      <c r="K27" s="2"/>
      <c r="L27" s="2"/>
      <c r="M27" s="2"/>
      <c r="N27" s="50"/>
      <c r="O27" s="50"/>
      <c r="P27" s="50"/>
      <c r="Q27" s="50"/>
      <c r="R27" s="50"/>
      <c r="S27" s="50"/>
    </row>
    <row r="28" spans="1:19" ht="17.25" thickTop="1" thickBot="1">
      <c r="A28" s="5" t="s">
        <v>50</v>
      </c>
      <c r="B28" s="5"/>
      <c r="C28" s="5">
        <f t="shared" ref="C28:H28" si="4">C24+C26</f>
        <v>6087516</v>
      </c>
      <c r="D28" s="5">
        <f t="shared" si="4"/>
        <v>7114181</v>
      </c>
      <c r="E28" s="5">
        <f t="shared" si="4"/>
        <v>5070748</v>
      </c>
      <c r="F28" s="5">
        <f t="shared" si="4"/>
        <v>-3125427</v>
      </c>
      <c r="G28" s="5">
        <f t="shared" si="4"/>
        <v>4233659</v>
      </c>
      <c r="H28" s="5">
        <f t="shared" si="4"/>
        <v>22689226.367255956</v>
      </c>
      <c r="I28" s="5">
        <f>I24+I26</f>
        <v>30784500.033403914</v>
      </c>
      <c r="J28" s="5">
        <f>J24+J26</f>
        <v>38669633.738574356</v>
      </c>
      <c r="K28" s="5">
        <f>K24+K26</f>
        <v>44405170.038224414</v>
      </c>
      <c r="L28" s="5">
        <f>L24+L26</f>
        <v>44805591.101476528</v>
      </c>
      <c r="M28" s="5">
        <f>M24+M26</f>
        <v>44910133.09404815</v>
      </c>
      <c r="N28" s="50"/>
      <c r="O28" s="50"/>
      <c r="P28" s="50"/>
      <c r="Q28" s="50"/>
      <c r="R28" s="50"/>
      <c r="S28" s="50"/>
    </row>
    <row r="29" spans="1:19" ht="15.75" thickTop="1">
      <c r="A29" s="2"/>
      <c r="B29" s="2"/>
      <c r="C29" s="2"/>
      <c r="D29" s="2"/>
      <c r="E29" s="2"/>
      <c r="F29" s="2"/>
      <c r="G29" s="2"/>
      <c r="H29" s="46"/>
      <c r="I29" s="46"/>
      <c r="J29" s="46"/>
      <c r="K29" s="46"/>
      <c r="L29" s="46"/>
      <c r="M29" s="46"/>
    </row>
    <row r="30" spans="1:19">
      <c r="C30" s="46"/>
      <c r="D30" s="46"/>
      <c r="E30" s="46"/>
      <c r="F30" s="46"/>
      <c r="G30" s="46"/>
      <c r="H30" s="43"/>
      <c r="I30" s="43"/>
      <c r="J30" s="43"/>
      <c r="K30" s="43"/>
      <c r="L30" s="43"/>
      <c r="M30" s="43"/>
    </row>
    <row r="33" spans="3:9">
      <c r="C33" s="43"/>
      <c r="D33" s="43"/>
      <c r="E33" s="43"/>
      <c r="F33" s="43"/>
      <c r="G33" s="43"/>
      <c r="H33" s="43"/>
      <c r="I33" s="43"/>
    </row>
    <row r="34" spans="3:9">
      <c r="D34" s="44"/>
      <c r="E34" s="44"/>
      <c r="F34" s="44"/>
      <c r="G34" s="44"/>
      <c r="H34" s="44"/>
      <c r="I34" s="44"/>
    </row>
  </sheetData>
  <phoneticPr fontId="0" type="noConversion"/>
  <printOptions horizontalCentered="1" verticalCentered="1"/>
  <pageMargins left="0.51181102362204722" right="0.51181102362204722" top="0.51181102362204722" bottom="0.51181102362204722" header="0.51181102362204722" footer="0.51181102362204722"/>
  <pageSetup scale="115" firstPageNumber="2" orientation="landscape" blackAndWhite="1" useFirstPageNumber="1" horizontalDpi="300" verticalDpi="300"/>
  <headerFooter alignWithMargins="0">
    <oddHeader>&amp;C&amp;A</oddHeader>
    <oddFooter>&amp;CCompañía Modelo - Eva&amp;RPágina &amp;P</odd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pageSetUpPr fitToPage="1"/>
  </sheetPr>
  <dimension ref="A1:M62"/>
  <sheetViews>
    <sheetView showGridLines="0" zoomScale="70" zoomScaleNormal="70" zoomScalePageLayoutView="125" workbookViewId="0">
      <pane ySplit="5" topLeftCell="A39" activePane="bottomLeft" state="frozen"/>
      <selection pane="bottomLeft" activeCell="H57" sqref="H57"/>
    </sheetView>
  </sheetViews>
  <sheetFormatPr baseColWidth="10" defaultColWidth="8.88671875" defaultRowHeight="15"/>
  <cols>
    <col min="1" max="1" width="3.6640625" customWidth="1"/>
    <col min="2" max="2" width="35.6640625" customWidth="1"/>
    <col min="3" max="5" width="12.44140625" customWidth="1"/>
    <col min="6" max="6" width="13.44140625" customWidth="1"/>
    <col min="7" max="7" width="13.33203125" customWidth="1"/>
    <col min="8" max="10" width="12.44140625" customWidth="1"/>
    <col min="11" max="13" width="12" customWidth="1"/>
  </cols>
  <sheetData>
    <row r="1" spans="1:13" ht="15.75">
      <c r="A1" s="1" t="str">
        <f>+Balance!A1</f>
        <v>Compañía Modelo - EVA</v>
      </c>
      <c r="B1" s="2"/>
      <c r="C1" s="2"/>
      <c r="D1" s="2"/>
      <c r="E1" s="2"/>
      <c r="F1" s="2"/>
    </row>
    <row r="2" spans="1:13" ht="15.75">
      <c r="A2" s="1" t="s">
        <v>119</v>
      </c>
      <c r="B2" s="2"/>
      <c r="C2" s="2"/>
      <c r="D2" s="2"/>
      <c r="E2" s="2"/>
      <c r="F2" s="2"/>
    </row>
    <row r="3" spans="1:13">
      <c r="A3" s="2" t="s">
        <v>287</v>
      </c>
      <c r="B3" s="2"/>
      <c r="C3" s="2"/>
      <c r="D3" s="2"/>
      <c r="E3" s="2"/>
      <c r="F3" s="2"/>
    </row>
    <row r="4" spans="1:13" ht="15.75">
      <c r="A4" s="1"/>
      <c r="B4" s="2"/>
      <c r="C4" s="2"/>
      <c r="D4" s="2"/>
      <c r="E4" s="2"/>
      <c r="F4" s="2"/>
    </row>
    <row r="5" spans="1:13" ht="16.5" thickBot="1">
      <c r="A5" s="2"/>
      <c r="B5" s="2"/>
      <c r="C5" s="3">
        <f>'KWOp.%'!$C$4</f>
        <v>2009</v>
      </c>
      <c r="D5" s="3">
        <f>C5+1</f>
        <v>2010</v>
      </c>
      <c r="E5" s="3">
        <f>D5+1</f>
        <v>2011</v>
      </c>
      <c r="F5" s="3">
        <f>E5+1</f>
        <v>2012</v>
      </c>
      <c r="G5" s="3">
        <f>F5+1</f>
        <v>2013</v>
      </c>
      <c r="H5" s="3" t="s">
        <v>342</v>
      </c>
      <c r="I5" s="3" t="s">
        <v>343</v>
      </c>
      <c r="J5" s="3" t="s">
        <v>344</v>
      </c>
      <c r="K5" s="3" t="s">
        <v>345</v>
      </c>
      <c r="L5" s="3" t="s">
        <v>346</v>
      </c>
      <c r="M5" s="3" t="s">
        <v>347</v>
      </c>
    </row>
    <row r="6" spans="1:13" ht="15.75">
      <c r="A6" s="1" t="s">
        <v>120</v>
      </c>
      <c r="B6" s="2"/>
      <c r="C6" s="238"/>
      <c r="D6" s="238"/>
      <c r="E6" s="238"/>
      <c r="F6" s="238"/>
      <c r="G6" s="238"/>
      <c r="H6" s="238"/>
      <c r="I6" s="238"/>
      <c r="J6" s="238"/>
      <c r="K6" s="238"/>
      <c r="L6" s="238"/>
      <c r="M6" s="238"/>
    </row>
    <row r="7" spans="1:13" ht="15.75">
      <c r="A7" s="1" t="s">
        <v>121</v>
      </c>
      <c r="B7" s="2"/>
      <c r="C7" s="238"/>
      <c r="D7" s="238"/>
      <c r="E7" s="238"/>
      <c r="F7" s="238"/>
      <c r="G7" s="238"/>
      <c r="H7" s="238"/>
      <c r="I7" s="238"/>
      <c r="J7" s="238"/>
      <c r="K7" s="238"/>
      <c r="L7" s="238"/>
      <c r="M7" s="238"/>
    </row>
    <row r="8" spans="1:13">
      <c r="A8" s="2"/>
      <c r="B8" s="2" t="s">
        <v>122</v>
      </c>
      <c r="C8" s="238">
        <f>Imptos.!C10</f>
        <v>8462932</v>
      </c>
      <c r="D8" s="238">
        <f>Imptos.!D10</f>
        <v>10135788</v>
      </c>
      <c r="E8" s="238">
        <f>Imptos.!E10</f>
        <v>10863860</v>
      </c>
      <c r="F8" s="238">
        <f>Imptos.!F10</f>
        <v>8222416</v>
      </c>
      <c r="G8" s="238">
        <f>Imptos.!G10</f>
        <v>18623838</v>
      </c>
      <c r="H8" s="238">
        <f>Imptos.!H10</f>
        <v>36816122.26756689</v>
      </c>
      <c r="I8" s="238">
        <f>Imptos.!I10</f>
        <v>48282042.485250436</v>
      </c>
      <c r="J8" s="238">
        <f>Imptos.!J10</f>
        <v>60175197.592656881</v>
      </c>
      <c r="K8" s="238">
        <f>Imptos.!K10</f>
        <v>67837332.952438518</v>
      </c>
      <c r="L8" s="238">
        <f>Imptos.!L10</f>
        <v>67837332.952438518</v>
      </c>
      <c r="M8" s="238">
        <f>Imptos.!M10</f>
        <v>67837332.952438518</v>
      </c>
    </row>
    <row r="9" spans="1:13" ht="15.75" thickBot="1">
      <c r="A9" s="2"/>
      <c r="B9" s="2" t="s">
        <v>123</v>
      </c>
      <c r="C9" s="238">
        <f>CapitalFijo!B13</f>
        <v>0</v>
      </c>
      <c r="D9" s="238">
        <f>CapitalFijo!C13</f>
        <v>11133064</v>
      </c>
      <c r="E9" s="238">
        <f>CapitalFijo!D13</f>
        <v>12077939</v>
      </c>
      <c r="F9" s="238">
        <f>CapitalFijo!E13</f>
        <v>15059886</v>
      </c>
      <c r="G9" s="238">
        <f>CapitalFijo!F13</f>
        <v>15638059</v>
      </c>
      <c r="H9" s="238">
        <f>CapitalFijo!G13</f>
        <v>31260761.143088609</v>
      </c>
      <c r="I9" s="238">
        <f>CapitalFijo!H13</f>
        <v>31319339.291327059</v>
      </c>
      <c r="J9" s="238">
        <f>CapitalFijo!I13</f>
        <v>31859584.525614709</v>
      </c>
      <c r="K9" s="238">
        <f>CapitalFijo!J13</f>
        <v>31150900.90080893</v>
      </c>
      <c r="L9" s="238">
        <f>CapitalFijo!K13</f>
        <v>22973191.280633867</v>
      </c>
      <c r="M9" s="238">
        <f>CapitalFijo!L13</f>
        <v>3768851.0098335147</v>
      </c>
    </row>
    <row r="10" spans="1:13" ht="15.75">
      <c r="A10" s="2"/>
      <c r="B10" s="21" t="s">
        <v>124</v>
      </c>
      <c r="C10" s="239">
        <f t="shared" ref="C10:M10" si="0">SUM(C8:C9)</f>
        <v>8462932</v>
      </c>
      <c r="D10" s="239">
        <f t="shared" si="0"/>
        <v>21268852</v>
      </c>
      <c r="E10" s="239">
        <f t="shared" si="0"/>
        <v>22941799</v>
      </c>
      <c r="F10" s="239">
        <f t="shared" si="0"/>
        <v>23282302</v>
      </c>
      <c r="G10" s="239">
        <f t="shared" si="0"/>
        <v>34261897</v>
      </c>
      <c r="H10" s="239">
        <f t="shared" si="0"/>
        <v>68076883.410655499</v>
      </c>
      <c r="I10" s="239">
        <f t="shared" si="0"/>
        <v>79601381.776577502</v>
      </c>
      <c r="J10" s="239">
        <f t="shared" si="0"/>
        <v>92034782.118271589</v>
      </c>
      <c r="K10" s="239">
        <f t="shared" si="0"/>
        <v>98988233.853247449</v>
      </c>
      <c r="L10" s="239">
        <f t="shared" si="0"/>
        <v>90810524.233072385</v>
      </c>
      <c r="M10" s="239">
        <f t="shared" si="0"/>
        <v>71606183.962272033</v>
      </c>
    </row>
    <row r="11" spans="1:13">
      <c r="C11" s="240"/>
      <c r="D11" s="240"/>
      <c r="E11" s="240"/>
      <c r="F11" s="240"/>
      <c r="G11" s="240"/>
      <c r="H11" s="240"/>
      <c r="I11" s="240"/>
      <c r="J11" s="240"/>
      <c r="K11" s="240"/>
      <c r="L11" s="240"/>
      <c r="M11" s="240"/>
    </row>
    <row r="12" spans="1:13" ht="15.75">
      <c r="A12" s="1" t="s">
        <v>125</v>
      </c>
      <c r="B12" s="2"/>
      <c r="C12" s="238"/>
      <c r="D12" s="238"/>
      <c r="E12" s="238"/>
      <c r="F12" s="238"/>
      <c r="G12" s="238"/>
      <c r="H12" s="238"/>
      <c r="I12" s="238"/>
      <c r="J12" s="238"/>
      <c r="K12" s="238"/>
      <c r="L12" s="238"/>
      <c r="M12" s="238"/>
    </row>
    <row r="13" spans="1:13">
      <c r="A13" s="2"/>
      <c r="B13" s="2" t="s">
        <v>126</v>
      </c>
      <c r="C13" s="238">
        <f>-KWOp.!C34+KWOp.!C27</f>
        <v>1198536</v>
      </c>
      <c r="D13" s="238">
        <f>-KWOp.!D23+KWOp.!C23</f>
        <v>-2596188</v>
      </c>
      <c r="E13" s="238">
        <f>-KWOp.!E23+KWOp.!D23</f>
        <v>10801933</v>
      </c>
      <c r="F13" s="238">
        <f>-KWOp.!F23+KWOp.!E23</f>
        <v>-34853119</v>
      </c>
      <c r="G13" s="238">
        <f>-KWOp.!G23+KWOp.!F23</f>
        <v>9318898</v>
      </c>
      <c r="H13" s="238">
        <f>-KWOp.!H23+KWOp.!G23</f>
        <v>-9605123.040349409</v>
      </c>
      <c r="I13" s="238">
        <f>-KWOp.!I23+KWOp.!H23</f>
        <v>2317351.9169528931</v>
      </c>
      <c r="J13" s="238">
        <f>-KWOp.!J23+KWOp.!I23</f>
        <v>-5661852.4733755291</v>
      </c>
      <c r="K13" s="238">
        <f>-KWOp.!K23+KWOp.!J23</f>
        <v>6208493.0032643527</v>
      </c>
      <c r="L13" s="238">
        <f>-KWOp.!L23+KWOp.!K23</f>
        <v>2913024.826157257</v>
      </c>
      <c r="M13" s="238">
        <f>-KWOp.!M23+KWOp.!L23</f>
        <v>3955144.6870169565</v>
      </c>
    </row>
    <row r="14" spans="1:13" ht="15.75" thickBot="1">
      <c r="A14" s="2"/>
      <c r="B14" s="2"/>
      <c r="C14" s="238"/>
      <c r="D14" s="238"/>
      <c r="E14" s="238"/>
      <c r="F14" s="238"/>
      <c r="G14" s="238"/>
      <c r="H14" s="238"/>
      <c r="I14" s="238"/>
      <c r="J14" s="238"/>
      <c r="K14" s="238"/>
      <c r="L14" s="238"/>
      <c r="M14" s="238"/>
    </row>
    <row r="15" spans="1:13" ht="15.75">
      <c r="A15" s="2"/>
      <c r="B15" s="21" t="s">
        <v>127</v>
      </c>
      <c r="C15" s="239">
        <f t="shared" ref="C15:H15" si="1">C10+C13</f>
        <v>9661468</v>
      </c>
      <c r="D15" s="239">
        <f t="shared" si="1"/>
        <v>18672664</v>
      </c>
      <c r="E15" s="239">
        <f t="shared" si="1"/>
        <v>33743732</v>
      </c>
      <c r="F15" s="239">
        <f t="shared" si="1"/>
        <v>-11570817</v>
      </c>
      <c r="G15" s="239">
        <f t="shared" si="1"/>
        <v>43580795</v>
      </c>
      <c r="H15" s="239">
        <f t="shared" si="1"/>
        <v>58471760.37030609</v>
      </c>
      <c r="I15" s="239">
        <f>I10+I13</f>
        <v>81918733.693530396</v>
      </c>
      <c r="J15" s="239">
        <f>J10+J13</f>
        <v>86372929.64489606</v>
      </c>
      <c r="K15" s="239">
        <f>K10+K13</f>
        <v>105196726.8565118</v>
      </c>
      <c r="L15" s="239">
        <f>L10+L13</f>
        <v>93723549.059229642</v>
      </c>
      <c r="M15" s="239">
        <f>M10+M13</f>
        <v>75561328.649288982</v>
      </c>
    </row>
    <row r="16" spans="1:13">
      <c r="C16" s="240"/>
      <c r="D16" s="240"/>
      <c r="E16" s="240"/>
      <c r="F16" s="240"/>
      <c r="G16" s="240"/>
      <c r="H16" s="240"/>
      <c r="I16" s="240"/>
      <c r="J16" s="240"/>
      <c r="K16" s="240"/>
      <c r="L16" s="240"/>
      <c r="M16" s="240"/>
    </row>
    <row r="17" spans="1:13" ht="15.75">
      <c r="A17" s="1" t="s">
        <v>128</v>
      </c>
      <c r="B17" s="2"/>
      <c r="C17" s="238"/>
      <c r="D17" s="238"/>
      <c r="E17" s="238"/>
      <c r="F17" s="238"/>
      <c r="G17" s="238"/>
      <c r="H17" s="238"/>
      <c r="I17" s="238"/>
      <c r="J17" s="238"/>
      <c r="K17" s="238"/>
      <c r="L17" s="238"/>
      <c r="M17" s="238"/>
    </row>
    <row r="18" spans="1:13" s="50" customFormat="1">
      <c r="A18" s="355"/>
      <c r="B18" s="355" t="s">
        <v>129</v>
      </c>
      <c r="C18" s="262">
        <f>Imptos.!C35</f>
        <v>-705767.07802084391</v>
      </c>
      <c r="D18" s="262">
        <f>Imptos.!D35</f>
        <v>-2317647.1130843116</v>
      </c>
      <c r="E18" s="262">
        <f>Imptos.!E35</f>
        <v>4410026.0896894652</v>
      </c>
      <c r="F18" s="262">
        <f>+Imptos.!F37</f>
        <v>-4838378</v>
      </c>
      <c r="G18" s="262">
        <f>Imptos.!G35</f>
        <v>-7879357.6176743172</v>
      </c>
      <c r="H18" s="262">
        <f>Imptos.!H35</f>
        <v>-17115953.302248482</v>
      </c>
      <c r="I18" s="262">
        <f>Imptos.!I35</f>
        <v>-15141830.768286455</v>
      </c>
      <c r="J18" s="262">
        <f>Imptos.!J35</f>
        <v>-19193641.933427993</v>
      </c>
      <c r="K18" s="262">
        <f>Imptos.!K35</f>
        <v>-22284467.420459755</v>
      </c>
      <c r="L18" s="262">
        <f>Imptos.!L35</f>
        <v>-23266122.316354495</v>
      </c>
      <c r="M18" s="262">
        <f>Imptos.!M35</f>
        <v>-23326456.851956148</v>
      </c>
    </row>
    <row r="19" spans="1:13">
      <c r="C19" s="240"/>
      <c r="D19" s="240"/>
      <c r="E19" s="240"/>
      <c r="F19" s="240"/>
      <c r="G19" s="240"/>
      <c r="H19" s="240"/>
      <c r="I19" s="240"/>
      <c r="J19" s="240"/>
      <c r="K19" s="240"/>
      <c r="L19" s="240"/>
      <c r="M19" s="240"/>
    </row>
    <row r="20" spans="1:13" ht="15.75">
      <c r="A20" s="2"/>
      <c r="B20" s="21" t="s">
        <v>130</v>
      </c>
      <c r="C20" s="241">
        <f t="shared" ref="C20:H20" si="2">C15+C18</f>
        <v>8955700.9219791554</v>
      </c>
      <c r="D20" s="241">
        <f t="shared" si="2"/>
        <v>16355016.886915687</v>
      </c>
      <c r="E20" s="241">
        <f t="shared" si="2"/>
        <v>38153758.089689463</v>
      </c>
      <c r="F20" s="241">
        <f t="shared" si="2"/>
        <v>-16409195</v>
      </c>
      <c r="G20" s="241">
        <f t="shared" si="2"/>
        <v>35701437.382325679</v>
      </c>
      <c r="H20" s="241">
        <f t="shared" si="2"/>
        <v>41355807.068057612</v>
      </c>
      <c r="I20" s="241">
        <f>I15+I18</f>
        <v>66776902.925243944</v>
      </c>
      <c r="J20" s="241">
        <f>J15+J18</f>
        <v>67179287.711468071</v>
      </c>
      <c r="K20" s="241">
        <f>K15+K18</f>
        <v>82912259.436052054</v>
      </c>
      <c r="L20" s="241">
        <f>L15+L18</f>
        <v>70457426.742875144</v>
      </c>
      <c r="M20" s="241">
        <f>M15+M18</f>
        <v>52234871.797332838</v>
      </c>
    </row>
    <row r="21" spans="1:13" ht="15.75">
      <c r="A21" s="2"/>
      <c r="B21" s="21" t="s">
        <v>131</v>
      </c>
      <c r="C21" s="241"/>
      <c r="D21" s="241"/>
      <c r="E21" s="241"/>
      <c r="F21" s="241"/>
      <c r="G21" s="241"/>
      <c r="H21" s="241"/>
      <c r="I21" s="241"/>
      <c r="J21" s="241"/>
      <c r="K21" s="241"/>
      <c r="L21" s="241"/>
      <c r="M21" s="241"/>
    </row>
    <row r="22" spans="1:13">
      <c r="C22" s="240"/>
      <c r="D22" s="240"/>
      <c r="E22" s="240"/>
      <c r="F22" s="240"/>
      <c r="G22" s="240"/>
      <c r="H22" s="240"/>
      <c r="I22" s="240"/>
      <c r="J22" s="240"/>
      <c r="K22" s="240"/>
      <c r="L22" s="240"/>
      <c r="M22" s="240"/>
    </row>
    <row r="23" spans="1:13" ht="15.75">
      <c r="A23" s="1" t="s">
        <v>132</v>
      </c>
      <c r="B23" s="2"/>
      <c r="C23" s="238"/>
      <c r="D23" s="238"/>
      <c r="E23" s="238"/>
      <c r="F23" s="238"/>
      <c r="G23" s="238"/>
      <c r="H23" s="238"/>
      <c r="I23" s="238"/>
      <c r="J23" s="238"/>
      <c r="K23" s="238"/>
      <c r="L23" s="238"/>
      <c r="M23" s="238"/>
    </row>
    <row r="24" spans="1:13">
      <c r="A24" s="2"/>
      <c r="B24" s="2"/>
      <c r="C24" s="242"/>
      <c r="D24" s="242"/>
      <c r="E24" s="242"/>
      <c r="F24" s="242"/>
      <c r="G24" s="242"/>
      <c r="H24" s="242"/>
      <c r="I24" s="242"/>
      <c r="J24" s="242"/>
      <c r="K24" s="242"/>
      <c r="L24" s="242"/>
      <c r="M24" s="242"/>
    </row>
    <row r="25" spans="1:13" s="50" customFormat="1">
      <c r="A25" s="355"/>
      <c r="B25" s="355" t="s">
        <v>73</v>
      </c>
      <c r="C25" s="262">
        <f>-CapitalFijo!B14</f>
        <v>0</v>
      </c>
      <c r="D25" s="262">
        <f>-CapitalFijo!C14</f>
        <v>-7907268</v>
      </c>
      <c r="E25" s="262">
        <f>-CapitalFijo!D14</f>
        <v>-7356599</v>
      </c>
      <c r="F25" s="262">
        <f>-CapitalFijo!E14</f>
        <v>-143721924</v>
      </c>
      <c r="G25" s="262">
        <f>-CapitalFijo!F14</f>
        <v>-16880887</v>
      </c>
      <c r="H25" s="262">
        <f>-CapitalFijo!G14</f>
        <v>-4370116.4380508065</v>
      </c>
      <c r="I25" s="262">
        <f>-CapitalFijo!H14</f>
        <v>-4414776.6692733169</v>
      </c>
      <c r="J25" s="262">
        <f>-CapitalFijo!I14</f>
        <v>-19731355.47778745</v>
      </c>
      <c r="K25" s="262">
        <f>-CapitalFijo!J14</f>
        <v>-5197605.4745409936</v>
      </c>
      <c r="L25" s="262">
        <f>-CapitalFijo!K14</f>
        <v>-7740644.2219748348</v>
      </c>
      <c r="M25" s="262">
        <f>-CapitalFijo!L14</f>
        <v>-12663268.071769103</v>
      </c>
    </row>
    <row r="26" spans="1:13" ht="15.75" thickBot="1">
      <c r="A26" s="2"/>
      <c r="B26" s="2"/>
      <c r="C26" s="238"/>
      <c r="D26" s="238"/>
      <c r="E26" s="238"/>
      <c r="F26" s="238"/>
      <c r="G26" s="238"/>
      <c r="H26" s="238"/>
      <c r="I26" s="238"/>
      <c r="J26" s="238"/>
      <c r="K26" s="238"/>
      <c r="L26" s="238"/>
      <c r="M26" s="238"/>
    </row>
    <row r="27" spans="1:13" ht="17.25" thickTop="1" thickBot="1">
      <c r="A27" s="22" t="s">
        <v>120</v>
      </c>
      <c r="B27" s="22"/>
      <c r="C27" s="243">
        <f t="shared" ref="C27:H27" si="3">+C20+C25</f>
        <v>8955700.9219791554</v>
      </c>
      <c r="D27" s="243">
        <f t="shared" si="3"/>
        <v>8447748.8869156875</v>
      </c>
      <c r="E27" s="243">
        <f t="shared" si="3"/>
        <v>30797159.089689463</v>
      </c>
      <c r="F27" s="243">
        <f t="shared" si="3"/>
        <v>-160131119</v>
      </c>
      <c r="G27" s="243">
        <f t="shared" si="3"/>
        <v>18820550.382325679</v>
      </c>
      <c r="H27" s="243">
        <f t="shared" si="3"/>
        <v>36985690.630006805</v>
      </c>
      <c r="I27" s="243">
        <f>+I20+I25</f>
        <v>62362126.255970627</v>
      </c>
      <c r="J27" s="243">
        <f>+J20+J25</f>
        <v>47447932.233680621</v>
      </c>
      <c r="K27" s="243">
        <f>+K20+K25</f>
        <v>77714653.961511061</v>
      </c>
      <c r="L27" s="243">
        <f>+L20+L25</f>
        <v>62716782.520900309</v>
      </c>
      <c r="M27" s="243">
        <f>+M20+M25</f>
        <v>39571603.725563735</v>
      </c>
    </row>
    <row r="28" spans="1:13" ht="15.75" thickTop="1">
      <c r="A28" s="2"/>
      <c r="B28" s="2"/>
      <c r="C28" s="238"/>
      <c r="D28" s="238"/>
      <c r="E28" s="238"/>
      <c r="F28" s="238"/>
      <c r="G28" s="238"/>
      <c r="H28" s="238"/>
      <c r="I28" s="238"/>
      <c r="J28" s="238"/>
      <c r="K28" s="238"/>
      <c r="L28" s="238"/>
      <c r="M28" s="238"/>
    </row>
    <row r="29" spans="1:13" ht="15.75">
      <c r="A29" s="1" t="s">
        <v>133</v>
      </c>
      <c r="B29" s="2"/>
      <c r="C29" s="238"/>
      <c r="D29" s="238"/>
      <c r="E29" s="238"/>
      <c r="F29" s="238"/>
      <c r="G29" s="238"/>
      <c r="H29" s="238"/>
      <c r="I29" s="238"/>
      <c r="J29" s="238"/>
      <c r="K29" s="238"/>
      <c r="L29" s="238"/>
      <c r="M29" s="238"/>
    </row>
    <row r="30" spans="1:13" ht="15.75">
      <c r="A30" s="1" t="s">
        <v>134</v>
      </c>
      <c r="B30" s="2"/>
      <c r="C30" s="238"/>
      <c r="D30" s="238"/>
      <c r="E30" s="238"/>
      <c r="F30" s="238"/>
      <c r="G30" s="238"/>
      <c r="H30" s="238"/>
      <c r="I30" s="238"/>
      <c r="J30" s="238"/>
      <c r="K30" s="238"/>
      <c r="L30" s="238"/>
      <c r="M30" s="238"/>
    </row>
    <row r="31" spans="1:13" s="50" customFormat="1" ht="15.75">
      <c r="A31" s="381"/>
      <c r="B31" s="355" t="s">
        <v>1093</v>
      </c>
      <c r="C31" s="262"/>
      <c r="D31" s="262">
        <f>+Resultados!D19</f>
        <v>1384090</v>
      </c>
      <c r="E31" s="262">
        <f>+Resultados!E19</f>
        <v>1201980</v>
      </c>
      <c r="F31" s="262">
        <f>+Resultados!F19</f>
        <v>5725961</v>
      </c>
      <c r="G31" s="262">
        <f>+Resultados!G19</f>
        <v>13552238</v>
      </c>
      <c r="H31" s="262">
        <f>+Resultados!H19</f>
        <v>2561588.9625000004</v>
      </c>
      <c r="I31" s="262">
        <f>+Resultados!I19</f>
        <v>2639973.5847525001</v>
      </c>
      <c r="J31" s="262">
        <f>+Resultados!J19</f>
        <v>2722868.7553137289</v>
      </c>
      <c r="K31" s="262">
        <f>+Resultados!K19</f>
        <v>2807277.6867284542</v>
      </c>
      <c r="L31" s="262">
        <f>+Resultados!L19</f>
        <v>2807277.6867284542</v>
      </c>
      <c r="M31" s="262">
        <f>+Resultados!M19</f>
        <v>2807277.6867284542</v>
      </c>
    </row>
    <row r="32" spans="1:13" s="50" customFormat="1">
      <c r="A32" s="355"/>
      <c r="B32" s="355" t="s">
        <v>135</v>
      </c>
      <c r="C32" s="262">
        <f>Resultados!C20</f>
        <v>-2096022</v>
      </c>
      <c r="D32" s="262">
        <f>Resultados!D20</f>
        <v>-2067665</v>
      </c>
      <c r="E32" s="262">
        <f>Resultados!E20</f>
        <v>-4377044</v>
      </c>
      <c r="F32" s="262">
        <f>Resultados!F20</f>
        <v>-13740552</v>
      </c>
      <c r="G32" s="262">
        <f>Resultados!G20</f>
        <v>-21347256</v>
      </c>
      <c r="H32" s="262">
        <f>Resultados!H20</f>
        <v>-4416223.7758189254</v>
      </c>
      <c r="I32" s="262">
        <f>Resultados!I20</f>
        <v>-3763153.9337373655</v>
      </c>
      <c r="J32" s="262">
        <f>Resultados!J20</f>
        <v>-3855736.5724228839</v>
      </c>
      <c r="K32" s="262">
        <f>Resultados!K20</f>
        <v>-2918574.4682077141</v>
      </c>
      <c r="L32" s="262">
        <f>Resultados!L20</f>
        <v>-2320931.0902194725</v>
      </c>
      <c r="M32" s="262">
        <f>Resultados!M20</f>
        <v>-2164898.2654857147</v>
      </c>
    </row>
    <row r="33" spans="1:13" s="50" customFormat="1" ht="15.75" thickBot="1">
      <c r="A33" s="355"/>
      <c r="B33" s="355" t="s">
        <v>136</v>
      </c>
      <c r="C33" s="262">
        <f>Imptos.!C36</f>
        <v>42859.078020843874</v>
      </c>
      <c r="D33" s="262">
        <f>Imptos.!D36</f>
        <v>156306.11308431157</v>
      </c>
      <c r="E33" s="262">
        <f>Imptos.!E36</f>
        <v>-1288871.089689465</v>
      </c>
      <c r="F33" s="262">
        <v>0</v>
      </c>
      <c r="G33" s="262">
        <f>Imptos.!G36</f>
        <v>3297909.6176743172</v>
      </c>
      <c r="H33" s="262">
        <f>Imptos.!H36</f>
        <v>862226.67957227386</v>
      </c>
      <c r="I33" s="262">
        <f>Imptos.!I36</f>
        <v>352242.90214709094</v>
      </c>
      <c r="J33" s="262">
        <f>Imptos.!J36</f>
        <v>361342.54824866075</v>
      </c>
      <c r="K33" s="262">
        <f>Imptos.!K36</f>
        <v>36560.83446876493</v>
      </c>
      <c r="L33" s="262">
        <f>Imptos.!L36</f>
        <v>-166801.94975315468</v>
      </c>
      <c r="M33" s="262">
        <f>Imptos.!M36</f>
        <v>-220887.75015239874</v>
      </c>
    </row>
    <row r="34" spans="1:13" ht="15.75">
      <c r="A34" s="2"/>
      <c r="B34" s="21" t="s">
        <v>137</v>
      </c>
      <c r="C34" s="239">
        <f>SUM(C31:C33)</f>
        <v>-2053162.9219791561</v>
      </c>
      <c r="D34" s="239">
        <f t="shared" ref="D34:M34" si="4">SUM(D31:D33)</f>
        <v>-527268.8869156884</v>
      </c>
      <c r="E34" s="239">
        <f t="shared" si="4"/>
        <v>-4463935.0896894652</v>
      </c>
      <c r="F34" s="239">
        <f t="shared" si="4"/>
        <v>-8014591</v>
      </c>
      <c r="G34" s="239">
        <f t="shared" si="4"/>
        <v>-4497108.3823256828</v>
      </c>
      <c r="H34" s="239">
        <f t="shared" si="4"/>
        <v>-992408.13374665112</v>
      </c>
      <c r="I34" s="239">
        <f t="shared" si="4"/>
        <v>-770937.44683777448</v>
      </c>
      <c r="J34" s="239">
        <f t="shared" si="4"/>
        <v>-771525.26886049425</v>
      </c>
      <c r="K34" s="239">
        <f t="shared" si="4"/>
        <v>-74735.947010495031</v>
      </c>
      <c r="L34" s="239">
        <f t="shared" si="4"/>
        <v>319544.64675582701</v>
      </c>
      <c r="M34" s="239">
        <f t="shared" si="4"/>
        <v>421491.67109034082</v>
      </c>
    </row>
    <row r="35" spans="1:13">
      <c r="C35" s="240"/>
      <c r="D35" s="240"/>
      <c r="E35" s="240"/>
      <c r="F35" s="240"/>
      <c r="G35" s="240"/>
      <c r="H35" s="240"/>
      <c r="I35" s="240"/>
      <c r="J35" s="240"/>
      <c r="K35" s="240"/>
      <c r="L35" s="240"/>
      <c r="M35" s="240"/>
    </row>
    <row r="36" spans="1:13" s="50" customFormat="1">
      <c r="A36" s="355"/>
      <c r="B36" s="355" t="s">
        <v>138</v>
      </c>
      <c r="C36" s="262">
        <f>+PasivoFciero.!C35</f>
        <v>12</v>
      </c>
      <c r="D36" s="262">
        <f>+PasivoFciero.!D35</f>
        <v>28674680</v>
      </c>
      <c r="E36" s="262">
        <f>+PasivoFciero.!E35</f>
        <v>-24599407</v>
      </c>
      <c r="F36" s="262">
        <f>+PasivoFciero.!F35</f>
        <v>58938951</v>
      </c>
      <c r="G36" s="262">
        <f>+PasivoFciero.!G35</f>
        <v>-10996497</v>
      </c>
      <c r="H36" s="262">
        <f>+PasivoFciero.!H35</f>
        <v>-11922414.279985774</v>
      </c>
      <c r="I36" s="262">
        <f>+PasivoFciero.!I35</f>
        <v>-12634968.618567318</v>
      </c>
      <c r="J36" s="262">
        <f>+PasivoFciero.!J35</f>
        <v>-1820519.3506622557</v>
      </c>
      <c r="K36" s="262">
        <f>+PasivoFciero.!K35</f>
        <v>-17826820.772152685</v>
      </c>
      <c r="L36" s="262">
        <f>+PasivoFciero.!L35</f>
        <v>-3852307.705667946</v>
      </c>
      <c r="M36" s="262">
        <f>+PasivoFciero.!M35</f>
        <v>-4082834.2729640212</v>
      </c>
    </row>
    <row r="37" spans="1:13">
      <c r="C37" s="240"/>
      <c r="D37" s="240"/>
      <c r="E37" s="240"/>
      <c r="F37" s="240"/>
      <c r="G37" s="240"/>
      <c r="H37" s="240"/>
      <c r="I37" s="240"/>
      <c r="J37" s="240"/>
      <c r="K37" s="240"/>
      <c r="L37" s="240"/>
      <c r="M37" s="240"/>
    </row>
    <row r="38" spans="1:13" ht="15.75">
      <c r="A38" s="2"/>
      <c r="B38" s="23" t="s">
        <v>139</v>
      </c>
      <c r="C38" s="244">
        <f t="shared" ref="C38:H38" si="5">+C34+C36</f>
        <v>-2053150.9219791561</v>
      </c>
      <c r="D38" s="244">
        <f t="shared" si="5"/>
        <v>28147411.113084313</v>
      </c>
      <c r="E38" s="244">
        <f t="shared" si="5"/>
        <v>-29063342.089689463</v>
      </c>
      <c r="F38" s="244">
        <f t="shared" si="5"/>
        <v>50924360</v>
      </c>
      <c r="G38" s="244">
        <f t="shared" si="5"/>
        <v>-15493605.382325683</v>
      </c>
      <c r="H38" s="244">
        <f t="shared" si="5"/>
        <v>-12914822.413732426</v>
      </c>
      <c r="I38" s="244">
        <f>+I34+I36</f>
        <v>-13405906.065405093</v>
      </c>
      <c r="J38" s="244">
        <f>+J34+J36</f>
        <v>-2592044.6195227499</v>
      </c>
      <c r="K38" s="244">
        <f>+K34+K36</f>
        <v>-17901556.719163179</v>
      </c>
      <c r="L38" s="244">
        <f>+L34+L36</f>
        <v>-3532763.0589121189</v>
      </c>
      <c r="M38" s="244">
        <f>+M34+M36</f>
        <v>-3661342.6018736805</v>
      </c>
    </row>
    <row r="39" spans="1:13">
      <c r="C39" s="240"/>
      <c r="D39" s="240"/>
      <c r="E39" s="240"/>
      <c r="F39" s="240"/>
      <c r="G39" s="240"/>
      <c r="H39" s="240"/>
      <c r="I39" s="240"/>
      <c r="J39" s="240"/>
      <c r="K39" s="240"/>
      <c r="L39" s="240"/>
      <c r="M39" s="240"/>
    </row>
    <row r="40" spans="1:13" ht="15.75">
      <c r="A40" s="1" t="s">
        <v>140</v>
      </c>
      <c r="B40" s="2"/>
      <c r="C40" s="238"/>
      <c r="D40" s="238"/>
      <c r="E40" s="238"/>
      <c r="F40" s="238"/>
      <c r="G40" s="238"/>
      <c r="H40" s="238"/>
      <c r="I40" s="238"/>
      <c r="J40" s="238"/>
      <c r="K40" s="238"/>
      <c r="L40" s="238"/>
      <c r="M40" s="238"/>
    </row>
    <row r="41" spans="1:13" s="50" customFormat="1" ht="15.75">
      <c r="A41" s="381"/>
      <c r="B41" s="355" t="s">
        <v>141</v>
      </c>
      <c r="C41" s="262">
        <v>0</v>
      </c>
      <c r="D41" s="262">
        <v>0</v>
      </c>
      <c r="E41" s="262">
        <v>0</v>
      </c>
      <c r="F41" s="262">
        <v>0</v>
      </c>
      <c r="G41" s="262">
        <v>0</v>
      </c>
      <c r="H41" s="262">
        <v>0</v>
      </c>
      <c r="I41" s="262">
        <v>0</v>
      </c>
      <c r="J41" s="262">
        <v>0</v>
      </c>
      <c r="K41" s="262">
        <v>0</v>
      </c>
      <c r="L41" s="262">
        <v>0</v>
      </c>
      <c r="M41" s="262">
        <v>0</v>
      </c>
    </row>
    <row r="42" spans="1:13">
      <c r="C42" s="240"/>
      <c r="D42" s="240"/>
      <c r="E42" s="240"/>
      <c r="F42" s="240"/>
      <c r="G42" s="240"/>
      <c r="H42" s="240"/>
      <c r="I42" s="240"/>
      <c r="J42" s="240"/>
      <c r="K42" s="240"/>
      <c r="L42" s="240"/>
      <c r="M42" s="240"/>
    </row>
    <row r="43" spans="1:13" ht="15.75">
      <c r="A43" s="1" t="s">
        <v>142</v>
      </c>
      <c r="B43" s="2"/>
      <c r="C43" s="238"/>
      <c r="D43" s="238"/>
      <c r="E43" s="238"/>
      <c r="F43" s="541"/>
      <c r="G43" s="238"/>
      <c r="H43" s="238"/>
      <c r="I43" s="238"/>
      <c r="J43" s="238"/>
      <c r="K43" s="238"/>
      <c r="L43" s="238"/>
      <c r="M43" s="238"/>
    </row>
    <row r="44" spans="1:13" s="50" customFormat="1">
      <c r="A44" s="355"/>
      <c r="B44" s="355" t="s">
        <v>143</v>
      </c>
      <c r="C44" s="262"/>
      <c r="D44" s="262">
        <f>+IF(Balance!D54-Balance!C54-Balance!C56+(Balance!D37-Balance!C37)&gt;=0,Balance!D54-Balance!C54-Balance!C56+(Balance!D37-Balance!C37),0)</f>
        <v>0</v>
      </c>
      <c r="E44" s="262">
        <f>+IF(Balance!E54-Balance!D54-Balance!D56+(Balance!E37-Balance!D37)&gt;=0,Balance!E54-Balance!D54-Balance!D56+(Balance!E37-Balance!D37),0)+Resultados!E23</f>
        <v>26749767</v>
      </c>
      <c r="F44" s="262">
        <f>+IF(Balance!F54-Balance!E54-Balance!E56+(Balance!F37-Balance!E37)&gt;=0,Balance!F54-Balance!E54-Balance!E56+(Balance!F37-Balance!E37),0)+Resultados!F23</f>
        <v>61040730</v>
      </c>
      <c r="G44" s="262">
        <f>+IF(Balance!G54-Balance!F54-Balance!F56+(Balance!G37-Balance!F37)&gt;=0,Balance!G54-Balance!F54-Balance!F56+(Balance!G37-Balance!F37),0)+Resultados!G23</f>
        <v>0</v>
      </c>
      <c r="H44" s="262">
        <f>+IF(Balance!H54-Balance!G54-Balance!G56+(Balance!H37-Balance!G37)&gt;=0,Balance!H54-Balance!G54-Balance!G56+(Balance!H37-Balance!G37),0)+Resultados!H23</f>
        <v>0</v>
      </c>
      <c r="I44" s="262">
        <f>+IF(Balance!I54-Balance!H54-Balance!H56+(Balance!I37-Balance!H37)&gt;=0,Balance!I54-Balance!H54-Balance!H56+(Balance!I37-Balance!H37),0)+Resultados!I23</f>
        <v>0</v>
      </c>
      <c r="J44" s="262">
        <f>+IF(Balance!J54-Balance!I54-Balance!I56+(Balance!J37-Balance!I37)&gt;=0,Balance!J54-Balance!I54-Balance!I56+(Balance!J37-Balance!I37),0)+Resultados!J23</f>
        <v>0</v>
      </c>
      <c r="K44" s="262">
        <f>+IF(Balance!K54-Balance!J54-Balance!J56+(Balance!K37-Balance!J37)&gt;=0,Balance!K54-Balance!J54-Balance!J56+(Balance!K37-Balance!J37),0)+Resultados!K23</f>
        <v>0</v>
      </c>
      <c r="L44" s="262">
        <f>+IF(Balance!L54-Balance!K54-Balance!K56+(Balance!L37-Balance!K37)&gt;=0,Balance!L54-Balance!K54-Balance!K56+(Balance!L37-Balance!K37),0)+Resultados!L23</f>
        <v>0</v>
      </c>
      <c r="M44" s="262">
        <f>+IF(Balance!M54-Balance!L54-Balance!L56+(Balance!M37-Balance!L37)&gt;=0,Balance!M54-Balance!L54-Balance!L56+(Balance!M37-Balance!L37),0)+Resultados!M23</f>
        <v>0</v>
      </c>
    </row>
    <row r="45" spans="1:13" s="50" customFormat="1" ht="15.75" thickBot="1">
      <c r="A45" s="355"/>
      <c r="B45" s="355" t="s">
        <v>144</v>
      </c>
      <c r="C45" s="437"/>
      <c r="D45" s="437">
        <f>IF(Balance!D54-Balance!C54-Balance!C56+(Balance!D37-Balance!C37)&lt;0,Balance!D54-Balance!C54-Balance!C56+(Balance!D37-Balance!C37),0)</f>
        <v>-4599667</v>
      </c>
      <c r="E45" s="437">
        <f>IF(Balance!E54-Balance!D54-Balance!D56+(Balance!E37-Balance!D37)&lt;0,Balance!E54-Balance!D54-Balance!D56+(Balance!E37-Balance!D37),0)</f>
        <v>0</v>
      </c>
      <c r="F45" s="437">
        <f>IF(Balance!F54-Balance!E54-Balance!E56+(Balance!F37-Balance!E37)&lt;0,Balance!F54-Balance!E54-Balance!E56+(Balance!F37-Balance!E37),0)</f>
        <v>0</v>
      </c>
      <c r="G45" s="437">
        <f>IF(Balance!G54-Balance!F54-Balance!F56+(Balance!G37-Balance!F37)&lt;0,Balance!G54-Balance!F54-Balance!F56+(Balance!G37-Balance!F37),0)</f>
        <v>-4992474</v>
      </c>
      <c r="H45" s="437">
        <f>IF(Balance!H54-Balance!G54-Balance!G56+(Balance!H37-Balance!G37)&lt;0,Balance!H54-Balance!G54-Balance!G56+(Balance!H37-Balance!G37),0)</f>
        <v>-19421833.278107852</v>
      </c>
      <c r="I45" s="437">
        <f>IF(Balance!I54-Balance!H54-Balance!H56+(Balance!I37-Balance!H37)&lt;0,Balance!I54-Balance!H54-Balance!H56+(Balance!I37-Balance!H37),0)</f>
        <v>-45800522.323463321</v>
      </c>
      <c r="J45" s="437">
        <f>IF(Balance!J54-Balance!I54-Balance!I56+(Balance!J37-Balance!I37)&lt;0,Balance!J54-Balance!I54-Balance!I56+(Balance!J37-Balance!I37),0)</f>
        <v>-41586755.79929699</v>
      </c>
      <c r="K45" s="437">
        <f>IF(Balance!K54-Balance!J54-Balance!J56+(Balance!K37-Balance!J37)&lt;0,Balance!K54-Balance!J54-Balance!J56+(Balance!K37-Balance!J37),0)</f>
        <v>-65794213.427245155</v>
      </c>
      <c r="L45" s="437">
        <f>IF(Balance!L54-Balance!K54-Balance!K56+(Balance!L37-Balance!K37)&lt;0,Balance!L54-Balance!K54-Balance!K56+(Balance!L37-Balance!K37),0)</f>
        <v>-58484870.76576063</v>
      </c>
      <c r="M45" s="437">
        <f>IF(Balance!M54-Balance!L54-Balance!L56+(Balance!M37-Balance!L37)&lt;0,Balance!M54-Balance!L54-Balance!L56+(Balance!M37-Balance!L37),0)</f>
        <v>-34739751.685138412</v>
      </c>
    </row>
    <row r="46" spans="1:13" ht="15.75">
      <c r="A46" s="2"/>
      <c r="B46" s="21" t="s">
        <v>145</v>
      </c>
      <c r="C46" s="241">
        <f t="shared" ref="C46:M46" si="6">SUM(C44:C45)</f>
        <v>0</v>
      </c>
      <c r="D46" s="241">
        <f t="shared" si="6"/>
        <v>-4599667</v>
      </c>
      <c r="E46" s="241">
        <f t="shared" si="6"/>
        <v>26749767</v>
      </c>
      <c r="F46" s="241">
        <f t="shared" si="6"/>
        <v>61040730</v>
      </c>
      <c r="G46" s="241">
        <f t="shared" si="6"/>
        <v>-4992474</v>
      </c>
      <c r="H46" s="241">
        <f t="shared" si="6"/>
        <v>-19421833.278107852</v>
      </c>
      <c r="I46" s="241">
        <f t="shared" si="6"/>
        <v>-45800522.323463321</v>
      </c>
      <c r="J46" s="241">
        <f t="shared" si="6"/>
        <v>-41586755.79929699</v>
      </c>
      <c r="K46" s="241">
        <f t="shared" si="6"/>
        <v>-65794213.427245155</v>
      </c>
      <c r="L46" s="241">
        <f t="shared" si="6"/>
        <v>-58484870.76576063</v>
      </c>
      <c r="M46" s="241">
        <f t="shared" si="6"/>
        <v>-34739751.685138412</v>
      </c>
    </row>
    <row r="47" spans="1:13">
      <c r="C47" s="240"/>
      <c r="D47" s="240"/>
      <c r="E47" s="240"/>
      <c r="F47" s="240"/>
      <c r="G47" s="240"/>
      <c r="H47" s="240"/>
      <c r="I47" s="240"/>
      <c r="J47" s="240"/>
      <c r="K47" s="240"/>
      <c r="L47" s="240"/>
      <c r="M47" s="240"/>
    </row>
    <row r="48" spans="1:13" ht="15.75">
      <c r="A48" s="1" t="s">
        <v>146</v>
      </c>
      <c r="B48" s="2"/>
      <c r="C48" s="238"/>
      <c r="D48" s="238"/>
      <c r="E48" s="238"/>
      <c r="F48" s="238"/>
      <c r="G48" s="238"/>
      <c r="H48" s="238"/>
      <c r="I48" s="238"/>
      <c r="J48" s="238"/>
      <c r="K48" s="238"/>
      <c r="L48" s="238"/>
      <c r="M48" s="238"/>
    </row>
    <row r="49" spans="1:13" s="50" customFormat="1" ht="15.75" thickBot="1">
      <c r="A49" s="355"/>
      <c r="B49" s="355" t="s">
        <v>147</v>
      </c>
      <c r="C49" s="437">
        <v>0</v>
      </c>
      <c r="D49" s="437">
        <v>0</v>
      </c>
      <c r="E49" s="437">
        <v>0</v>
      </c>
      <c r="F49" s="437">
        <v>0</v>
      </c>
      <c r="G49" s="437">
        <v>0</v>
      </c>
      <c r="H49" s="437">
        <v>0</v>
      </c>
      <c r="I49" s="437">
        <v>0</v>
      </c>
      <c r="J49" s="437">
        <v>0</v>
      </c>
      <c r="K49" s="437">
        <v>0</v>
      </c>
      <c r="L49" s="437">
        <v>0</v>
      </c>
      <c r="M49" s="437">
        <v>0</v>
      </c>
    </row>
    <row r="50" spans="1:13" ht="15.75">
      <c r="A50" s="2"/>
      <c r="B50" s="21" t="s">
        <v>148</v>
      </c>
      <c r="C50" s="241">
        <v>0</v>
      </c>
      <c r="D50" s="241">
        <f t="shared" ref="D50:M50" si="7">+D49-C50</f>
        <v>0</v>
      </c>
      <c r="E50" s="241">
        <f t="shared" si="7"/>
        <v>0</v>
      </c>
      <c r="F50" s="241">
        <f t="shared" si="7"/>
        <v>0</v>
      </c>
      <c r="G50" s="241">
        <f t="shared" si="7"/>
        <v>0</v>
      </c>
      <c r="H50" s="241">
        <f t="shared" si="7"/>
        <v>0</v>
      </c>
      <c r="I50" s="241">
        <f t="shared" si="7"/>
        <v>0</v>
      </c>
      <c r="J50" s="241">
        <f t="shared" si="7"/>
        <v>0</v>
      </c>
      <c r="K50" s="241">
        <f t="shared" si="7"/>
        <v>0</v>
      </c>
      <c r="L50" s="241">
        <f t="shared" si="7"/>
        <v>0</v>
      </c>
      <c r="M50" s="241">
        <f t="shared" si="7"/>
        <v>0</v>
      </c>
    </row>
    <row r="51" spans="1:13" s="530" customFormat="1" ht="15.75">
      <c r="A51" s="527"/>
      <c r="B51" s="528"/>
      <c r="C51" s="529"/>
      <c r="D51" s="529"/>
      <c r="E51" s="529"/>
      <c r="F51" s="529"/>
      <c r="G51" s="529"/>
      <c r="H51" s="529"/>
      <c r="I51" s="529"/>
      <c r="J51" s="529"/>
      <c r="K51" s="529"/>
      <c r="L51" s="529"/>
      <c r="M51" s="529"/>
    </row>
    <row r="52" spans="1:13" s="530" customFormat="1" ht="15.75">
      <c r="A52" s="527"/>
      <c r="B52" s="528"/>
      <c r="C52" s="529"/>
      <c r="D52" s="529"/>
      <c r="E52" s="529"/>
      <c r="F52" s="542"/>
      <c r="G52" s="529"/>
      <c r="H52" s="529"/>
      <c r="I52" s="529"/>
      <c r="J52" s="529"/>
      <c r="K52" s="529"/>
      <c r="L52" s="529"/>
      <c r="M52" s="529"/>
    </row>
    <row r="53" spans="1:13" s="50" customFormat="1" ht="15.75">
      <c r="A53" s="355" t="s">
        <v>1092</v>
      </c>
      <c r="B53" s="381"/>
      <c r="C53" s="544"/>
      <c r="D53" s="544"/>
      <c r="E53" s="544"/>
      <c r="F53" s="544"/>
      <c r="G53" s="544"/>
      <c r="H53" s="544"/>
      <c r="I53" s="544"/>
      <c r="J53" s="544"/>
      <c r="K53" s="544"/>
      <c r="L53" s="544"/>
      <c r="M53" s="544"/>
    </row>
    <row r="54" spans="1:13" s="50" customFormat="1" ht="15.75">
      <c r="A54" s="355"/>
      <c r="B54" s="381"/>
      <c r="C54" s="544"/>
      <c r="D54" s="544">
        <f>-((Balance!D17+Balance!D18+Balance!D20+Balance!D21+Balance!D22)-(Balance!C17+Balance!C18+Balance!C20+Balance!C21+Balance!C22))</f>
        <v>-31995493</v>
      </c>
      <c r="E54" s="544">
        <f>-((Balance!E17+Balance!E18+Balance!E20+Balance!E21+Balance!E22)-(Balance!D17+Balance!D18+Balance!D20+Balance!D21+Balance!D22))</f>
        <v>-28483584</v>
      </c>
      <c r="F54" s="544">
        <f>-((Balance!F17+Balance!F18+Balance!F20+Balance!F21+Balance!F22)-(Balance!E17+Balance!E18+Balance!E20+Balance!E21+Balance!E22))</f>
        <v>48166029</v>
      </c>
      <c r="G54" s="544">
        <f>-((Balance!G17+Balance!G18+Balance!G20+Balance!G21+Balance!G22)-(Balance!F17+Balance!F18+Balance!F20+Balance!F21+Balance!F22))</f>
        <v>1665529</v>
      </c>
      <c r="H54" s="544">
        <f>-((Balance!H17+Balance!H18+Balance!H20+Balance!H21+Balance!H22)-(Balance!G17+Balance!G18+Balance!G20+Balance!G21+Balance!G22))</f>
        <v>-4649034.9381664805</v>
      </c>
      <c r="I54" s="544">
        <f>-((Balance!I17+Balance!I18+Balance!I20+Balance!I21+Balance!I22)-(Balance!H17+Balance!H18+Balance!H20+Balance!H21+Balance!H22))</f>
        <v>-3155697.8671022095</v>
      </c>
      <c r="J54" s="544">
        <f>-((Balance!J17+Balance!J18+Balance!J20+Balance!J21+Balance!J22)-(Balance!I17+Balance!I18+Balance!I20+Balance!I21+Balance!I22))</f>
        <v>-3269131.8148609512</v>
      </c>
      <c r="K54" s="544">
        <f>-((Balance!K17+Balance!K18+Balance!K20+Balance!K21+Balance!K22)-(Balance!J17+Balance!J18+Balance!J20+Balance!J21+Balance!J22))</f>
        <v>5981116.1848972812</v>
      </c>
      <c r="L54" s="544">
        <f>-((Balance!L17+Balance!L18+Balance!L20+Balance!L21+Balance!L22)-(Balance!K17+Balance!K18+Balance!K20+Balance!K21+Balance!K22))</f>
        <v>-699148.69622749463</v>
      </c>
      <c r="M54" s="544">
        <f>-((Balance!M17+Balance!M18+Balance!M20+Balance!M21+Balance!M22)-(Balance!L17+Balance!L18+Balance!L20+Balance!L21+Balance!L22))</f>
        <v>-1170509.438551601</v>
      </c>
    </row>
    <row r="55" spans="1:13">
      <c r="A55" s="2"/>
      <c r="B55" s="2"/>
      <c r="C55" s="238"/>
      <c r="D55" s="238"/>
      <c r="E55" s="238"/>
      <c r="F55" s="238"/>
      <c r="G55" s="238"/>
      <c r="H55" s="238"/>
      <c r="I55" s="238"/>
      <c r="J55" s="238"/>
      <c r="K55" s="238"/>
      <c r="L55" s="238"/>
      <c r="M55" s="238"/>
    </row>
    <row r="56" spans="1:13" ht="15.75" thickBot="1">
      <c r="A56" s="2"/>
      <c r="B56" s="2"/>
      <c r="C56" s="238"/>
      <c r="D56" s="238"/>
      <c r="E56" s="238"/>
      <c r="F56" s="238"/>
      <c r="G56" s="238"/>
      <c r="H56" s="238"/>
      <c r="I56" s="238"/>
      <c r="J56" s="238"/>
      <c r="K56" s="238"/>
      <c r="L56" s="238"/>
      <c r="M56" s="238"/>
    </row>
    <row r="57" spans="1:13" ht="17.25" thickTop="1" thickBot="1">
      <c r="A57" s="22" t="s">
        <v>133</v>
      </c>
      <c r="B57" s="22"/>
      <c r="C57" s="243"/>
      <c r="D57" s="243">
        <f>+D50+D46+D41+D38+D54</f>
        <v>-8447748.8869156875</v>
      </c>
      <c r="E57" s="243">
        <f>+E50+E46+E41+E38+E54</f>
        <v>-30797159.089689463</v>
      </c>
      <c r="F57" s="243">
        <f t="shared" ref="F57:M57" si="8">+F50+F46+F41+F38+F54</f>
        <v>160131119</v>
      </c>
      <c r="G57" s="243">
        <f t="shared" si="8"/>
        <v>-18820550.382325683</v>
      </c>
      <c r="H57" s="243">
        <f t="shared" si="8"/>
        <v>-36985690.63000676</v>
      </c>
      <c r="I57" s="243">
        <f t="shared" si="8"/>
        <v>-62362126.255970627</v>
      </c>
      <c r="J57" s="243">
        <f t="shared" si="8"/>
        <v>-47447932.233680695</v>
      </c>
      <c r="K57" s="243">
        <f t="shared" si="8"/>
        <v>-77714653.961511046</v>
      </c>
      <c r="L57" s="243">
        <f t="shared" si="8"/>
        <v>-62716782.520900249</v>
      </c>
      <c r="M57" s="243">
        <f t="shared" si="8"/>
        <v>-39571603.72556369</v>
      </c>
    </row>
    <row r="58" spans="1:13" ht="15.75" hidden="1" thickTop="1">
      <c r="A58" s="2"/>
      <c r="B58" s="53" t="s">
        <v>360</v>
      </c>
      <c r="C58" s="238">
        <f>+C27+C57</f>
        <v>8955700.9219791554</v>
      </c>
      <c r="D58" s="238">
        <f>+D27+D57</f>
        <v>0</v>
      </c>
      <c r="E58" s="238">
        <f>+E27+E57</f>
        <v>0</v>
      </c>
      <c r="F58" s="238">
        <f>+F27+F57</f>
        <v>0</v>
      </c>
      <c r="G58" s="238"/>
      <c r="H58" s="240"/>
      <c r="I58" s="240"/>
      <c r="J58" s="240"/>
      <c r="K58" s="240"/>
      <c r="L58" s="240"/>
      <c r="M58" s="240"/>
    </row>
    <row r="59" spans="1:13" s="50" customFormat="1" ht="16.5" thickTop="1">
      <c r="B59" s="379"/>
      <c r="C59" s="380"/>
      <c r="D59" s="380"/>
      <c r="E59" s="380"/>
      <c r="F59" s="380"/>
      <c r="G59" s="380"/>
      <c r="H59" s="380"/>
      <c r="I59" s="380"/>
      <c r="J59" s="380"/>
      <c r="K59" s="380"/>
      <c r="L59" s="380"/>
      <c r="M59" s="380"/>
    </row>
    <row r="60" spans="1:13" s="50" customFormat="1">
      <c r="C60" s="539"/>
      <c r="D60" s="539">
        <f t="shared" ref="D60:M60" si="9">+D27+D57</f>
        <v>0</v>
      </c>
      <c r="E60" s="539">
        <f t="shared" si="9"/>
        <v>0</v>
      </c>
      <c r="F60" s="539">
        <f t="shared" si="9"/>
        <v>0</v>
      </c>
      <c r="G60" s="539">
        <f t="shared" si="9"/>
        <v>0</v>
      </c>
      <c r="H60" s="539">
        <f t="shared" si="9"/>
        <v>0</v>
      </c>
      <c r="I60" s="539">
        <f t="shared" si="9"/>
        <v>0</v>
      </c>
      <c r="J60" s="539">
        <f t="shared" si="9"/>
        <v>-7.4505805969238281E-8</v>
      </c>
      <c r="K60" s="539">
        <f t="shared" si="9"/>
        <v>0</v>
      </c>
      <c r="L60" s="539">
        <f t="shared" si="9"/>
        <v>5.9604644775390625E-8</v>
      </c>
      <c r="M60" s="539">
        <f t="shared" si="9"/>
        <v>0</v>
      </c>
    </row>
    <row r="61" spans="1:13" s="50" customFormat="1">
      <c r="D61" s="540"/>
      <c r="E61" s="540"/>
      <c r="F61" s="543"/>
      <c r="G61" s="540"/>
      <c r="H61" s="540"/>
      <c r="I61" s="539"/>
      <c r="J61" s="540"/>
      <c r="K61" s="540"/>
      <c r="L61" s="540"/>
      <c r="M61" s="540"/>
    </row>
    <row r="62" spans="1:13" s="50" customFormat="1"/>
  </sheetData>
  <phoneticPr fontId="0" type="noConversion"/>
  <printOptions horizontalCentered="1" verticalCentered="1"/>
  <pageMargins left="0.51181102362204722" right="0.51181102362204722" top="0.51181102362204722" bottom="0.51181102362204722" header="0.51181102362204722" footer="0.51181102362204722"/>
  <pageSetup scale="83" firstPageNumber="9" orientation="portrait" blackAndWhite="1" horizontalDpi="300" verticalDpi="300" r:id="rId1"/>
  <headerFooter alignWithMargins="0">
    <oddHeader>&amp;C&amp;A</oddHeader>
    <oddFooter>&amp;CCia.Modelo -  EVA&amp;RPágina &amp;P</oddFooter>
  </headerFooter>
  <rowBreaks count="1" manualBreakCount="1">
    <brk id="27" max="655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dimension ref="A1:M37"/>
  <sheetViews>
    <sheetView showGridLines="0" zoomScale="70" zoomScaleNormal="70" zoomScalePageLayoutView="70" workbookViewId="0">
      <selection activeCell="O17" sqref="O17"/>
    </sheetView>
  </sheetViews>
  <sheetFormatPr baseColWidth="10" defaultColWidth="8.88671875" defaultRowHeight="15"/>
  <cols>
    <col min="1" max="1" width="3.6640625" style="38" customWidth="1"/>
    <col min="2" max="2" width="30.6640625" style="38" customWidth="1"/>
    <col min="3" max="5" width="12.6640625" style="38" customWidth="1"/>
    <col min="6" max="6" width="13.6640625" style="38" customWidth="1"/>
    <col min="7" max="7" width="11.6640625" style="38" customWidth="1"/>
    <col min="8" max="13" width="13" style="38" customWidth="1"/>
    <col min="14" max="16384" width="8.88671875" style="38"/>
  </cols>
  <sheetData>
    <row r="1" spans="1:13" ht="15.75">
      <c r="A1" s="88" t="str">
        <f>+Balance!A1</f>
        <v>Compañía Modelo - EVA</v>
      </c>
      <c r="B1" s="60"/>
      <c r="C1" s="60"/>
      <c r="D1" s="60"/>
      <c r="E1" s="60"/>
      <c r="F1" s="60"/>
    </row>
    <row r="2" spans="1:13" ht="15.75">
      <c r="A2" s="88" t="s">
        <v>77</v>
      </c>
      <c r="B2" s="60"/>
      <c r="C2" s="60"/>
      <c r="D2" s="60"/>
      <c r="E2" s="60"/>
      <c r="F2" s="60"/>
    </row>
    <row r="3" spans="1:13">
      <c r="A3" s="60" t="s">
        <v>287</v>
      </c>
      <c r="B3" s="60"/>
      <c r="C3" s="60"/>
      <c r="D3" s="60"/>
      <c r="E3" s="60"/>
      <c r="F3" s="60"/>
    </row>
    <row r="5" spans="1:13" ht="16.5" thickBot="1">
      <c r="A5" s="60"/>
      <c r="B5" s="60"/>
      <c r="C5" s="390">
        <f>'KWOp.%'!$C$4</f>
        <v>2009</v>
      </c>
      <c r="D5" s="390">
        <f>C5+1</f>
        <v>2010</v>
      </c>
      <c r="E5" s="390">
        <f>D5+1</f>
        <v>2011</v>
      </c>
      <c r="F5" s="390">
        <f>E5+1</f>
        <v>2012</v>
      </c>
      <c r="G5" s="390">
        <f>F5+1</f>
        <v>2013</v>
      </c>
      <c r="H5" s="390" t="s">
        <v>342</v>
      </c>
      <c r="I5" s="390" t="s">
        <v>343</v>
      </c>
      <c r="J5" s="390" t="s">
        <v>344</v>
      </c>
      <c r="K5" s="390" t="s">
        <v>345</v>
      </c>
      <c r="L5" s="390" t="s">
        <v>346</v>
      </c>
      <c r="M5" s="390" t="s">
        <v>347</v>
      </c>
    </row>
    <row r="7" spans="1:13">
      <c r="A7" s="60" t="s">
        <v>78</v>
      </c>
      <c r="B7" s="60"/>
      <c r="C7" s="60">
        <f>Resultados!C16</f>
        <v>8462932</v>
      </c>
      <c r="D7" s="60">
        <f>Resultados!D16</f>
        <v>10135788</v>
      </c>
      <c r="E7" s="60">
        <f>Resultados!E16</f>
        <v>10863860</v>
      </c>
      <c r="F7" s="60">
        <f>Resultados!F16</f>
        <v>8222416</v>
      </c>
      <c r="G7" s="60">
        <f>Resultados!G16</f>
        <v>18623838</v>
      </c>
      <c r="H7" s="60">
        <f>Resultados!H16</f>
        <v>36816122.26756689</v>
      </c>
      <c r="I7" s="60">
        <f>Resultados!I16</f>
        <v>48282042.485250436</v>
      </c>
      <c r="J7" s="60">
        <f>Resultados!J16</f>
        <v>60175197.592656881</v>
      </c>
      <c r="K7" s="60">
        <f>Resultados!K16</f>
        <v>67837332.952438518</v>
      </c>
      <c r="L7" s="60">
        <f>Resultados!L16</f>
        <v>67837332.952438518</v>
      </c>
      <c r="M7" s="60">
        <f>Resultados!M16</f>
        <v>67837332.952438518</v>
      </c>
    </row>
    <row r="8" spans="1:13">
      <c r="A8" s="395" t="s">
        <v>79</v>
      </c>
      <c r="B8" s="60"/>
      <c r="C8" s="60"/>
      <c r="D8" s="60"/>
      <c r="E8" s="60"/>
      <c r="F8" s="60"/>
      <c r="G8" s="60"/>
      <c r="H8" s="60"/>
      <c r="I8" s="60"/>
      <c r="J8" s="60"/>
      <c r="K8" s="60"/>
      <c r="L8" s="60"/>
      <c r="M8" s="60"/>
    </row>
    <row r="9" spans="1:13" ht="15.75" thickBot="1">
      <c r="A9" s="60" t="s">
        <v>80</v>
      </c>
      <c r="B9" s="60"/>
      <c r="C9" s="60"/>
      <c r="D9" s="60"/>
      <c r="E9" s="60"/>
      <c r="F9" s="60"/>
      <c r="G9" s="60"/>
      <c r="H9" s="60"/>
      <c r="I9" s="60"/>
      <c r="J9" s="60"/>
      <c r="K9" s="60"/>
      <c r="L9" s="60"/>
      <c r="M9" s="60"/>
    </row>
    <row r="10" spans="1:13" ht="15.75">
      <c r="A10" s="88" t="s">
        <v>81</v>
      </c>
      <c r="B10" s="60"/>
      <c r="C10" s="93">
        <f t="shared" ref="C10:M10" si="0">SUM(C7:C9)</f>
        <v>8462932</v>
      </c>
      <c r="D10" s="93">
        <f t="shared" si="0"/>
        <v>10135788</v>
      </c>
      <c r="E10" s="93">
        <f t="shared" si="0"/>
        <v>10863860</v>
      </c>
      <c r="F10" s="93">
        <f t="shared" si="0"/>
        <v>8222416</v>
      </c>
      <c r="G10" s="93">
        <f t="shared" si="0"/>
        <v>18623838</v>
      </c>
      <c r="H10" s="93">
        <f t="shared" si="0"/>
        <v>36816122.26756689</v>
      </c>
      <c r="I10" s="93">
        <f t="shared" si="0"/>
        <v>48282042.485250436</v>
      </c>
      <c r="J10" s="93">
        <f t="shared" si="0"/>
        <v>60175197.592656881</v>
      </c>
      <c r="K10" s="93">
        <f t="shared" si="0"/>
        <v>67837332.952438518</v>
      </c>
      <c r="L10" s="93">
        <f t="shared" si="0"/>
        <v>67837332.952438518</v>
      </c>
      <c r="M10" s="93">
        <f t="shared" si="0"/>
        <v>67837332.952438518</v>
      </c>
    </row>
    <row r="11" spans="1:13">
      <c r="A11" s="396" t="s">
        <v>82</v>
      </c>
      <c r="B11" s="60"/>
      <c r="C11" s="60">
        <f>Resultados!C22</f>
        <v>-513928</v>
      </c>
      <c r="D11" s="60">
        <f>Resultados!D22</f>
        <v>-683575</v>
      </c>
      <c r="E11" s="60">
        <f>Resultados!E22</f>
        <v>-3175064</v>
      </c>
      <c r="F11" s="60">
        <f>Resultados!F22</f>
        <v>-8014591</v>
      </c>
      <c r="G11" s="60">
        <f>Resultados!G22</f>
        <v>-7795018</v>
      </c>
      <c r="H11" s="60">
        <f>Resultados!H22</f>
        <v>-1854634.813318925</v>
      </c>
      <c r="I11" s="60">
        <f>Resultados!I22</f>
        <v>-1123180.3489848655</v>
      </c>
      <c r="J11" s="60">
        <f>Resultados!J22</f>
        <v>-1132867.817109155</v>
      </c>
      <c r="K11" s="60">
        <f>Resultados!K22</f>
        <v>-111296.78147925995</v>
      </c>
      <c r="L11" s="60">
        <f>Resultados!L22</f>
        <v>486346.59650898166</v>
      </c>
      <c r="M11" s="60">
        <f>Resultados!M22</f>
        <v>642379.42124273954</v>
      </c>
    </row>
    <row r="12" spans="1:13" ht="15.75" thickBot="1">
      <c r="A12" s="60" t="s">
        <v>83</v>
      </c>
      <c r="B12" s="60"/>
      <c r="C12" s="60">
        <v>0</v>
      </c>
      <c r="D12" s="60">
        <v>0</v>
      </c>
      <c r="E12" s="60">
        <v>0</v>
      </c>
      <c r="F12" s="60">
        <v>0</v>
      </c>
      <c r="G12" s="60">
        <v>0</v>
      </c>
      <c r="H12" s="60">
        <v>0</v>
      </c>
      <c r="I12" s="60">
        <v>0</v>
      </c>
      <c r="J12" s="60">
        <v>0</v>
      </c>
      <c r="K12" s="60">
        <v>0</v>
      </c>
      <c r="L12" s="60">
        <v>0</v>
      </c>
      <c r="M12" s="60">
        <v>0</v>
      </c>
    </row>
    <row r="13" spans="1:13" ht="15.75">
      <c r="A13" s="88" t="s">
        <v>84</v>
      </c>
      <c r="B13" s="60"/>
      <c r="C13" s="93">
        <f t="shared" ref="C13:M13" si="1">SUM(C10:C12)</f>
        <v>7949004</v>
      </c>
      <c r="D13" s="93">
        <f t="shared" si="1"/>
        <v>9452213</v>
      </c>
      <c r="E13" s="93">
        <f t="shared" si="1"/>
        <v>7688796</v>
      </c>
      <c r="F13" s="93">
        <f t="shared" si="1"/>
        <v>207825</v>
      </c>
      <c r="G13" s="93">
        <f t="shared" si="1"/>
        <v>10828820</v>
      </c>
      <c r="H13" s="93">
        <f t="shared" si="1"/>
        <v>34961487.454247966</v>
      </c>
      <c r="I13" s="93">
        <f t="shared" si="1"/>
        <v>47158862.136265568</v>
      </c>
      <c r="J13" s="93">
        <f t="shared" si="1"/>
        <v>59042329.775547728</v>
      </c>
      <c r="K13" s="93">
        <f t="shared" si="1"/>
        <v>67726036.170959264</v>
      </c>
      <c r="L13" s="93">
        <f t="shared" si="1"/>
        <v>68323679.548947498</v>
      </c>
      <c r="M13" s="93">
        <f t="shared" si="1"/>
        <v>68479712.373681262</v>
      </c>
    </row>
    <row r="15" spans="1:13" ht="15.75">
      <c r="A15" s="88" t="s">
        <v>85</v>
      </c>
      <c r="B15" s="60"/>
      <c r="C15" s="60"/>
      <c r="D15" s="60"/>
      <c r="E15" s="60"/>
      <c r="F15" s="60"/>
      <c r="G15" s="60"/>
      <c r="H15" s="60"/>
      <c r="I15" s="60"/>
      <c r="J15" s="60"/>
      <c r="K15" s="60"/>
      <c r="L15" s="60"/>
      <c r="M15" s="60"/>
    </row>
    <row r="16" spans="1:13" ht="15.75">
      <c r="A16" s="60"/>
      <c r="B16" s="397" t="s">
        <v>86</v>
      </c>
      <c r="C16" s="60"/>
      <c r="D16" s="60"/>
      <c r="E16" s="60"/>
      <c r="F16" s="60"/>
      <c r="G16" s="60"/>
      <c r="H16" s="60"/>
      <c r="I16" s="60"/>
      <c r="J16" s="60"/>
      <c r="K16" s="60"/>
      <c r="L16" s="60"/>
      <c r="M16" s="60"/>
    </row>
    <row r="17" spans="1:13">
      <c r="A17" s="60"/>
      <c r="B17" s="60" t="s">
        <v>87</v>
      </c>
      <c r="C17" s="60">
        <v>1</v>
      </c>
      <c r="D17" s="60">
        <f t="shared" ref="D17:M17" si="2">C18</f>
        <v>1198581</v>
      </c>
      <c r="E17" s="60">
        <f t="shared" si="2"/>
        <v>1375272</v>
      </c>
      <c r="F17" s="60">
        <f t="shared" si="2"/>
        <v>6990518</v>
      </c>
      <c r="G17" s="60">
        <f t="shared" si="2"/>
        <v>5485392</v>
      </c>
      <c r="H17" s="60">
        <f t="shared" si="2"/>
        <v>7499105</v>
      </c>
      <c r="I17" s="60">
        <f t="shared" si="2"/>
        <v>3517639.4643158028</v>
      </c>
      <c r="J17" s="60">
        <f t="shared" si="2"/>
        <v>5102413.7010380924</v>
      </c>
      <c r="K17" s="60">
        <f t="shared" si="2"/>
        <v>6642810.3528321367</v>
      </c>
      <c r="L17" s="60">
        <f t="shared" si="2"/>
        <v>7715769.8995759981</v>
      </c>
      <c r="M17" s="60">
        <f t="shared" si="2"/>
        <v>7800934.0809393199</v>
      </c>
    </row>
    <row r="18" spans="1:13" ht="15.75" thickBot="1">
      <c r="A18" s="60"/>
      <c r="B18" s="60" t="s">
        <v>88</v>
      </c>
      <c r="C18" s="60">
        <f>KWOp.!C27</f>
        <v>1198581</v>
      </c>
      <c r="D18" s="60">
        <f>KWOp.!D27</f>
        <v>1375272</v>
      </c>
      <c r="E18" s="60">
        <f>KWOp.!E27</f>
        <v>6990518</v>
      </c>
      <c r="F18" s="60">
        <f>KWOp.!F27</f>
        <v>5485392</v>
      </c>
      <c r="G18" s="60">
        <f>KWOp.!G27</f>
        <v>7499105</v>
      </c>
      <c r="H18" s="60">
        <f>KWOp.!H27</f>
        <v>3517639.4643158028</v>
      </c>
      <c r="I18" s="60">
        <f>KWOp.!I27</f>
        <v>5102413.7010380924</v>
      </c>
      <c r="J18" s="60">
        <f>KWOp.!J27</f>
        <v>6642810.3528321367</v>
      </c>
      <c r="K18" s="60">
        <f>KWOp.!K27</f>
        <v>7715769.8995759981</v>
      </c>
      <c r="L18" s="60">
        <f>KWOp.!L27</f>
        <v>7800934.0809393199</v>
      </c>
      <c r="M18" s="60">
        <f>KWOp.!M27</f>
        <v>7823168.7584638828</v>
      </c>
    </row>
    <row r="19" spans="1:13" ht="15.75">
      <c r="A19" s="60"/>
      <c r="B19" s="88" t="s">
        <v>89</v>
      </c>
      <c r="C19" s="93">
        <f t="shared" ref="C19:M19" si="3">C18-C17</f>
        <v>1198580</v>
      </c>
      <c r="D19" s="93">
        <f t="shared" si="3"/>
        <v>176691</v>
      </c>
      <c r="E19" s="93">
        <f t="shared" si="3"/>
        <v>5615246</v>
      </c>
      <c r="F19" s="93">
        <f t="shared" si="3"/>
        <v>-1505126</v>
      </c>
      <c r="G19" s="93">
        <f t="shared" si="3"/>
        <v>2013713</v>
      </c>
      <c r="H19" s="93">
        <f t="shared" si="3"/>
        <v>-3981465.5356841972</v>
      </c>
      <c r="I19" s="93">
        <f t="shared" si="3"/>
        <v>1584774.2367222896</v>
      </c>
      <c r="J19" s="93">
        <f t="shared" si="3"/>
        <v>1540396.6517940443</v>
      </c>
      <c r="K19" s="93">
        <f t="shared" si="3"/>
        <v>1072959.5467438614</v>
      </c>
      <c r="L19" s="93">
        <f t="shared" si="3"/>
        <v>85164.181363321841</v>
      </c>
      <c r="M19" s="93">
        <f t="shared" si="3"/>
        <v>22234.677524562925</v>
      </c>
    </row>
    <row r="21" spans="1:13" ht="15.75">
      <c r="A21" s="60"/>
      <c r="B21" s="397" t="s">
        <v>90</v>
      </c>
      <c r="C21" s="60"/>
      <c r="D21" s="60"/>
      <c r="E21" s="60"/>
      <c r="F21" s="60"/>
      <c r="G21" s="60"/>
      <c r="H21" s="60"/>
      <c r="I21" s="60"/>
      <c r="J21" s="60"/>
      <c r="K21" s="60"/>
      <c r="L21" s="60"/>
      <c r="M21" s="60"/>
    </row>
    <row r="22" spans="1:13">
      <c r="A22" s="60"/>
      <c r="B22" s="60" t="s">
        <v>91</v>
      </c>
      <c r="C22" s="60">
        <f>Resultados!C26</f>
        <v>-1861488</v>
      </c>
      <c r="D22" s="60">
        <f>Resultados!D26</f>
        <v>-2338032</v>
      </c>
      <c r="E22" s="60">
        <f>Resultados!E26</f>
        <v>-2494091</v>
      </c>
      <c r="F22" s="60">
        <f>Resultados!F26</f>
        <v>-3333252</v>
      </c>
      <c r="G22" s="60">
        <f>Resultados!G26</f>
        <v>-6595161</v>
      </c>
      <c r="H22" s="60">
        <f>Resultados!H26</f>
        <v>-12272261.086992012</v>
      </c>
      <c r="I22" s="60">
        <f>Resultados!I26</f>
        <v>-16374362.102861654</v>
      </c>
      <c r="J22" s="60">
        <f>Resultados!J26</f>
        <v>-20372696.036973376</v>
      </c>
      <c r="K22" s="60">
        <f>Resultados!K26</f>
        <v>-23320866.132734854</v>
      </c>
      <c r="L22" s="60">
        <f>Resultados!L26</f>
        <v>-23518088.44747097</v>
      </c>
      <c r="M22" s="60">
        <f>Resultados!M26</f>
        <v>-23569579.279633112</v>
      </c>
    </row>
    <row r="23" spans="1:13" ht="15.75" thickBot="1">
      <c r="A23" s="60"/>
      <c r="B23" s="60" t="s">
        <v>92</v>
      </c>
      <c r="C23" s="60">
        <v>0</v>
      </c>
      <c r="D23" s="60">
        <v>0</v>
      </c>
      <c r="E23" s="60">
        <v>0</v>
      </c>
      <c r="F23" s="60">
        <v>0</v>
      </c>
      <c r="G23" s="60">
        <v>0</v>
      </c>
      <c r="H23" s="60">
        <v>0</v>
      </c>
      <c r="I23" s="60">
        <v>0</v>
      </c>
      <c r="J23" s="60">
        <v>0</v>
      </c>
      <c r="K23" s="60">
        <v>0</v>
      </c>
      <c r="L23" s="60">
        <v>0</v>
      </c>
      <c r="M23" s="60">
        <v>0</v>
      </c>
    </row>
    <row r="24" spans="1:13" ht="15.75">
      <c r="A24" s="60"/>
      <c r="B24" s="88" t="s">
        <v>93</v>
      </c>
      <c r="C24" s="93">
        <f t="shared" ref="C24:M24" si="4">SUM(C22:C23)</f>
        <v>-1861488</v>
      </c>
      <c r="D24" s="93">
        <f t="shared" si="4"/>
        <v>-2338032</v>
      </c>
      <c r="E24" s="93">
        <f t="shared" si="4"/>
        <v>-2494091</v>
      </c>
      <c r="F24" s="93">
        <f t="shared" si="4"/>
        <v>-3333252</v>
      </c>
      <c r="G24" s="93">
        <f t="shared" si="4"/>
        <v>-6595161</v>
      </c>
      <c r="H24" s="93">
        <f t="shared" si="4"/>
        <v>-12272261.086992012</v>
      </c>
      <c r="I24" s="93">
        <f t="shared" si="4"/>
        <v>-16374362.102861654</v>
      </c>
      <c r="J24" s="93">
        <f t="shared" si="4"/>
        <v>-20372696.036973376</v>
      </c>
      <c r="K24" s="93">
        <f t="shared" si="4"/>
        <v>-23320866.132734854</v>
      </c>
      <c r="L24" s="93">
        <f t="shared" si="4"/>
        <v>-23518088.44747097</v>
      </c>
      <c r="M24" s="93">
        <f t="shared" si="4"/>
        <v>-23569579.279633112</v>
      </c>
    </row>
    <row r="25" spans="1:13" ht="15.75" thickBot="1">
      <c r="A25" s="60"/>
      <c r="B25" s="60"/>
      <c r="C25" s="60"/>
      <c r="D25" s="60"/>
      <c r="E25" s="60"/>
      <c r="F25" s="60"/>
      <c r="G25" s="60"/>
      <c r="H25" s="60"/>
      <c r="I25" s="60"/>
      <c r="J25" s="60"/>
      <c r="K25" s="60"/>
      <c r="L25" s="60"/>
      <c r="M25" s="60"/>
    </row>
    <row r="26" spans="1:13" ht="17.25" thickTop="1" thickBot="1">
      <c r="A26" s="398" t="s">
        <v>94</v>
      </c>
      <c r="B26" s="399"/>
      <c r="C26" s="398">
        <f t="shared" ref="C26:H26" si="5">C19+C24</f>
        <v>-662908</v>
      </c>
      <c r="D26" s="398">
        <f t="shared" si="5"/>
        <v>-2161341</v>
      </c>
      <c r="E26" s="398">
        <f t="shared" si="5"/>
        <v>3121155</v>
      </c>
      <c r="F26" s="398">
        <f t="shared" si="5"/>
        <v>-4838378</v>
      </c>
      <c r="G26" s="398">
        <f t="shared" si="5"/>
        <v>-4581448</v>
      </c>
      <c r="H26" s="398">
        <f t="shared" si="5"/>
        <v>-16253726.622676209</v>
      </c>
      <c r="I26" s="398">
        <f>I19+I24</f>
        <v>-14789587.866139363</v>
      </c>
      <c r="J26" s="398">
        <f>J19+J24</f>
        <v>-18832299.385179333</v>
      </c>
      <c r="K26" s="398">
        <f>K19+K24</f>
        <v>-22247906.585990991</v>
      </c>
      <c r="L26" s="398">
        <f>L19+L24</f>
        <v>-23432924.266107649</v>
      </c>
      <c r="M26" s="398">
        <f>M19+M24</f>
        <v>-23547344.602108549</v>
      </c>
    </row>
    <row r="27" spans="1:13" ht="15.75" thickTop="1">
      <c r="A27" s="60"/>
      <c r="B27" s="60"/>
      <c r="C27" s="60"/>
      <c r="D27" s="60"/>
      <c r="E27" s="60"/>
      <c r="F27" s="60"/>
      <c r="G27" s="60"/>
      <c r="H27" s="60"/>
      <c r="I27" s="60"/>
      <c r="J27" s="60"/>
      <c r="K27" s="60"/>
      <c r="L27" s="60"/>
      <c r="M27" s="60"/>
    </row>
    <row r="28" spans="1:13">
      <c r="A28" s="60"/>
      <c r="B28" s="60" t="s">
        <v>95</v>
      </c>
      <c r="C28" s="391">
        <v>-0.33</v>
      </c>
      <c r="D28" s="391">
        <v>-0.33</v>
      </c>
      <c r="E28" s="391">
        <v>-0.33</v>
      </c>
      <c r="F28" s="391">
        <v>-0.33</v>
      </c>
      <c r="G28" s="391">
        <v>-0.34</v>
      </c>
      <c r="H28" s="391">
        <v>-0.34</v>
      </c>
      <c r="I28" s="391">
        <v>-0.34</v>
      </c>
      <c r="J28" s="391">
        <v>-0.33</v>
      </c>
      <c r="K28" s="391">
        <v>-0.33</v>
      </c>
      <c r="L28" s="391">
        <v>-0.33</v>
      </c>
      <c r="M28" s="391">
        <v>-0.33</v>
      </c>
    </row>
    <row r="30" spans="1:13" ht="15.75">
      <c r="A30" s="88" t="s">
        <v>96</v>
      </c>
      <c r="B30" s="60"/>
      <c r="C30" s="60"/>
      <c r="D30" s="60"/>
      <c r="E30" s="60"/>
      <c r="F30" s="60"/>
      <c r="G30" s="60"/>
      <c r="H30" s="60"/>
      <c r="I30" s="60"/>
      <c r="J30" s="60"/>
      <c r="K30" s="60"/>
      <c r="L30" s="60"/>
      <c r="M30" s="60"/>
    </row>
    <row r="31" spans="1:13">
      <c r="A31" s="60"/>
      <c r="B31" s="60" t="s">
        <v>97</v>
      </c>
      <c r="C31" s="391">
        <f t="shared" ref="C31:H31" si="6">-C22/C13</f>
        <v>0.23417877258584849</v>
      </c>
      <c r="D31" s="391">
        <f t="shared" si="6"/>
        <v>0.24735286858220398</v>
      </c>
      <c r="E31" s="391">
        <f t="shared" si="6"/>
        <v>0.32437991591921544</v>
      </c>
      <c r="F31" s="391">
        <f t="shared" si="6"/>
        <v>16.038744135691086</v>
      </c>
      <c r="G31" s="391">
        <f t="shared" si="6"/>
        <v>0.60903782683616492</v>
      </c>
      <c r="H31" s="391">
        <f t="shared" si="6"/>
        <v>0.35102228139040126</v>
      </c>
      <c r="I31" s="391">
        <f>-I22/I13</f>
        <v>0.34721707354914377</v>
      </c>
      <c r="J31" s="391">
        <f>-J22/J13</f>
        <v>0.34505237368547559</v>
      </c>
      <c r="K31" s="391">
        <f>-K22/K13</f>
        <v>0.3443412231282299</v>
      </c>
      <c r="L31" s="391">
        <f>-L22/L13</f>
        <v>0.34421577705899853</v>
      </c>
      <c r="M31" s="391">
        <f>-M22/M13</f>
        <v>0.34418338603728693</v>
      </c>
    </row>
    <row r="32" spans="1:13">
      <c r="A32" s="60"/>
      <c r="B32" s="60" t="s">
        <v>98</v>
      </c>
      <c r="C32" s="391">
        <f t="shared" ref="C32:H32" si="7">C26/C13</f>
        <v>-8.3395102078197475E-2</v>
      </c>
      <c r="D32" s="391">
        <f t="shared" si="7"/>
        <v>-0.2286597858088894</v>
      </c>
      <c r="E32" s="391">
        <f t="shared" si="7"/>
        <v>0.40593546765969601</v>
      </c>
      <c r="F32" s="391">
        <f t="shared" si="7"/>
        <v>-23.281020089017201</v>
      </c>
      <c r="G32" s="391">
        <f t="shared" si="7"/>
        <v>-0.42307915359198878</v>
      </c>
      <c r="H32" s="391">
        <f t="shared" si="7"/>
        <v>-0.46490374998908446</v>
      </c>
      <c r="I32" s="391">
        <f>I26/I13</f>
        <v>-0.31361205924360175</v>
      </c>
      <c r="J32" s="391">
        <f>J26/J13</f>
        <v>-0.31896267401322459</v>
      </c>
      <c r="K32" s="391">
        <f>K26/K13</f>
        <v>-0.32849857815140865</v>
      </c>
      <c r="L32" s="391">
        <f>L26/L13</f>
        <v>-0.34296929586937952</v>
      </c>
      <c r="M32" s="391">
        <f>M26/M13</f>
        <v>-0.34385869604146402</v>
      </c>
    </row>
    <row r="34" spans="1:13" ht="15.75">
      <c r="A34" s="88" t="s">
        <v>99</v>
      </c>
      <c r="B34" s="60"/>
      <c r="C34" s="60"/>
      <c r="D34" s="60"/>
      <c r="E34" s="60"/>
      <c r="F34" s="60"/>
      <c r="G34" s="60"/>
      <c r="H34" s="60"/>
      <c r="I34" s="60"/>
      <c r="J34" s="60"/>
      <c r="K34" s="60"/>
      <c r="L34" s="60"/>
      <c r="M34" s="60"/>
    </row>
    <row r="35" spans="1:13">
      <c r="A35" s="60"/>
      <c r="B35" s="60" t="s">
        <v>100</v>
      </c>
      <c r="C35" s="60">
        <f t="shared" ref="C35:H35" si="8">C10*C32</f>
        <v>-705767.07802084391</v>
      </c>
      <c r="D35" s="60">
        <f t="shared" si="8"/>
        <v>-2317647.1130843116</v>
      </c>
      <c r="E35" s="60">
        <f t="shared" si="8"/>
        <v>4410026.0896894652</v>
      </c>
      <c r="F35" s="134">
        <f t="shared" si="8"/>
        <v>-191426232.07625645</v>
      </c>
      <c r="G35" s="60">
        <f t="shared" si="8"/>
        <v>-7879357.6176743172</v>
      </c>
      <c r="H35" s="60">
        <f t="shared" si="8"/>
        <v>-17115953.302248482</v>
      </c>
      <c r="I35" s="60">
        <f>I10*I32</f>
        <v>-15141830.768286455</v>
      </c>
      <c r="J35" s="60">
        <f>J10*J32</f>
        <v>-19193641.933427993</v>
      </c>
      <c r="K35" s="60">
        <f>K10*K32</f>
        <v>-22284467.420459755</v>
      </c>
      <c r="L35" s="60">
        <f>L10*L32</f>
        <v>-23266122.316354495</v>
      </c>
      <c r="M35" s="60">
        <f>M10*M32</f>
        <v>-23326456.851956148</v>
      </c>
    </row>
    <row r="36" spans="1:13" ht="15.75" thickBot="1">
      <c r="A36" s="60"/>
      <c r="B36" s="60" t="s">
        <v>101</v>
      </c>
      <c r="C36" s="60">
        <f t="shared" ref="C36:H36" si="9">C32*C11</f>
        <v>42859.078020843874</v>
      </c>
      <c r="D36" s="60">
        <f t="shared" si="9"/>
        <v>156306.11308431157</v>
      </c>
      <c r="E36" s="60">
        <f t="shared" si="9"/>
        <v>-1288871.089689465</v>
      </c>
      <c r="F36" s="134">
        <f t="shared" si="9"/>
        <v>186587854.07625645</v>
      </c>
      <c r="G36" s="60">
        <f t="shared" si="9"/>
        <v>3297909.6176743172</v>
      </c>
      <c r="H36" s="60">
        <f t="shared" si="9"/>
        <v>862226.67957227386</v>
      </c>
      <c r="I36" s="60">
        <f>I32*I11</f>
        <v>352242.90214709094</v>
      </c>
      <c r="J36" s="60">
        <f>J32*J11</f>
        <v>361342.54824866075</v>
      </c>
      <c r="K36" s="60">
        <f>K32*K11</f>
        <v>36560.83446876493</v>
      </c>
      <c r="L36" s="60">
        <f>L32*L11</f>
        <v>-166801.94975315468</v>
      </c>
      <c r="M36" s="60">
        <f>M32*M11</f>
        <v>-220887.75015239874</v>
      </c>
    </row>
    <row r="37" spans="1:13" ht="15.75">
      <c r="A37" s="60"/>
      <c r="B37" s="88" t="s">
        <v>102</v>
      </c>
      <c r="C37" s="93">
        <f t="shared" ref="C37:M37" si="10">SUM(C35:C36)</f>
        <v>-662908</v>
      </c>
      <c r="D37" s="93">
        <f t="shared" si="10"/>
        <v>-2161341</v>
      </c>
      <c r="E37" s="93">
        <f t="shared" si="10"/>
        <v>3121155</v>
      </c>
      <c r="F37" s="93">
        <f t="shared" si="10"/>
        <v>-4838378</v>
      </c>
      <c r="G37" s="93">
        <f t="shared" si="10"/>
        <v>-4581448</v>
      </c>
      <c r="H37" s="93">
        <f t="shared" si="10"/>
        <v>-16253726.622676209</v>
      </c>
      <c r="I37" s="93">
        <f t="shared" si="10"/>
        <v>-14789587.866139365</v>
      </c>
      <c r="J37" s="93">
        <f t="shared" si="10"/>
        <v>-18832299.385179333</v>
      </c>
      <c r="K37" s="93">
        <f t="shared" si="10"/>
        <v>-22247906.585990991</v>
      </c>
      <c r="L37" s="93">
        <f t="shared" si="10"/>
        <v>-23432924.266107649</v>
      </c>
      <c r="M37" s="93">
        <f t="shared" si="10"/>
        <v>-23547344.602108546</v>
      </c>
    </row>
  </sheetData>
  <phoneticPr fontId="0" type="noConversion"/>
  <printOptions horizontalCentered="1" verticalCentered="1"/>
  <pageMargins left="0.51181102362204722" right="0.51181102362204722" top="0.51181102362204722" bottom="0.51181102362204722" header="0.51181102362204722" footer="0.51181102362204722"/>
  <pageSetup scale="90" firstPageNumber="6" orientation="landscape" blackAndWhite="1" horizontalDpi="300" verticalDpi="300"/>
  <headerFooter alignWithMargins="0">
    <oddHeader>&amp;C&amp;A</oddHeader>
    <oddFooter>&amp;CCompañía Modelo - EVA&amp;RPágina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AF49"/>
  <sheetViews>
    <sheetView showGridLines="0" zoomScale="70" zoomScaleNormal="70" zoomScalePageLayoutView="125" workbookViewId="0">
      <pane xSplit="1" ySplit="5" topLeftCell="B6" activePane="bottomRight" state="frozen"/>
      <selection pane="topRight" activeCell="B1" sqref="B1"/>
      <selection pane="bottomLeft" activeCell="A6" sqref="A6"/>
      <selection pane="bottomRight" activeCell="F11" sqref="F11"/>
    </sheetView>
  </sheetViews>
  <sheetFormatPr baseColWidth="10" defaultColWidth="11.5546875" defaultRowHeight="15"/>
  <cols>
    <col min="1" max="1" width="29" customWidth="1"/>
    <col min="2" max="3" width="13.88671875" bestFit="1" customWidth="1"/>
    <col min="4" max="4" width="13.77734375" bestFit="1" customWidth="1"/>
    <col min="5" max="6" width="13.109375" customWidth="1"/>
    <col min="7" max="7" width="13.33203125" customWidth="1"/>
    <col min="8" max="12" width="13.6640625" bestFit="1" customWidth="1"/>
    <col min="13" max="13" width="13.77734375" bestFit="1" customWidth="1"/>
  </cols>
  <sheetData>
    <row r="1" spans="1:13" ht="15.75">
      <c r="A1" s="1" t="str">
        <f>+Balance!A1</f>
        <v>Compañía Modelo - EVA</v>
      </c>
      <c r="B1" s="2"/>
      <c r="C1" s="2"/>
      <c r="D1" s="2"/>
      <c r="E1" s="2"/>
      <c r="F1" s="2"/>
      <c r="H1" s="511"/>
    </row>
    <row r="2" spans="1:13" ht="15.75">
      <c r="A2" s="1" t="s">
        <v>68</v>
      </c>
      <c r="B2" s="2"/>
      <c r="C2" s="2"/>
      <c r="D2" s="2"/>
      <c r="E2" s="2"/>
      <c r="F2" s="2"/>
    </row>
    <row r="3" spans="1:13" ht="15.75">
      <c r="A3" s="1"/>
      <c r="B3" s="2"/>
      <c r="C3" s="2"/>
      <c r="D3" s="2"/>
      <c r="E3" s="2"/>
      <c r="F3" s="2"/>
      <c r="G3" s="2"/>
      <c r="H3" s="2"/>
      <c r="I3" s="2"/>
      <c r="J3" s="2"/>
      <c r="K3" s="2"/>
      <c r="L3" s="2"/>
    </row>
    <row r="4" spans="1:13" ht="16.5" thickBot="1">
      <c r="A4" s="2"/>
      <c r="B4" s="3">
        <f>'KWOp.%'!$C$4</f>
        <v>2009</v>
      </c>
      <c r="C4" s="3">
        <f>+B4+1</f>
        <v>2010</v>
      </c>
      <c r="D4" s="3">
        <f>+C4+1</f>
        <v>2011</v>
      </c>
      <c r="E4" s="3">
        <f>+D4+1</f>
        <v>2012</v>
      </c>
      <c r="F4" s="3">
        <f>+E4+1</f>
        <v>2013</v>
      </c>
      <c r="G4" s="3" t="s">
        <v>342</v>
      </c>
      <c r="H4" s="3" t="s">
        <v>343</v>
      </c>
      <c r="I4" s="3" t="s">
        <v>344</v>
      </c>
      <c r="J4" s="3" t="s">
        <v>345</v>
      </c>
      <c r="K4" s="3" t="s">
        <v>346</v>
      </c>
      <c r="L4" s="3" t="s">
        <v>347</v>
      </c>
    </row>
    <row r="6" spans="1:13">
      <c r="A6" s="507" t="s">
        <v>69</v>
      </c>
      <c r="B6" s="355">
        <v>196221040</v>
      </c>
      <c r="C6" s="355">
        <v>203980479</v>
      </c>
      <c r="D6" s="355">
        <f>+C34</f>
        <v>209497565</v>
      </c>
      <c r="E6" s="355">
        <f>+E34</f>
        <v>348931697</v>
      </c>
      <c r="F6" s="355">
        <f>+G34</f>
        <v>360743796</v>
      </c>
      <c r="G6" s="355">
        <f>+I34*(1+F10)</f>
        <v>363672932.77503407</v>
      </c>
      <c r="H6" s="355">
        <f>+M34*(1+F10)</f>
        <v>366202369.28638977</v>
      </c>
      <c r="I6" s="355">
        <f>+Q34*(1+F10)</f>
        <v>383329378.15873557</v>
      </c>
      <c r="J6" s="355">
        <f>+U34*(1+F10)</f>
        <v>385045388.11665332</v>
      </c>
      <c r="K6" s="355">
        <f>+Y34*(1+F10)</f>
        <v>387026568.13924778</v>
      </c>
      <c r="L6" s="355">
        <f>+AC34*(1+F10)</f>
        <v>390092347.84403199</v>
      </c>
    </row>
    <row r="7" spans="1:13">
      <c r="A7" s="507" t="s">
        <v>10</v>
      </c>
      <c r="B7" s="355">
        <v>-126321365</v>
      </c>
      <c r="C7" s="355">
        <v>-137454429</v>
      </c>
      <c r="D7" s="355">
        <f>-D34</f>
        <v>-149532368</v>
      </c>
      <c r="E7" s="355">
        <f>-F34</f>
        <v>-164592254</v>
      </c>
      <c r="F7" s="355">
        <f>-H34</f>
        <v>-180230313</v>
      </c>
      <c r="G7" s="355">
        <f>-J34</f>
        <v>-211491074.14308861</v>
      </c>
      <c r="H7" s="2">
        <f>-N34</f>
        <v>-242810413.43441567</v>
      </c>
      <c r="I7" s="2">
        <f>-R34</f>
        <v>-274669997.96003038</v>
      </c>
      <c r="J7" s="2">
        <f>-V34</f>
        <v>-305820898.86083931</v>
      </c>
      <c r="K7" s="2">
        <f>-Z34</f>
        <v>-328794090.14147317</v>
      </c>
      <c r="L7" s="2">
        <f>-AD34</f>
        <v>-332562941.15130669</v>
      </c>
      <c r="M7" s="46"/>
    </row>
    <row r="8" spans="1:13" ht="15.75" thickBot="1">
      <c r="A8" s="2" t="str">
        <f>+Balance!B19</f>
        <v>Cultivos en desarrollo</v>
      </c>
      <c r="B8" s="2">
        <f>+Balance!C19</f>
        <v>6156610</v>
      </c>
      <c r="C8" s="2">
        <f>+Balance!D19</f>
        <v>6304439</v>
      </c>
      <c r="D8" s="2">
        <f>+Balance!E19</f>
        <v>8143952</v>
      </c>
      <c r="E8" s="2">
        <f>+Balance!F19</f>
        <v>12431744</v>
      </c>
      <c r="F8" s="2">
        <f>+Balance!G19</f>
        <v>17500532</v>
      </c>
      <c r="G8" s="2">
        <f>+Balance!H19</f>
        <v>18941511.663016748</v>
      </c>
      <c r="H8" s="2">
        <f>+Balance!I19</f>
        <v>20826851.820934352</v>
      </c>
      <c r="I8" s="2">
        <f>+Balance!J19</f>
        <v>23431198.426376004</v>
      </c>
      <c r="J8" s="2">
        <f>+Balance!K19</f>
        <v>26912793.942999247</v>
      </c>
      <c r="K8" s="2">
        <f>+Balance!L19</f>
        <v>32672258.14237963</v>
      </c>
      <c r="L8" s="2">
        <f>+Balance!M19</f>
        <v>42269746.509364523</v>
      </c>
    </row>
    <row r="9" spans="1:13" ht="15.75">
      <c r="A9" s="1" t="s">
        <v>70</v>
      </c>
      <c r="B9" s="4">
        <f>SUM(B6:B8)</f>
        <v>76056285</v>
      </c>
      <c r="C9" s="4">
        <f>SUM(C6:C8)</f>
        <v>72830489</v>
      </c>
      <c r="D9" s="4">
        <f>SUM(D6:D8)</f>
        <v>68109149</v>
      </c>
      <c r="E9" s="4">
        <f>SUM(E6:E8)</f>
        <v>196771187</v>
      </c>
      <c r="F9" s="4">
        <f>SUM(F6:F8)</f>
        <v>198014015</v>
      </c>
      <c r="G9" s="4">
        <f t="shared" ref="G9:L9" si="0">SUM(G6:G8)</f>
        <v>171123370.2949622</v>
      </c>
      <c r="H9" s="4">
        <f t="shared" si="0"/>
        <v>144218807.67290846</v>
      </c>
      <c r="I9" s="4">
        <f t="shared" si="0"/>
        <v>132090578.6250812</v>
      </c>
      <c r="J9" s="4">
        <f t="shared" si="0"/>
        <v>106137283.19881326</v>
      </c>
      <c r="K9" s="4">
        <f t="shared" si="0"/>
        <v>90904736.140154228</v>
      </c>
      <c r="L9" s="4">
        <f t="shared" si="0"/>
        <v>99799153.202089816</v>
      </c>
    </row>
    <row r="10" spans="1:13" ht="15.75">
      <c r="A10" s="1" t="s">
        <v>1064</v>
      </c>
      <c r="B10" s="33">
        <f>+B6+B8-B7</f>
        <v>328699015</v>
      </c>
      <c r="C10" s="33"/>
      <c r="D10" s="33"/>
      <c r="E10" s="33"/>
      <c r="F10" s="469">
        <v>0</v>
      </c>
      <c r="G10" s="33"/>
      <c r="H10" s="33"/>
      <c r="I10" s="33"/>
      <c r="J10" s="33"/>
      <c r="K10" s="33"/>
      <c r="L10" s="33"/>
    </row>
    <row r="11" spans="1:13" ht="15.75">
      <c r="A11" s="1"/>
      <c r="B11" s="33"/>
      <c r="C11" s="33"/>
      <c r="D11" s="33"/>
      <c r="E11" s="33"/>
      <c r="F11" s="33"/>
      <c r="G11" s="33"/>
      <c r="H11" s="33"/>
      <c r="I11" s="33"/>
      <c r="J11" s="33"/>
      <c r="K11" s="33"/>
      <c r="L11" s="33"/>
    </row>
    <row r="12" spans="1:13" s="230" customFormat="1">
      <c r="A12" s="228" t="s">
        <v>71</v>
      </c>
      <c r="B12" s="229"/>
      <c r="C12" s="228">
        <f t="shared" ref="C12:L12" si="1">C9-B9</f>
        <v>-3225796</v>
      </c>
      <c r="D12" s="228">
        <f t="shared" si="1"/>
        <v>-4721340</v>
      </c>
      <c r="E12" s="228">
        <f t="shared" si="1"/>
        <v>128662038</v>
      </c>
      <c r="F12" s="228">
        <f t="shared" si="1"/>
        <v>1242828</v>
      </c>
      <c r="G12" s="228">
        <f t="shared" si="1"/>
        <v>-26890644.705037802</v>
      </c>
      <c r="H12" s="228">
        <f t="shared" si="1"/>
        <v>-26904562.622053742</v>
      </c>
      <c r="I12" s="228">
        <f t="shared" si="1"/>
        <v>-12128229.047827259</v>
      </c>
      <c r="J12" s="228">
        <f t="shared" si="1"/>
        <v>-25953295.426267937</v>
      </c>
      <c r="K12" s="228">
        <f t="shared" si="1"/>
        <v>-15232547.058659032</v>
      </c>
      <c r="L12" s="228">
        <f t="shared" si="1"/>
        <v>8894417.0619355887</v>
      </c>
    </row>
    <row r="13" spans="1:13" s="230" customFormat="1" ht="15.75" thickBot="1">
      <c r="A13" s="228" t="s">
        <v>72</v>
      </c>
      <c r="B13" s="229"/>
      <c r="C13" s="228">
        <f t="shared" ref="C13:L13" si="2">ABS(C7-B7)</f>
        <v>11133064</v>
      </c>
      <c r="D13" s="228">
        <f t="shared" si="2"/>
        <v>12077939</v>
      </c>
      <c r="E13" s="228">
        <f t="shared" si="2"/>
        <v>15059886</v>
      </c>
      <c r="F13" s="228">
        <f t="shared" si="2"/>
        <v>15638059</v>
      </c>
      <c r="G13" s="228">
        <f t="shared" si="2"/>
        <v>31260761.143088609</v>
      </c>
      <c r="H13" s="228">
        <f t="shared" si="2"/>
        <v>31319339.291327059</v>
      </c>
      <c r="I13" s="228">
        <f t="shared" si="2"/>
        <v>31859584.525614709</v>
      </c>
      <c r="J13" s="228">
        <f t="shared" si="2"/>
        <v>31150900.90080893</v>
      </c>
      <c r="K13" s="228">
        <f t="shared" si="2"/>
        <v>22973191.280633867</v>
      </c>
      <c r="L13" s="228">
        <f t="shared" si="2"/>
        <v>3768851.0098335147</v>
      </c>
    </row>
    <row r="14" spans="1:13" s="230" customFormat="1" ht="15.75">
      <c r="A14" s="231" t="s">
        <v>73</v>
      </c>
      <c r="B14" s="232">
        <f t="shared" ref="B14:L14" si="3">B12+B13</f>
        <v>0</v>
      </c>
      <c r="C14" s="233">
        <f t="shared" si="3"/>
        <v>7907268</v>
      </c>
      <c r="D14" s="233">
        <f t="shared" si="3"/>
        <v>7356599</v>
      </c>
      <c r="E14" s="233">
        <f t="shared" si="3"/>
        <v>143721924</v>
      </c>
      <c r="F14" s="233">
        <f t="shared" si="3"/>
        <v>16880887</v>
      </c>
      <c r="G14" s="233">
        <f t="shared" si="3"/>
        <v>4370116.4380508065</v>
      </c>
      <c r="H14" s="233">
        <f t="shared" si="3"/>
        <v>4414776.6692733169</v>
      </c>
      <c r="I14" s="233">
        <f t="shared" si="3"/>
        <v>19731355.47778745</v>
      </c>
      <c r="J14" s="233">
        <f t="shared" si="3"/>
        <v>5197605.4745409936</v>
      </c>
      <c r="K14" s="233">
        <f t="shared" si="3"/>
        <v>7740644.2219748348</v>
      </c>
      <c r="L14" s="233">
        <f t="shared" si="3"/>
        <v>12663268.071769103</v>
      </c>
    </row>
    <row r="15" spans="1:13" ht="15.75">
      <c r="A15" s="1"/>
      <c r="B15" s="33"/>
      <c r="C15" s="33"/>
      <c r="D15" s="33"/>
      <c r="E15" s="33"/>
      <c r="F15" s="33"/>
      <c r="G15" s="33"/>
      <c r="H15" s="33"/>
      <c r="I15" s="33"/>
      <c r="J15" s="33"/>
      <c r="K15" s="33"/>
      <c r="L15" s="33"/>
    </row>
    <row r="16" spans="1:13">
      <c r="A16" s="2" t="s">
        <v>74</v>
      </c>
      <c r="B16" s="35">
        <f>+B6/Resultados!C7</f>
        <v>2.3880322224673285</v>
      </c>
      <c r="C16" s="35">
        <f>+C6/Resultados!D7</f>
        <v>2.208467961720729</v>
      </c>
      <c r="D16" s="35">
        <f>+D6/Resultados!E7</f>
        <v>1.9206013354412583</v>
      </c>
      <c r="E16" s="35">
        <f>+E6/Resultados!F7</f>
        <v>2.6201260489783151</v>
      </c>
      <c r="F16" s="35">
        <f>+F6/Resultados!G7</f>
        <v>1.9089981267947933</v>
      </c>
      <c r="G16" s="35">
        <f>+G6/Resultados!H7</f>
        <v>1.6328833929899493</v>
      </c>
      <c r="H16" s="35">
        <f>+H6/Resultados!I7</f>
        <v>1.4883752418653553</v>
      </c>
      <c r="I16" s="35">
        <f>+I6/Resultados!J7</f>
        <v>1.4233692095910788</v>
      </c>
      <c r="J16" s="35">
        <f>+J6/Resultados!K7</f>
        <v>1.3082297312143882</v>
      </c>
      <c r="K16" s="35">
        <f>+K6/Resultados!L7</f>
        <v>1.3149609859922298</v>
      </c>
      <c r="L16" s="35">
        <f>+L6/Resultados!M7</f>
        <v>1.3253772752997575</v>
      </c>
    </row>
    <row r="17" spans="1:32">
      <c r="A17" s="2" t="s">
        <v>75</v>
      </c>
      <c r="B17" s="35">
        <f>+B14/Resultados!C7</f>
        <v>0</v>
      </c>
      <c r="C17" s="35">
        <f>+C14/Resultados!D7</f>
        <v>8.5610878689717881E-2</v>
      </c>
      <c r="D17" s="35">
        <f>+D14/Resultados!E7</f>
        <v>6.7442759364319219E-2</v>
      </c>
      <c r="E17" s="35">
        <f>+E14/Resultados!F7</f>
        <v>1.0792070772569615</v>
      </c>
      <c r="F17" s="35">
        <f>+F14/Resultados!G7</f>
        <v>8.933093796472269E-2</v>
      </c>
      <c r="G17" s="35">
        <f>+G14/Resultados!H7</f>
        <v>1.9621725770665954E-2</v>
      </c>
      <c r="H17" s="35">
        <f>+H14/Resultados!I7</f>
        <v>1.7943205298522936E-2</v>
      </c>
      <c r="I17" s="35">
        <f>+I14/Resultados!J7</f>
        <v>7.3265983383483349E-2</v>
      </c>
      <c r="J17" s="35">
        <f>+J14/Resultados!K7</f>
        <v>1.7659377888346948E-2</v>
      </c>
      <c r="K17" s="35">
        <f>+K14/Resultados!L7</f>
        <v>2.6299603170087598E-2</v>
      </c>
      <c r="L17" s="35">
        <f>+L14/Resultados!M7</f>
        <v>4.3024703832596649E-2</v>
      </c>
    </row>
    <row r="18" spans="1:32">
      <c r="A18" s="2" t="s">
        <v>76</v>
      </c>
      <c r="B18" s="35">
        <f t="shared" ref="B18:G18" si="4">B13/B6</f>
        <v>0</v>
      </c>
      <c r="C18" s="35">
        <f t="shared" si="4"/>
        <v>5.4579065872278884E-2</v>
      </c>
      <c r="D18" s="35">
        <f t="shared" si="4"/>
        <v>5.7651930226492135E-2</v>
      </c>
      <c r="E18" s="35">
        <f t="shared" si="4"/>
        <v>4.3159982682799955E-2</v>
      </c>
      <c r="F18" s="35">
        <f t="shared" si="4"/>
        <v>4.334948839979496E-2</v>
      </c>
      <c r="G18" s="35">
        <f t="shared" si="4"/>
        <v>8.5958448720807962E-2</v>
      </c>
      <c r="H18" s="35">
        <f>H13/H6</f>
        <v>8.5524676840180863E-2</v>
      </c>
      <c r="I18" s="35">
        <f>I13/I6</f>
        <v>8.3112817177351195E-2</v>
      </c>
      <c r="J18" s="35">
        <f>J13/J6</f>
        <v>8.0901893288932103E-2</v>
      </c>
      <c r="K18" s="35">
        <f>K13/K6</f>
        <v>5.9358176341962068E-2</v>
      </c>
      <c r="L18" s="35">
        <f>L13/L6</f>
        <v>9.6614328136997683E-3</v>
      </c>
    </row>
    <row r="21" spans="1:32" ht="15.75" thickBot="1"/>
    <row r="22" spans="1:32" ht="15.75">
      <c r="A22" s="184" t="s">
        <v>936</v>
      </c>
      <c r="B22" s="650" t="s">
        <v>937</v>
      </c>
      <c r="C22" s="647">
        <v>2011</v>
      </c>
      <c r="D22" s="649"/>
      <c r="E22" s="647">
        <v>2012</v>
      </c>
      <c r="F22" s="649"/>
      <c r="G22" s="647">
        <v>2013</v>
      </c>
      <c r="H22" s="649"/>
      <c r="I22" s="647" t="s">
        <v>342</v>
      </c>
      <c r="J22" s="648"/>
      <c r="K22" s="648"/>
      <c r="L22" s="649"/>
      <c r="M22" s="647" t="s">
        <v>343</v>
      </c>
      <c r="N22" s="648"/>
      <c r="O22" s="648"/>
      <c r="P22" s="649"/>
      <c r="Q22" s="647" t="s">
        <v>344</v>
      </c>
      <c r="R22" s="648"/>
      <c r="S22" s="648"/>
      <c r="T22" s="649"/>
      <c r="U22" s="647" t="s">
        <v>345</v>
      </c>
      <c r="V22" s="648"/>
      <c r="W22" s="648"/>
      <c r="X22" s="649"/>
      <c r="Y22" s="647" t="s">
        <v>346</v>
      </c>
      <c r="Z22" s="648"/>
      <c r="AA22" s="648"/>
      <c r="AB22" s="649"/>
      <c r="AC22" s="647" t="s">
        <v>347</v>
      </c>
      <c r="AD22" s="648"/>
      <c r="AE22" s="648"/>
      <c r="AF22" s="649"/>
    </row>
    <row r="23" spans="1:32" ht="63.75" thickBot="1">
      <c r="A23" s="185" t="s">
        <v>874</v>
      </c>
      <c r="B23" s="651"/>
      <c r="C23" s="186" t="s">
        <v>938</v>
      </c>
      <c r="D23" s="187" t="s">
        <v>939</v>
      </c>
      <c r="E23" s="186" t="s">
        <v>938</v>
      </c>
      <c r="F23" s="187" t="s">
        <v>939</v>
      </c>
      <c r="G23" s="186" t="s">
        <v>938</v>
      </c>
      <c r="H23" s="187" t="s">
        <v>939</v>
      </c>
      <c r="I23" s="186" t="s">
        <v>938</v>
      </c>
      <c r="J23" s="188" t="s">
        <v>939</v>
      </c>
      <c r="K23" s="188" t="s">
        <v>940</v>
      </c>
      <c r="L23" s="187" t="s">
        <v>941</v>
      </c>
      <c r="M23" s="186" t="s">
        <v>938</v>
      </c>
      <c r="N23" s="188" t="s">
        <v>939</v>
      </c>
      <c r="O23" s="188" t="s">
        <v>940</v>
      </c>
      <c r="P23" s="187" t="s">
        <v>941</v>
      </c>
      <c r="Q23" s="186" t="s">
        <v>938</v>
      </c>
      <c r="R23" s="188" t="s">
        <v>939</v>
      </c>
      <c r="S23" s="188" t="s">
        <v>940</v>
      </c>
      <c r="T23" s="187" t="s">
        <v>941</v>
      </c>
      <c r="U23" s="186" t="s">
        <v>938</v>
      </c>
      <c r="V23" s="188" t="s">
        <v>939</v>
      </c>
      <c r="W23" s="188" t="s">
        <v>940</v>
      </c>
      <c r="X23" s="187" t="s">
        <v>941</v>
      </c>
      <c r="Y23" s="186" t="s">
        <v>938</v>
      </c>
      <c r="Z23" s="188" t="s">
        <v>939</v>
      </c>
      <c r="AA23" s="188" t="s">
        <v>940</v>
      </c>
      <c r="AB23" s="187" t="s">
        <v>941</v>
      </c>
      <c r="AC23" s="186" t="s">
        <v>938</v>
      </c>
      <c r="AD23" s="188" t="s">
        <v>939</v>
      </c>
      <c r="AE23" s="188" t="s">
        <v>940</v>
      </c>
      <c r="AF23" s="187" t="s">
        <v>941</v>
      </c>
    </row>
    <row r="24" spans="1:32">
      <c r="A24" s="189" t="s">
        <v>942</v>
      </c>
      <c r="B24" s="190">
        <f>+(G24-E24)/E24</f>
        <v>1.7463349393520261E-3</v>
      </c>
      <c r="C24" s="191">
        <v>11625094</v>
      </c>
      <c r="D24" s="192"/>
      <c r="E24" s="191">
        <v>23409026</v>
      </c>
      <c r="F24" s="192"/>
      <c r="G24" s="191">
        <v>23449906</v>
      </c>
      <c r="H24" s="192"/>
      <c r="I24" s="191">
        <f>+G24*(1+$B$24)*(1+Supuestos!$F$30)</f>
        <v>24327131.913262457</v>
      </c>
      <c r="J24" s="193"/>
      <c r="K24" s="52"/>
      <c r="L24" s="192">
        <f>+I24-J24-K24</f>
        <v>24327131.913262457</v>
      </c>
      <c r="M24" s="191">
        <f>+I24*(1+$B$24)*(1+Supuestos!$G$30)</f>
        <v>25115325.459847935</v>
      </c>
      <c r="N24" s="193"/>
      <c r="O24" s="52"/>
      <c r="P24" s="192">
        <f>+M24-N24-O24</f>
        <v>25115325.459847935</v>
      </c>
      <c r="Q24" s="191">
        <f>+M24*(1+$B$24)*(1+Supuestos!$H$30)</f>
        <v>25949183.646440312</v>
      </c>
      <c r="R24" s="193"/>
      <c r="S24" s="52"/>
      <c r="T24" s="192">
        <f>+Q24-R24-S24</f>
        <v>25949183.646440312</v>
      </c>
      <c r="U24" s="191">
        <f>+Q24*(1+$B$24)*(1+Supuestos!$I$30)</f>
        <v>26800329.100476932</v>
      </c>
      <c r="V24" s="193"/>
      <c r="W24" s="52"/>
      <c r="X24" s="192">
        <f>+U24-V24-W24</f>
        <v>26800329.100476932</v>
      </c>
      <c r="Y24" s="191">
        <f>+U24*(1+$B$24)*(1+Supuestos!$J$30)</f>
        <v>27679392.526569936</v>
      </c>
      <c r="Z24" s="193"/>
      <c r="AA24" s="52"/>
      <c r="AB24" s="192">
        <f>+Y24-Z24-AA24</f>
        <v>27679392.526569936</v>
      </c>
      <c r="AC24" s="191">
        <f>+Y24*(1+$B$24)*(1+Supuestos!$K$30)</f>
        <v>28587289.647361133</v>
      </c>
      <c r="AD24" s="193"/>
      <c r="AE24" s="52"/>
      <c r="AF24" s="192">
        <f>+AC24-AD24-AE24</f>
        <v>28587289.647361133</v>
      </c>
    </row>
    <row r="25" spans="1:32">
      <c r="A25" s="189" t="s">
        <v>943</v>
      </c>
      <c r="B25" s="194">
        <v>20</v>
      </c>
      <c r="C25" s="191"/>
      <c r="D25" s="192"/>
      <c r="E25" s="191"/>
      <c r="F25" s="192"/>
      <c r="G25" s="191">
        <v>81000</v>
      </c>
      <c r="H25" s="192"/>
      <c r="I25" s="191">
        <f>+G25*(1+$B$24)*(1+Supuestos!$F$30)</f>
        <v>84030.088861518627</v>
      </c>
      <c r="J25" s="193">
        <f t="shared" ref="J25:J33" si="5">+(I25/$B25)+H25</f>
        <v>4201.5044430759317</v>
      </c>
      <c r="K25" s="52"/>
      <c r="L25" s="192">
        <f>+I25-J25-K25</f>
        <v>79828.584418442697</v>
      </c>
      <c r="M25" s="191">
        <f>+I25*(1+Supuestos!$G$30)</f>
        <v>86601.409580681095</v>
      </c>
      <c r="N25" s="193">
        <f>+(M25/$B$25)+J25</f>
        <v>8531.5749221099868</v>
      </c>
      <c r="O25" s="52"/>
      <c r="P25" s="192">
        <f>+M25-N25-O25</f>
        <v>78069.834658571112</v>
      </c>
      <c r="Q25" s="191">
        <f>+M25*(1+Supuestos!$H$30)</f>
        <v>89320.693841514483</v>
      </c>
      <c r="R25" s="193">
        <f>+(Q25/$B25)+N25</f>
        <v>12997.609614185711</v>
      </c>
      <c r="S25" s="52"/>
      <c r="T25" s="192">
        <f>+Q25-R25-S25</f>
        <v>76323.084227328771</v>
      </c>
      <c r="U25" s="191">
        <f>+Q25*(1+Supuestos!$I$30)</f>
        <v>92089.635350601427</v>
      </c>
      <c r="V25" s="193">
        <f>+(U25/$B25)+R25</f>
        <v>17602.091381715782</v>
      </c>
      <c r="W25" s="52"/>
      <c r="X25" s="192">
        <f>+U25-V25-W25</f>
        <v>74487.543968885642</v>
      </c>
      <c r="Y25" s="191">
        <f>+U25*(1+Supuestos!$J$30)</f>
        <v>94944.414046470061</v>
      </c>
      <c r="Z25" s="193">
        <f t="shared" ref="Z25:Z30" si="6">+(Y25/$B25)+V25</f>
        <v>22349.312084039284</v>
      </c>
      <c r="AA25" s="52"/>
      <c r="AB25" s="192">
        <f>+Y25-Z25-AA25</f>
        <v>72595.101962430781</v>
      </c>
      <c r="AC25" s="191">
        <f>+Y25*(1+Supuestos!$K$30)</f>
        <v>97887.690881910632</v>
      </c>
      <c r="AD25" s="193">
        <f>+(AC25/$B25)+Z25</f>
        <v>27243.696628134814</v>
      </c>
      <c r="AE25" s="52"/>
      <c r="AF25" s="192">
        <f t="shared" ref="AF25:AF33" si="7">+AC25-AD25-AE25</f>
        <v>70643.994253775818</v>
      </c>
    </row>
    <row r="26" spans="1:32">
      <c r="A26" s="189" t="s">
        <v>944</v>
      </c>
      <c r="B26" s="195">
        <v>20</v>
      </c>
      <c r="C26" s="191">
        <v>32855444</v>
      </c>
      <c r="D26" s="192">
        <v>19119985</v>
      </c>
      <c r="E26" s="191">
        <v>53480680</v>
      </c>
      <c r="F26" s="192">
        <v>21104942</v>
      </c>
      <c r="G26" s="191">
        <v>54770454</v>
      </c>
      <c r="H26" s="192">
        <v>23812971</v>
      </c>
      <c r="I26" s="191">
        <f>+G26*(1+$B$24)*(1+Supuestos!$F$30)</f>
        <v>56819334.772910111</v>
      </c>
      <c r="J26" s="193">
        <f t="shared" si="5"/>
        <v>26653937.738645505</v>
      </c>
      <c r="K26" s="52"/>
      <c r="L26" s="192">
        <f>+I26-J26-K26</f>
        <v>30165397.034264605</v>
      </c>
      <c r="M26" s="191">
        <f>+I26*(1+Supuestos!$G$30)</f>
        <v>58558006.416961156</v>
      </c>
      <c r="N26" s="193">
        <f>+(M26/$B26)+J26</f>
        <v>29581838.059493564</v>
      </c>
      <c r="O26" s="52"/>
      <c r="P26" s="192">
        <f>+M26-N26-O26</f>
        <v>28976168.357467592</v>
      </c>
      <c r="Q26" s="191">
        <f>+M26*(1+Supuestos!$H$30)+5000000</f>
        <v>65396727.818453744</v>
      </c>
      <c r="R26" s="193">
        <f>+(Q26/$B26)+N26</f>
        <v>32851674.450416252</v>
      </c>
      <c r="S26" s="52"/>
      <c r="T26" s="192">
        <f>+Q26-R26-S26</f>
        <v>32545053.368037492</v>
      </c>
      <c r="U26" s="191">
        <f>+Q26*(1+Supuestos!$I$30)</f>
        <v>67424026.380825803</v>
      </c>
      <c r="V26" s="193">
        <f>+(U26/$B26)+R26</f>
        <v>36222875.769457541</v>
      </c>
      <c r="W26" s="52"/>
      <c r="X26" s="192">
        <f>+U26-V26-W26</f>
        <v>31201150.611368261</v>
      </c>
      <c r="Y26" s="191">
        <f>+U26*(1+Supuestos!$J$30)</f>
        <v>69514171.198631391</v>
      </c>
      <c r="Z26" s="193">
        <f t="shared" si="6"/>
        <v>39698584.32938911</v>
      </c>
      <c r="AA26" s="52"/>
      <c r="AB26" s="192">
        <f>+Y26-Z26-AA26</f>
        <v>29815586.869242281</v>
      </c>
      <c r="AC26" s="191">
        <f>+Y26*(1+Supuestos!$K$30)</f>
        <v>71669110.505788952</v>
      </c>
      <c r="AD26" s="193">
        <f>+(AC26/$B26)+Z26</f>
        <v>43282039.854678556</v>
      </c>
      <c r="AE26" s="52"/>
      <c r="AF26" s="192">
        <f t="shared" si="7"/>
        <v>28387070.651110396</v>
      </c>
    </row>
    <row r="27" spans="1:32">
      <c r="A27" s="189" t="s">
        <v>945</v>
      </c>
      <c r="B27" s="194">
        <v>10</v>
      </c>
      <c r="C27" s="191"/>
      <c r="D27" s="192"/>
      <c r="E27" s="191"/>
      <c r="F27" s="192"/>
      <c r="G27" s="191">
        <v>167969</v>
      </c>
      <c r="H27" s="192"/>
      <c r="I27" s="191">
        <f t="shared" ref="I27:I33" si="8">+G27</f>
        <v>167969</v>
      </c>
      <c r="J27" s="193">
        <f t="shared" si="5"/>
        <v>16796.900000000001</v>
      </c>
      <c r="K27" s="52"/>
      <c r="L27" s="192">
        <f t="shared" ref="L27:L33" si="9">+I27-J27-K27</f>
        <v>151172.1</v>
      </c>
      <c r="M27" s="191">
        <f t="shared" ref="M27:M33" si="10">+I27</f>
        <v>167969</v>
      </c>
      <c r="N27" s="193">
        <f>+(M27/$B27)+J27</f>
        <v>33593.800000000003</v>
      </c>
      <c r="O27" s="52"/>
      <c r="P27" s="192">
        <f t="shared" ref="P27:P33" si="11">+M27-N27-O27</f>
        <v>134375.20000000001</v>
      </c>
      <c r="Q27" s="191">
        <f>+M27</f>
        <v>167969</v>
      </c>
      <c r="R27" s="193">
        <f>+(Q27/$B27)+N27</f>
        <v>50390.700000000004</v>
      </c>
      <c r="S27" s="52"/>
      <c r="T27" s="192">
        <f t="shared" ref="T27:T33" si="12">+Q27-R27-S27</f>
        <v>117578.29999999999</v>
      </c>
      <c r="U27" s="191">
        <f>+Q27</f>
        <v>167969</v>
      </c>
      <c r="V27" s="193">
        <f>+(U27/$B27)+R27</f>
        <v>67187.600000000006</v>
      </c>
      <c r="W27" s="52"/>
      <c r="X27" s="192">
        <f t="shared" ref="X27:X33" si="13">+U27-V27-W27</f>
        <v>100781.4</v>
      </c>
      <c r="Y27" s="191">
        <f>+U27</f>
        <v>167969</v>
      </c>
      <c r="Z27" s="193">
        <f t="shared" si="6"/>
        <v>83984.5</v>
      </c>
      <c r="AA27" s="52"/>
      <c r="AB27" s="192">
        <f t="shared" ref="AB27:AB33" si="14">+Y27-Z27-AA27</f>
        <v>83984.5</v>
      </c>
      <c r="AC27" s="191">
        <f t="shared" ref="AC27:AC33" si="15">+Y27</f>
        <v>167969</v>
      </c>
      <c r="AD27" s="193">
        <f>+(AC27/$B27)+Z27</f>
        <v>100781.4</v>
      </c>
      <c r="AE27" s="52"/>
      <c r="AF27" s="192">
        <f t="shared" si="7"/>
        <v>67187.600000000006</v>
      </c>
    </row>
    <row r="28" spans="1:32">
      <c r="A28" s="189" t="s">
        <v>946</v>
      </c>
      <c r="B28" s="194">
        <v>10</v>
      </c>
      <c r="C28" s="191">
        <v>161439409</v>
      </c>
      <c r="D28" s="192">
        <v>127868193</v>
      </c>
      <c r="E28" s="191">
        <v>267958304</v>
      </c>
      <c r="F28" s="192">
        <v>140754832</v>
      </c>
      <c r="G28" s="191">
        <v>277933049</v>
      </c>
      <c r="H28" s="192">
        <v>154456712</v>
      </c>
      <c r="I28" s="191">
        <f t="shared" si="8"/>
        <v>277933049</v>
      </c>
      <c r="J28" s="193">
        <f t="shared" si="5"/>
        <v>182250016.90000001</v>
      </c>
      <c r="K28" s="52"/>
      <c r="L28" s="192">
        <f t="shared" si="9"/>
        <v>95683032.099999994</v>
      </c>
      <c r="M28" s="191">
        <f t="shared" si="10"/>
        <v>277933049</v>
      </c>
      <c r="N28" s="193">
        <f>+(M28/$B28)+J28</f>
        <v>210043321.80000001</v>
      </c>
      <c r="O28" s="52"/>
      <c r="P28" s="192">
        <f t="shared" si="11"/>
        <v>67889727.199999988</v>
      </c>
      <c r="Q28" s="191">
        <f>+M28+10000000</f>
        <v>287933049</v>
      </c>
      <c r="R28" s="193">
        <f>+(Q28/$B28)+N28</f>
        <v>238836626.70000002</v>
      </c>
      <c r="S28" s="52"/>
      <c r="T28" s="192">
        <f t="shared" si="12"/>
        <v>49096422.299999982</v>
      </c>
      <c r="U28" s="191">
        <f>+Q28</f>
        <v>287933049</v>
      </c>
      <c r="V28" s="193">
        <f>+(U28/$B28)+R28</f>
        <v>267629931.60000002</v>
      </c>
      <c r="W28" s="52"/>
      <c r="X28" s="192">
        <f t="shared" si="13"/>
        <v>20303117.399999976</v>
      </c>
      <c r="Y28" s="191">
        <f>+U28</f>
        <v>287933049</v>
      </c>
      <c r="Z28" s="193">
        <f>+Y28</f>
        <v>287933049</v>
      </c>
      <c r="AA28" s="52"/>
      <c r="AB28" s="192">
        <f t="shared" si="14"/>
        <v>0</v>
      </c>
      <c r="AC28" s="191">
        <f t="shared" si="15"/>
        <v>287933049</v>
      </c>
      <c r="AD28" s="193">
        <f>+AC28</f>
        <v>287933049</v>
      </c>
      <c r="AE28" s="52"/>
      <c r="AF28" s="192">
        <f t="shared" si="7"/>
        <v>0</v>
      </c>
    </row>
    <row r="29" spans="1:32">
      <c r="A29" s="189" t="s">
        <v>947</v>
      </c>
      <c r="B29" s="194">
        <v>5</v>
      </c>
      <c r="C29" s="191">
        <v>1093398</v>
      </c>
      <c r="D29" s="192">
        <v>952564</v>
      </c>
      <c r="E29" s="191">
        <v>1163722</v>
      </c>
      <c r="F29" s="192">
        <v>970858</v>
      </c>
      <c r="G29" s="191">
        <v>548290</v>
      </c>
      <c r="H29" s="192">
        <v>357458</v>
      </c>
      <c r="I29" s="191">
        <f t="shared" si="8"/>
        <v>548290</v>
      </c>
      <c r="J29" s="193">
        <f t="shared" si="5"/>
        <v>467116</v>
      </c>
      <c r="K29" s="52"/>
      <c r="L29" s="192">
        <f t="shared" si="9"/>
        <v>81174</v>
      </c>
      <c r="M29" s="191">
        <f t="shared" si="10"/>
        <v>548290</v>
      </c>
      <c r="N29" s="193">
        <f>+M29</f>
        <v>548290</v>
      </c>
      <c r="O29" s="52"/>
      <c r="P29" s="192">
        <f t="shared" si="11"/>
        <v>0</v>
      </c>
      <c r="Q29" s="191"/>
      <c r="R29" s="193"/>
      <c r="S29" s="52"/>
      <c r="T29" s="192">
        <v>0</v>
      </c>
      <c r="U29" s="191"/>
      <c r="V29" s="193">
        <f>+(U29/$B29)+R29</f>
        <v>0</v>
      </c>
      <c r="W29" s="52"/>
      <c r="X29" s="192">
        <f t="shared" si="13"/>
        <v>0</v>
      </c>
      <c r="Y29" s="191">
        <f>+U29</f>
        <v>0</v>
      </c>
      <c r="Z29" s="193">
        <f t="shared" si="6"/>
        <v>0</v>
      </c>
      <c r="AA29" s="52"/>
      <c r="AB29" s="192">
        <f t="shared" si="14"/>
        <v>0</v>
      </c>
      <c r="AC29" s="191">
        <f t="shared" si="15"/>
        <v>0</v>
      </c>
      <c r="AD29" s="193">
        <f>+(AC29/$B29)+Z29</f>
        <v>0</v>
      </c>
      <c r="AE29" s="52"/>
      <c r="AF29" s="192">
        <f t="shared" si="7"/>
        <v>0</v>
      </c>
    </row>
    <row r="30" spans="1:32">
      <c r="A30" s="189" t="s">
        <v>948</v>
      </c>
      <c r="B30" s="194">
        <v>5</v>
      </c>
      <c r="C30" s="191">
        <v>1097823</v>
      </c>
      <c r="D30" s="192">
        <v>797443</v>
      </c>
      <c r="E30" s="191">
        <v>1438312</v>
      </c>
      <c r="F30" s="192">
        <v>908040</v>
      </c>
      <c r="G30" s="191">
        <v>1165203</v>
      </c>
      <c r="H30" s="192">
        <v>638444</v>
      </c>
      <c r="I30" s="191">
        <f t="shared" si="8"/>
        <v>1165203</v>
      </c>
      <c r="J30" s="193">
        <f t="shared" si="5"/>
        <v>871484.6</v>
      </c>
      <c r="K30" s="193">
        <v>162</v>
      </c>
      <c r="L30" s="192">
        <f t="shared" si="9"/>
        <v>293556.40000000002</v>
      </c>
      <c r="M30" s="191">
        <f t="shared" si="10"/>
        <v>1165203</v>
      </c>
      <c r="N30" s="193">
        <f>+(M30/$B30)+J30</f>
        <v>1104525.2</v>
      </c>
      <c r="O30" s="193">
        <v>162</v>
      </c>
      <c r="P30" s="192">
        <f t="shared" si="11"/>
        <v>60515.800000000047</v>
      </c>
      <c r="Q30" s="191">
        <f>+M30</f>
        <v>1165203</v>
      </c>
      <c r="R30" s="193">
        <f>+Q30</f>
        <v>1165203</v>
      </c>
      <c r="S30" s="193"/>
      <c r="T30" s="192">
        <v>0</v>
      </c>
      <c r="U30" s="191"/>
      <c r="V30" s="193">
        <v>0</v>
      </c>
      <c r="W30" s="193"/>
      <c r="X30" s="192">
        <f t="shared" si="13"/>
        <v>0</v>
      </c>
      <c r="Y30" s="191">
        <f>+U30</f>
        <v>0</v>
      </c>
      <c r="Z30" s="193">
        <f t="shared" si="6"/>
        <v>0</v>
      </c>
      <c r="AA30" s="193"/>
      <c r="AB30" s="192">
        <f t="shared" si="14"/>
        <v>0</v>
      </c>
      <c r="AC30" s="191">
        <f t="shared" si="15"/>
        <v>0</v>
      </c>
      <c r="AD30" s="193">
        <f>+(AC30/$B30)+Z30</f>
        <v>0</v>
      </c>
      <c r="AE30" s="193"/>
      <c r="AF30" s="192">
        <f t="shared" si="7"/>
        <v>0</v>
      </c>
    </row>
    <row r="31" spans="1:32">
      <c r="A31" s="189" t="s">
        <v>949</v>
      </c>
      <c r="B31" s="194">
        <v>10</v>
      </c>
      <c r="C31" s="191">
        <v>1174696</v>
      </c>
      <c r="D31" s="192">
        <v>708773</v>
      </c>
      <c r="E31" s="191">
        <v>1079592</v>
      </c>
      <c r="F31" s="192">
        <v>749075</v>
      </c>
      <c r="G31" s="191">
        <v>990883</v>
      </c>
      <c r="H31" s="192">
        <v>727126</v>
      </c>
      <c r="I31" s="191">
        <f t="shared" si="8"/>
        <v>990883</v>
      </c>
      <c r="J31" s="193">
        <f t="shared" si="5"/>
        <v>826214.3</v>
      </c>
      <c r="K31" s="193">
        <v>3350</v>
      </c>
      <c r="L31" s="192">
        <f t="shared" si="9"/>
        <v>161318.69999999995</v>
      </c>
      <c r="M31" s="191">
        <f t="shared" si="10"/>
        <v>990883</v>
      </c>
      <c r="N31" s="193">
        <f>+(M31/$B31)+J31</f>
        <v>925302.60000000009</v>
      </c>
      <c r="O31" s="193">
        <v>3350</v>
      </c>
      <c r="P31" s="192">
        <f t="shared" si="11"/>
        <v>62230.399999999907</v>
      </c>
      <c r="Q31" s="191">
        <f>+M31</f>
        <v>990883</v>
      </c>
      <c r="R31" s="193">
        <f>+(Q31/$B31)+N31</f>
        <v>1024390.9000000001</v>
      </c>
      <c r="S31" s="193">
        <v>3350</v>
      </c>
      <c r="T31" s="192">
        <f t="shared" si="12"/>
        <v>-36857.90000000014</v>
      </c>
      <c r="U31" s="191">
        <f>+Q31</f>
        <v>990883</v>
      </c>
      <c r="V31" s="193">
        <f>+U31</f>
        <v>990883</v>
      </c>
      <c r="W31" s="193">
        <v>3350</v>
      </c>
      <c r="X31" s="192">
        <v>0</v>
      </c>
      <c r="Y31" s="191">
        <v>0</v>
      </c>
      <c r="Z31" s="193">
        <v>0</v>
      </c>
      <c r="AA31" s="193"/>
      <c r="AB31" s="192">
        <f t="shared" si="14"/>
        <v>0</v>
      </c>
      <c r="AC31" s="191">
        <f t="shared" si="15"/>
        <v>0</v>
      </c>
      <c r="AD31" s="193">
        <f>+(AC31/$B31)+Z31</f>
        <v>0</v>
      </c>
      <c r="AE31" s="193"/>
      <c r="AF31" s="192">
        <f t="shared" si="7"/>
        <v>0</v>
      </c>
    </row>
    <row r="32" spans="1:32">
      <c r="A32" s="189" t="s">
        <v>950</v>
      </c>
      <c r="B32" s="194">
        <v>10</v>
      </c>
      <c r="C32" s="191">
        <v>211701</v>
      </c>
      <c r="D32" s="192">
        <v>85410</v>
      </c>
      <c r="E32" s="191">
        <v>402061</v>
      </c>
      <c r="F32" s="192">
        <v>104507</v>
      </c>
      <c r="G32" s="191">
        <v>1386828</v>
      </c>
      <c r="H32" s="192">
        <v>237602</v>
      </c>
      <c r="I32" s="191">
        <f t="shared" si="8"/>
        <v>1386828</v>
      </c>
      <c r="J32" s="193">
        <f t="shared" si="5"/>
        <v>376284.8</v>
      </c>
      <c r="K32" s="52"/>
      <c r="L32" s="192">
        <f t="shared" si="9"/>
        <v>1010543.2</v>
      </c>
      <c r="M32" s="191">
        <f t="shared" si="10"/>
        <v>1386828</v>
      </c>
      <c r="N32" s="193">
        <f>+(M32/$B32)+J32</f>
        <v>514967.6</v>
      </c>
      <c r="O32" s="52"/>
      <c r="P32" s="192">
        <f t="shared" si="11"/>
        <v>871860.4</v>
      </c>
      <c r="Q32" s="191">
        <f>+M32</f>
        <v>1386828</v>
      </c>
      <c r="R32" s="193">
        <f>+(Q32/$B32)+N32</f>
        <v>653650.39999999991</v>
      </c>
      <c r="S32" s="52"/>
      <c r="T32" s="192">
        <f t="shared" si="12"/>
        <v>733177.60000000009</v>
      </c>
      <c r="U32" s="191">
        <f>+Q32</f>
        <v>1386828</v>
      </c>
      <c r="V32" s="193">
        <f>+(U32/$B32)+R32</f>
        <v>792333.2</v>
      </c>
      <c r="W32" s="52"/>
      <c r="X32" s="192">
        <f t="shared" si="13"/>
        <v>594494.80000000005</v>
      </c>
      <c r="Y32" s="191">
        <f>+U32</f>
        <v>1386828</v>
      </c>
      <c r="Z32" s="193">
        <f>+(Y32/$B32)+V32</f>
        <v>931016</v>
      </c>
      <c r="AA32" s="52"/>
      <c r="AB32" s="192">
        <f t="shared" si="14"/>
        <v>455812</v>
      </c>
      <c r="AC32" s="191">
        <f t="shared" si="15"/>
        <v>1386828</v>
      </c>
      <c r="AD32" s="193">
        <f>+(AC32/$B32)+Z32</f>
        <v>1069698.8</v>
      </c>
      <c r="AE32" s="52"/>
      <c r="AF32" s="192">
        <f t="shared" si="7"/>
        <v>317129.19999999995</v>
      </c>
    </row>
    <row r="33" spans="1:32">
      <c r="A33" s="189" t="s">
        <v>951</v>
      </c>
      <c r="B33" s="194">
        <v>10</v>
      </c>
      <c r="C33" s="191"/>
      <c r="D33" s="192"/>
      <c r="E33" s="191"/>
      <c r="F33" s="192"/>
      <c r="G33" s="191">
        <v>250214</v>
      </c>
      <c r="H33" s="192"/>
      <c r="I33" s="191">
        <f t="shared" si="8"/>
        <v>250214</v>
      </c>
      <c r="J33" s="193">
        <f t="shared" si="5"/>
        <v>25021.4</v>
      </c>
      <c r="K33" s="52"/>
      <c r="L33" s="192">
        <f t="shared" si="9"/>
        <v>225192.6</v>
      </c>
      <c r="M33" s="191">
        <f t="shared" si="10"/>
        <v>250214</v>
      </c>
      <c r="N33" s="193">
        <f>+(M33/$B33)+J33</f>
        <v>50042.8</v>
      </c>
      <c r="O33" s="52"/>
      <c r="P33" s="192">
        <f t="shared" si="11"/>
        <v>200171.2</v>
      </c>
      <c r="Q33" s="191">
        <f>+M33</f>
        <v>250214</v>
      </c>
      <c r="R33" s="193">
        <f>+(Q33/$B33)+N33</f>
        <v>75064.200000000012</v>
      </c>
      <c r="S33" s="52"/>
      <c r="T33" s="192">
        <f t="shared" si="12"/>
        <v>175149.8</v>
      </c>
      <c r="U33" s="191">
        <f>+Q33</f>
        <v>250214</v>
      </c>
      <c r="V33" s="193">
        <f>+(U33/$B33)+R33</f>
        <v>100085.6</v>
      </c>
      <c r="W33" s="52"/>
      <c r="X33" s="192">
        <f t="shared" si="13"/>
        <v>150128.4</v>
      </c>
      <c r="Y33" s="191">
        <f>+U33</f>
        <v>250214</v>
      </c>
      <c r="Z33" s="193">
        <f>+(Y33/$B33)+V33</f>
        <v>125107</v>
      </c>
      <c r="AA33" s="52"/>
      <c r="AB33" s="192">
        <f t="shared" si="14"/>
        <v>125107</v>
      </c>
      <c r="AC33" s="191">
        <f t="shared" si="15"/>
        <v>250214</v>
      </c>
      <c r="AD33" s="193">
        <f>+(AC33/$B33)+Z33</f>
        <v>150128.4</v>
      </c>
      <c r="AE33" s="52"/>
      <c r="AF33" s="192">
        <f t="shared" si="7"/>
        <v>100085.6</v>
      </c>
    </row>
    <row r="34" spans="1:32" ht="16.5" thickBot="1">
      <c r="A34" s="196"/>
      <c r="B34" s="196"/>
      <c r="C34" s="197">
        <f t="shared" ref="C34:H34" si="16">+SUM(C24:C33)</f>
        <v>209497565</v>
      </c>
      <c r="D34" s="198">
        <f t="shared" si="16"/>
        <v>149532368</v>
      </c>
      <c r="E34" s="197">
        <f t="shared" si="16"/>
        <v>348931697</v>
      </c>
      <c r="F34" s="198">
        <f t="shared" si="16"/>
        <v>164592254</v>
      </c>
      <c r="G34" s="197">
        <f t="shared" si="16"/>
        <v>360743796</v>
      </c>
      <c r="H34" s="198">
        <f t="shared" si="16"/>
        <v>180230313</v>
      </c>
      <c r="I34" s="197">
        <f>+SUM(I24:I33)</f>
        <v>363672932.77503407</v>
      </c>
      <c r="J34" s="199">
        <f t="shared" ref="J34:AF34" si="17">+SUM(J24:J33)</f>
        <v>211491074.14308861</v>
      </c>
      <c r="K34" s="199">
        <f t="shared" si="17"/>
        <v>3512</v>
      </c>
      <c r="L34" s="198">
        <f t="shared" si="17"/>
        <v>152178346.63194549</v>
      </c>
      <c r="M34" s="197">
        <f t="shared" si="17"/>
        <v>366202369.28638977</v>
      </c>
      <c r="N34" s="199">
        <f t="shared" si="17"/>
        <v>242810413.43441567</v>
      </c>
      <c r="O34" s="199">
        <f t="shared" si="17"/>
        <v>3512</v>
      </c>
      <c r="P34" s="198">
        <f t="shared" si="17"/>
        <v>123388443.8519741</v>
      </c>
      <c r="Q34" s="197">
        <f t="shared" si="17"/>
        <v>383329378.15873557</v>
      </c>
      <c r="R34" s="199">
        <f t="shared" si="17"/>
        <v>274669997.96003038</v>
      </c>
      <c r="S34" s="199">
        <f t="shared" si="17"/>
        <v>3350</v>
      </c>
      <c r="T34" s="198">
        <f t="shared" si="17"/>
        <v>108656030.19870509</v>
      </c>
      <c r="U34" s="197">
        <f t="shared" si="17"/>
        <v>385045388.11665332</v>
      </c>
      <c r="V34" s="199">
        <f t="shared" si="17"/>
        <v>305820898.86083931</v>
      </c>
      <c r="W34" s="199">
        <f t="shared" si="17"/>
        <v>3350</v>
      </c>
      <c r="X34" s="198">
        <f t="shared" si="17"/>
        <v>79224489.255814061</v>
      </c>
      <c r="Y34" s="197">
        <f t="shared" si="17"/>
        <v>387026568.13924778</v>
      </c>
      <c r="Z34" s="199">
        <f t="shared" si="17"/>
        <v>328794090.14147317</v>
      </c>
      <c r="AA34" s="199">
        <f t="shared" si="17"/>
        <v>0</v>
      </c>
      <c r="AB34" s="198">
        <f t="shared" si="17"/>
        <v>58232477.997774646</v>
      </c>
      <c r="AC34" s="197">
        <f t="shared" si="17"/>
        <v>390092347.84403199</v>
      </c>
      <c r="AD34" s="199">
        <f t="shared" si="17"/>
        <v>332562941.15130669</v>
      </c>
      <c r="AE34" s="199">
        <f t="shared" si="17"/>
        <v>0</v>
      </c>
      <c r="AF34" s="198">
        <f t="shared" si="17"/>
        <v>57529406.692725316</v>
      </c>
    </row>
    <row r="35" spans="1:32" ht="16.5" thickBot="1">
      <c r="A35" s="505" t="s">
        <v>1086</v>
      </c>
      <c r="B35" s="506"/>
      <c r="C35" s="506"/>
      <c r="D35" s="201">
        <v>12110205</v>
      </c>
      <c r="E35" s="201"/>
      <c r="F35" s="201">
        <v>15245005</v>
      </c>
      <c r="G35" s="201"/>
      <c r="H35" s="201">
        <v>17086360</v>
      </c>
      <c r="I35" s="202"/>
      <c r="J35" s="202">
        <f>+I34*$H$36</f>
        <v>17225096.371858411</v>
      </c>
      <c r="K35" s="203"/>
      <c r="L35" s="202"/>
      <c r="M35" s="200"/>
      <c r="N35" s="202">
        <f>+M34*$H$36</f>
        <v>17344901.23977128</v>
      </c>
      <c r="O35" s="200"/>
      <c r="P35" s="201"/>
      <c r="Q35" s="200"/>
      <c r="R35" s="202">
        <f>+Q34*$H$36</f>
        <v>18156109.201102637</v>
      </c>
      <c r="S35" s="200"/>
      <c r="T35" s="201"/>
      <c r="U35" s="200"/>
      <c r="V35" s="202">
        <f>+U34*$H$36</f>
        <v>18237386.728892937</v>
      </c>
      <c r="W35" s="200"/>
      <c r="X35" s="201"/>
      <c r="Y35" s="200"/>
      <c r="Z35" s="202">
        <f>+Y34*$H$36</f>
        <v>18331223.838404465</v>
      </c>
      <c r="AA35" s="200"/>
      <c r="AB35" s="201"/>
      <c r="AC35" s="200"/>
      <c r="AD35" s="202">
        <f>+AC34*$H$36</f>
        <v>18476432.200398408</v>
      </c>
      <c r="AE35" s="200"/>
      <c r="AF35" s="201"/>
    </row>
    <row r="36" spans="1:32" ht="15.75" thickTop="1">
      <c r="A36" s="204" t="s">
        <v>952</v>
      </c>
      <c r="B36" s="205"/>
      <c r="C36" s="205"/>
      <c r="D36" s="206">
        <f>+D35/C34</f>
        <v>5.7805946336416843E-2</v>
      </c>
      <c r="E36" s="207"/>
      <c r="F36" s="206">
        <f>+F35/E34</f>
        <v>4.369051344739254E-2</v>
      </c>
      <c r="G36" s="207"/>
      <c r="H36" s="206">
        <f>+H35/G34</f>
        <v>4.7364251830404311E-2</v>
      </c>
      <c r="I36" s="358"/>
      <c r="J36" s="206">
        <f>+J35/I34</f>
        <v>4.7364251830404311E-2</v>
      </c>
      <c r="K36" s="358"/>
      <c r="L36" s="358"/>
      <c r="M36" s="358"/>
      <c r="N36" s="206">
        <f>+N35/M34</f>
        <v>4.7364251830404304E-2</v>
      </c>
      <c r="O36" s="206"/>
      <c r="P36" s="206"/>
      <c r="Q36" s="206"/>
      <c r="R36" s="206">
        <f>+R35/Q34</f>
        <v>4.7364251830404311E-2</v>
      </c>
      <c r="S36" s="206"/>
      <c r="T36" s="206"/>
      <c r="U36" s="206"/>
      <c r="V36" s="206">
        <f>+V35/U34</f>
        <v>4.7364251830404318E-2</v>
      </c>
      <c r="W36" s="206"/>
      <c r="X36" s="206"/>
      <c r="Y36" s="206"/>
      <c r="Z36" s="206">
        <f>+Z35/Y34</f>
        <v>4.7364251830404311E-2</v>
      </c>
      <c r="AA36" s="206"/>
      <c r="AB36" s="206"/>
      <c r="AC36" s="206"/>
      <c r="AD36" s="206">
        <f>+AD35/AC34</f>
        <v>4.7364251830404311E-2</v>
      </c>
      <c r="AE36" s="206"/>
      <c r="AF36" s="206"/>
    </row>
    <row r="37" spans="1:32">
      <c r="A37" s="50"/>
      <c r="B37" s="50"/>
      <c r="C37" s="50"/>
      <c r="D37" s="50"/>
      <c r="E37" s="50"/>
      <c r="F37" s="504"/>
      <c r="G37" s="50"/>
      <c r="H37" s="43"/>
      <c r="J37" s="43"/>
      <c r="M37" s="43"/>
      <c r="Q37" s="43"/>
      <c r="U37" s="43"/>
    </row>
    <row r="39" spans="1:32" s="50" customFormat="1" ht="15.75">
      <c r="C39" s="546">
        <v>2009</v>
      </c>
      <c r="D39" s="546">
        <v>2010</v>
      </c>
      <c r="E39" s="546">
        <v>2011</v>
      </c>
      <c r="F39" s="546">
        <v>2012</v>
      </c>
      <c r="G39" s="546">
        <v>2013</v>
      </c>
      <c r="H39" s="546">
        <v>2014</v>
      </c>
      <c r="I39" s="546">
        <v>2015</v>
      </c>
      <c r="J39" s="546">
        <v>2016</v>
      </c>
      <c r="K39" s="546">
        <v>2017</v>
      </c>
      <c r="L39" s="546">
        <v>2018</v>
      </c>
      <c r="M39" s="546">
        <v>2019</v>
      </c>
    </row>
    <row r="40" spans="1:32">
      <c r="A40" s="2" t="s">
        <v>69</v>
      </c>
      <c r="B40" s="2"/>
      <c r="C40" s="46"/>
      <c r="D40" s="46"/>
      <c r="E40" s="46"/>
      <c r="F40" s="46"/>
      <c r="G40" s="46"/>
      <c r="H40" s="46">
        <f>+L34</f>
        <v>152178346.63194549</v>
      </c>
      <c r="I40" s="46">
        <f>+P34</f>
        <v>123388443.8519741</v>
      </c>
      <c r="J40" s="46">
        <f>+T34</f>
        <v>108656030.19870509</v>
      </c>
      <c r="K40" s="46">
        <f>+X34</f>
        <v>79224489.255814061</v>
      </c>
      <c r="L40" s="46">
        <f>+AB34</f>
        <v>58232477.997774646</v>
      </c>
      <c r="M40" s="46">
        <f>+AF34</f>
        <v>57529406.692725316</v>
      </c>
    </row>
    <row r="41" spans="1:32" ht="15.75" thickBot="1">
      <c r="A41" s="209" t="s">
        <v>10</v>
      </c>
      <c r="B41" s="209"/>
      <c r="C41" s="210">
        <v>10966469</v>
      </c>
      <c r="D41" s="210">
        <v>11258703</v>
      </c>
      <c r="E41" s="210">
        <f>+D35</f>
        <v>12110205</v>
      </c>
      <c r="F41" s="210">
        <f>+F35</f>
        <v>15245005</v>
      </c>
      <c r="G41" s="210">
        <f>+H35</f>
        <v>17086360</v>
      </c>
      <c r="H41" s="210">
        <f>+J35</f>
        <v>17225096.371858411</v>
      </c>
      <c r="I41" s="210">
        <f>+N35</f>
        <v>17344901.23977128</v>
      </c>
      <c r="J41" s="210">
        <f>+R35</f>
        <v>18156109.201102637</v>
      </c>
      <c r="K41" s="210">
        <f>+V35</f>
        <v>18237386.728892937</v>
      </c>
      <c r="L41" s="210">
        <f>+Z35</f>
        <v>18331223.838404465</v>
      </c>
      <c r="M41" s="210">
        <f>+AD35</f>
        <v>18476432.200398408</v>
      </c>
    </row>
    <row r="42" spans="1:32" ht="15.75" thickTop="1"/>
    <row r="43" spans="1:32">
      <c r="C43" s="43"/>
      <c r="D43" s="43"/>
      <c r="E43" s="43"/>
      <c r="F43" s="43"/>
      <c r="G43" s="43"/>
      <c r="H43" s="43"/>
      <c r="I43" s="43"/>
      <c r="J43" s="43"/>
    </row>
    <row r="45" spans="1:32" ht="15.75" hidden="1">
      <c r="B45" s="646" t="s">
        <v>1087</v>
      </c>
      <c r="C45" s="646"/>
      <c r="D45" s="646"/>
      <c r="E45" s="646"/>
      <c r="F45" s="646"/>
      <c r="G45" s="646"/>
      <c r="H45" s="646"/>
      <c r="I45" s="646"/>
      <c r="J45" s="646"/>
      <c r="K45" s="646"/>
      <c r="L45" s="646"/>
    </row>
    <row r="46" spans="1:32" ht="15.75" hidden="1">
      <c r="A46" s="514"/>
      <c r="B46" s="208">
        <v>2009</v>
      </c>
      <c r="C46" s="208">
        <v>2010</v>
      </c>
      <c r="D46" s="208">
        <v>2011</v>
      </c>
      <c r="E46" s="208">
        <v>2012</v>
      </c>
      <c r="F46" s="208">
        <v>2013</v>
      </c>
      <c r="G46" s="208">
        <v>2014</v>
      </c>
      <c r="H46" s="208">
        <v>2015</v>
      </c>
      <c r="I46" s="208">
        <v>2016</v>
      </c>
      <c r="J46" s="208">
        <v>2017</v>
      </c>
      <c r="K46" s="208">
        <v>2018</v>
      </c>
      <c r="L46" s="208">
        <v>2019</v>
      </c>
    </row>
    <row r="47" spans="1:32" hidden="1">
      <c r="B47" s="46">
        <f>+Balance!C23</f>
        <v>0</v>
      </c>
      <c r="C47" s="46">
        <f>+Balance!D23</f>
        <v>0</v>
      </c>
      <c r="D47" s="46">
        <f>+Balance!E23</f>
        <v>0</v>
      </c>
      <c r="E47" s="46">
        <f>+Balance!F23</f>
        <v>0</v>
      </c>
      <c r="F47" s="46">
        <f>+Balance!G23</f>
        <v>0</v>
      </c>
      <c r="G47" s="46">
        <f t="shared" ref="G47:L47" si="18">+F47*(1+G48)</f>
        <v>0</v>
      </c>
      <c r="H47" s="46">
        <f t="shared" si="18"/>
        <v>0</v>
      </c>
      <c r="I47" s="46">
        <f t="shared" si="18"/>
        <v>0</v>
      </c>
      <c r="J47" s="46">
        <f t="shared" si="18"/>
        <v>0</v>
      </c>
      <c r="K47" s="46">
        <f t="shared" si="18"/>
        <v>0</v>
      </c>
      <c r="L47" s="46">
        <f t="shared" si="18"/>
        <v>0</v>
      </c>
    </row>
    <row r="48" spans="1:32" ht="15.75" hidden="1" thickBot="1">
      <c r="B48" s="515"/>
      <c r="C48" s="516" t="e">
        <f>+C47/B47-1</f>
        <v>#DIV/0!</v>
      </c>
      <c r="D48" s="516" t="e">
        <f>+D47/C47-1</f>
        <v>#DIV/0!</v>
      </c>
      <c r="E48" s="516" t="e">
        <f>+E47/D47-1</f>
        <v>#DIV/0!</v>
      </c>
      <c r="F48" s="516" t="e">
        <f>+F47/E47-1</f>
        <v>#DIV/0!</v>
      </c>
      <c r="G48" s="517">
        <v>2.4E-2</v>
      </c>
      <c r="H48" s="517">
        <f>+G48</f>
        <v>2.4E-2</v>
      </c>
      <c r="I48" s="517">
        <f>+H48</f>
        <v>2.4E-2</v>
      </c>
      <c r="J48" s="517">
        <f>+I48</f>
        <v>2.4E-2</v>
      </c>
      <c r="K48" s="517">
        <f>+J48</f>
        <v>2.4E-2</v>
      </c>
      <c r="L48" s="517">
        <f>+K48</f>
        <v>2.4E-2</v>
      </c>
    </row>
    <row r="49" spans="2:2" ht="21" hidden="1">
      <c r="B49" s="518" t="s">
        <v>1088</v>
      </c>
    </row>
  </sheetData>
  <mergeCells count="11">
    <mergeCell ref="B45:L45"/>
    <mergeCell ref="Q22:T22"/>
    <mergeCell ref="U22:X22"/>
    <mergeCell ref="Y22:AB22"/>
    <mergeCell ref="AC22:AF22"/>
    <mergeCell ref="B22:B23"/>
    <mergeCell ref="C22:D22"/>
    <mergeCell ref="E22:F22"/>
    <mergeCell ref="G22:H22"/>
    <mergeCell ref="I22:L22"/>
    <mergeCell ref="M22:P22"/>
  </mergeCells>
  <phoneticPr fontId="0" type="noConversion"/>
  <printOptions horizontalCentered="1" verticalCentered="1"/>
  <pageMargins left="0.51181102362204722" right="0.51181102362204722" top="0.51181102362204722" bottom="0.51181102362204722" header="0.51181102362204722" footer="0.51181102362204722"/>
  <pageSetup firstPageNumber="8" orientation="landscape" blackAndWhite="1" horizontalDpi="300" verticalDpi="300" r:id="rId1"/>
  <headerFooter alignWithMargins="0">
    <oddHeader>&amp;A</oddHeader>
    <oddFooter>&amp;CCia.Modelo -  EVA&amp;RPágina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enableFormatConditionsCalculation="0">
    <pageSetUpPr fitToPage="1"/>
  </sheetPr>
  <dimension ref="A1:M44"/>
  <sheetViews>
    <sheetView showGridLines="0" topLeftCell="A15" zoomScale="70" zoomScaleNormal="70" zoomScalePageLayoutView="70" workbookViewId="0">
      <selection activeCell="E35" sqref="E35"/>
    </sheetView>
  </sheetViews>
  <sheetFormatPr baseColWidth="10" defaultColWidth="8.88671875" defaultRowHeight="15"/>
  <cols>
    <col min="1" max="1" width="3.6640625" customWidth="1"/>
    <col min="2" max="2" width="28.5546875" customWidth="1"/>
    <col min="3" max="5" width="12.33203125" customWidth="1"/>
    <col min="6" max="6" width="13.33203125" customWidth="1"/>
    <col min="7" max="13" width="12.33203125" customWidth="1"/>
  </cols>
  <sheetData>
    <row r="1" spans="1:13" ht="15.75">
      <c r="A1" s="1" t="str">
        <f>+Balance!A1</f>
        <v>Compañía Modelo - EVA</v>
      </c>
      <c r="B1" s="2"/>
      <c r="C1" s="2"/>
      <c r="D1" s="2"/>
      <c r="E1" s="2"/>
      <c r="F1" s="2"/>
    </row>
    <row r="2" spans="1:13" ht="15.75">
      <c r="A2" s="1" t="s">
        <v>103</v>
      </c>
      <c r="B2" s="2"/>
      <c r="C2" s="2"/>
      <c r="D2" s="2"/>
      <c r="E2" s="2"/>
      <c r="F2" s="2"/>
    </row>
    <row r="3" spans="1:13">
      <c r="A3" s="2" t="s">
        <v>287</v>
      </c>
      <c r="B3" s="2"/>
      <c r="C3" s="2"/>
      <c r="D3" s="2"/>
      <c r="E3" s="2"/>
      <c r="F3" s="2"/>
    </row>
    <row r="5" spans="1:13" ht="16.5" thickBot="1">
      <c r="A5" s="2"/>
      <c r="B5" s="2"/>
      <c r="C5" s="3">
        <f>'KWOp.%'!$C$4</f>
        <v>2009</v>
      </c>
      <c r="D5" s="3">
        <f>C5+1</f>
        <v>2010</v>
      </c>
      <c r="E5" s="3">
        <f>D5+1</f>
        <v>2011</v>
      </c>
      <c r="F5" s="3">
        <f>E5+1</f>
        <v>2012</v>
      </c>
      <c r="G5" s="3">
        <f>F5+1</f>
        <v>2013</v>
      </c>
      <c r="H5" s="3" t="s">
        <v>342</v>
      </c>
      <c r="I5" s="3" t="s">
        <v>343</v>
      </c>
      <c r="J5" s="3" t="s">
        <v>344</v>
      </c>
      <c r="K5" s="3" t="s">
        <v>345</v>
      </c>
      <c r="L5" s="3" t="s">
        <v>346</v>
      </c>
      <c r="M5" s="3" t="s">
        <v>347</v>
      </c>
    </row>
    <row r="7" spans="1:13" ht="15.75">
      <c r="A7" s="1" t="s">
        <v>14</v>
      </c>
      <c r="B7" s="2"/>
      <c r="C7" s="2"/>
      <c r="D7" s="2"/>
      <c r="E7" s="2"/>
      <c r="F7" s="2"/>
      <c r="G7" s="2"/>
      <c r="H7" s="2"/>
      <c r="I7" s="2"/>
      <c r="J7" s="2"/>
      <c r="K7" s="2"/>
      <c r="L7" s="2"/>
      <c r="M7" s="2"/>
    </row>
    <row r="8" spans="1:13" ht="15.75">
      <c r="A8" s="1"/>
      <c r="B8" s="2" t="s">
        <v>15</v>
      </c>
      <c r="C8" s="2">
        <f>+Balance!C31</f>
        <v>122138</v>
      </c>
      <c r="D8" s="2">
        <f>+Balance!D31</f>
        <v>28796818</v>
      </c>
      <c r="E8" s="2">
        <f>+Balance!E31</f>
        <v>4197411</v>
      </c>
      <c r="F8" s="2">
        <f>+Balance!F31</f>
        <v>7145302</v>
      </c>
      <c r="G8" s="2">
        <f>+Balance!G31</f>
        <v>12505373</v>
      </c>
      <c r="H8" s="2">
        <f>+Balance!H31</f>
        <v>9652188.172803415</v>
      </c>
      <c r="I8" s="2">
        <f>+Balance!I31</f>
        <v>6619795.7043472575</v>
      </c>
      <c r="J8" s="2">
        <f>+Balance!J31</f>
        <v>6182871.0601883158</v>
      </c>
      <c r="K8" s="2">
        <f>+Balance!K31</f>
        <v>1904434.0748716723</v>
      </c>
      <c r="L8" s="2">
        <f>+Balance!L31</f>
        <v>979880.22551136545</v>
      </c>
      <c r="M8" s="2">
        <f>+Balance!M31</f>
        <v>4.4703483581542967E-10</v>
      </c>
    </row>
    <row r="9" spans="1:13" ht="16.5" thickBot="1">
      <c r="A9" s="1"/>
      <c r="B9" s="2" t="s">
        <v>16</v>
      </c>
      <c r="C9" s="17">
        <f>+Balance!C32</f>
        <v>0</v>
      </c>
      <c r="D9" s="17">
        <f>+Balance!D32</f>
        <v>0</v>
      </c>
      <c r="E9" s="17">
        <f>+Balance!E32</f>
        <v>0</v>
      </c>
      <c r="F9" s="17">
        <f>+Balance!F32</f>
        <v>0</v>
      </c>
      <c r="G9" s="17">
        <f>+Balance!G32</f>
        <v>92197</v>
      </c>
      <c r="H9" s="17">
        <f>+Balance!H32</f>
        <v>402174.50720014231</v>
      </c>
      <c r="I9" s="17">
        <f>+Balance!I32</f>
        <v>275824.82101446908</v>
      </c>
      <c r="J9" s="17">
        <f>+Balance!J32</f>
        <v>257619.62750784651</v>
      </c>
      <c r="K9" s="17">
        <f>+Balance!K32</f>
        <v>79351.41978631969</v>
      </c>
      <c r="L9" s="17">
        <f>+Balance!L32</f>
        <v>40828.34272964023</v>
      </c>
      <c r="M9" s="17">
        <f>+Balance!M32</f>
        <v>1.8626451492309571E-11</v>
      </c>
    </row>
    <row r="10" spans="1:13" ht="15.75">
      <c r="A10" s="18" t="s">
        <v>21</v>
      </c>
      <c r="B10" s="2"/>
      <c r="C10" s="18">
        <f t="shared" ref="C10:M10" si="0">SUM(C8:C9)</f>
        <v>122138</v>
      </c>
      <c r="D10" s="18">
        <f t="shared" si="0"/>
        <v>28796818</v>
      </c>
      <c r="E10" s="18">
        <f t="shared" si="0"/>
        <v>4197411</v>
      </c>
      <c r="F10" s="18">
        <f t="shared" si="0"/>
        <v>7145302</v>
      </c>
      <c r="G10" s="18">
        <f t="shared" si="0"/>
        <v>12597570</v>
      </c>
      <c r="H10" s="18">
        <f t="shared" si="0"/>
        <v>10054362.680003557</v>
      </c>
      <c r="I10" s="18">
        <f t="shared" si="0"/>
        <v>6895620.525361727</v>
      </c>
      <c r="J10" s="18">
        <f t="shared" si="0"/>
        <v>6440490.6876961626</v>
      </c>
      <c r="K10" s="18">
        <f t="shared" si="0"/>
        <v>1983785.4946579919</v>
      </c>
      <c r="L10" s="18">
        <f t="shared" si="0"/>
        <v>1020708.5682410056</v>
      </c>
      <c r="M10" s="18">
        <f t="shared" si="0"/>
        <v>4.6566128730773926E-10</v>
      </c>
    </row>
    <row r="12" spans="1:13" ht="15.75">
      <c r="A12" s="1" t="s">
        <v>22</v>
      </c>
      <c r="B12" s="2"/>
      <c r="C12" s="2"/>
      <c r="D12" s="2"/>
      <c r="E12" s="2"/>
      <c r="F12" s="2"/>
      <c r="G12" s="2"/>
      <c r="H12" s="2"/>
      <c r="I12" s="2"/>
      <c r="J12" s="2"/>
      <c r="K12" s="2"/>
      <c r="L12" s="2"/>
      <c r="M12" s="2"/>
    </row>
    <row r="13" spans="1:13" s="38" customFormat="1" ht="15.75">
      <c r="A13" s="88"/>
      <c r="B13" s="60" t="s">
        <v>15</v>
      </c>
      <c r="C13" s="60">
        <f>+Balance!C44</f>
        <v>0</v>
      </c>
      <c r="D13" s="60">
        <f>+Balance!D44</f>
        <v>0</v>
      </c>
      <c r="E13" s="60">
        <f>+Balance!E44</f>
        <v>0</v>
      </c>
      <c r="F13" s="60">
        <f>+Balance!F44</f>
        <v>0</v>
      </c>
      <c r="G13" s="60">
        <f>+Balance!G44</f>
        <v>80323</v>
      </c>
      <c r="H13" s="60">
        <f>+Balance!H44</f>
        <v>201087.25360007116</v>
      </c>
      <c r="I13" s="60">
        <f>+Balance!I44</f>
        <v>137912.41050723454</v>
      </c>
      <c r="J13" s="60">
        <f>+Balance!J44</f>
        <v>128809.81375392326</v>
      </c>
      <c r="K13" s="60">
        <f>+Balance!K44</f>
        <v>39675.709893159845</v>
      </c>
      <c r="L13" s="60">
        <f>+Balance!L44</f>
        <v>20414.171364820115</v>
      </c>
      <c r="M13" s="60">
        <f>+Balance!M44</f>
        <v>9.3132257461547854E-12</v>
      </c>
    </row>
    <row r="14" spans="1:13" s="38" customFormat="1" ht="16.5" thickBot="1">
      <c r="A14" s="88"/>
      <c r="B14" s="60" t="s">
        <v>16</v>
      </c>
      <c r="C14" s="234">
        <f>+Balance!C45</f>
        <v>0</v>
      </c>
      <c r="D14" s="234">
        <f>+Balance!D45</f>
        <v>0</v>
      </c>
      <c r="E14" s="234">
        <f>+Balance!E45</f>
        <v>0</v>
      </c>
      <c r="F14" s="234">
        <f>+Balance!F45</f>
        <v>55991060</v>
      </c>
      <c r="G14" s="234">
        <f>+Balance!G45</f>
        <v>39461972</v>
      </c>
      <c r="H14" s="234">
        <f>+Balance!H45</f>
        <v>29962000.7864106</v>
      </c>
      <c r="I14" s="234">
        <f>+Balance!I45</f>
        <v>20548949.165577948</v>
      </c>
      <c r="J14" s="234">
        <f>+Balance!J45</f>
        <v>19192662.249334566</v>
      </c>
      <c r="K14" s="234">
        <f>+Balance!K45</f>
        <v>5911680.7740808167</v>
      </c>
      <c r="L14" s="234">
        <f>+Balance!L45</f>
        <v>3041711.5333581972</v>
      </c>
      <c r="M14" s="234">
        <f>+Balance!M45</f>
        <v>1.387670636177063E-9</v>
      </c>
    </row>
    <row r="15" spans="1:13" ht="15.75">
      <c r="A15" s="18" t="s">
        <v>104</v>
      </c>
      <c r="B15" s="2"/>
      <c r="C15" s="18">
        <f t="shared" ref="C15:M15" si="1">SUM(C13:C14)</f>
        <v>0</v>
      </c>
      <c r="D15" s="18">
        <f t="shared" si="1"/>
        <v>0</v>
      </c>
      <c r="E15" s="18">
        <f t="shared" si="1"/>
        <v>0</v>
      </c>
      <c r="F15" s="18">
        <f t="shared" si="1"/>
        <v>55991060</v>
      </c>
      <c r="G15" s="18">
        <f t="shared" si="1"/>
        <v>39542295</v>
      </c>
      <c r="H15" s="18">
        <f t="shared" si="1"/>
        <v>30163088.040010672</v>
      </c>
      <c r="I15" s="18">
        <f t="shared" si="1"/>
        <v>20686861.576085184</v>
      </c>
      <c r="J15" s="18">
        <f t="shared" si="1"/>
        <v>19321472.063088488</v>
      </c>
      <c r="K15" s="18">
        <f t="shared" si="1"/>
        <v>5951356.4839739762</v>
      </c>
      <c r="L15" s="18">
        <f t="shared" si="1"/>
        <v>3062125.7047230173</v>
      </c>
      <c r="M15" s="18">
        <f t="shared" si="1"/>
        <v>1.3969838619232178E-9</v>
      </c>
    </row>
    <row r="17" spans="1:13" ht="15.75">
      <c r="A17" s="18" t="s">
        <v>105</v>
      </c>
      <c r="B17" s="2"/>
      <c r="C17" s="2"/>
      <c r="D17" s="2"/>
      <c r="E17" s="2"/>
      <c r="F17" s="2"/>
      <c r="G17" s="2"/>
      <c r="H17" s="2"/>
      <c r="I17" s="2"/>
      <c r="J17" s="2"/>
      <c r="K17" s="2"/>
      <c r="L17" s="2"/>
      <c r="M17" s="2"/>
    </row>
    <row r="18" spans="1:13" ht="15.75">
      <c r="A18" s="18"/>
      <c r="B18" s="2" t="s">
        <v>15</v>
      </c>
      <c r="C18" s="2">
        <f>+C8+C13</f>
        <v>122138</v>
      </c>
      <c r="D18" s="2">
        <f t="shared" ref="D18:M18" si="2">+D8+D13</f>
        <v>28796818</v>
      </c>
      <c r="E18" s="2">
        <f t="shared" si="2"/>
        <v>4197411</v>
      </c>
      <c r="F18" s="2">
        <f t="shared" si="2"/>
        <v>7145302</v>
      </c>
      <c r="G18" s="2">
        <f t="shared" si="2"/>
        <v>12585696</v>
      </c>
      <c r="H18" s="2">
        <f t="shared" si="2"/>
        <v>9853275.4264034852</v>
      </c>
      <c r="I18" s="2">
        <f t="shared" si="2"/>
        <v>6757708.1148544922</v>
      </c>
      <c r="J18" s="2">
        <f t="shared" si="2"/>
        <v>6311680.8739422392</v>
      </c>
      <c r="K18" s="2">
        <f t="shared" si="2"/>
        <v>1944109.7847648321</v>
      </c>
      <c r="L18" s="2">
        <f t="shared" si="2"/>
        <v>1000294.3968761856</v>
      </c>
      <c r="M18" s="2">
        <f t="shared" si="2"/>
        <v>4.5634806156158446E-10</v>
      </c>
    </row>
    <row r="19" spans="1:13" ht="16.5" thickBot="1">
      <c r="A19" s="18"/>
      <c r="B19" s="2" t="s">
        <v>16</v>
      </c>
      <c r="C19" s="17">
        <f>+C9+C14</f>
        <v>0</v>
      </c>
      <c r="D19" s="17">
        <f t="shared" ref="D19:M19" si="3">+D9+D14</f>
        <v>0</v>
      </c>
      <c r="E19" s="17">
        <f t="shared" si="3"/>
        <v>0</v>
      </c>
      <c r="F19" s="17">
        <f t="shared" si="3"/>
        <v>55991060</v>
      </c>
      <c r="G19" s="17">
        <f t="shared" si="3"/>
        <v>39554169</v>
      </c>
      <c r="H19" s="17">
        <f t="shared" si="3"/>
        <v>30364175.29361074</v>
      </c>
      <c r="I19" s="17">
        <f t="shared" si="3"/>
        <v>20824773.986592416</v>
      </c>
      <c r="J19" s="17">
        <f t="shared" si="3"/>
        <v>19450281.876842413</v>
      </c>
      <c r="K19" s="17">
        <f t="shared" si="3"/>
        <v>5991032.1938671367</v>
      </c>
      <c r="L19" s="17">
        <f t="shared" si="3"/>
        <v>3082539.8760878374</v>
      </c>
      <c r="M19" s="17">
        <f t="shared" si="3"/>
        <v>1.4062970876693726E-9</v>
      </c>
    </row>
    <row r="20" spans="1:13" ht="15.75">
      <c r="A20" s="18" t="s">
        <v>105</v>
      </c>
      <c r="B20" s="2"/>
      <c r="C20" s="18">
        <f t="shared" ref="C20:M20" si="4">SUM(C18:C19)</f>
        <v>122138</v>
      </c>
      <c r="D20" s="18">
        <f t="shared" si="4"/>
        <v>28796818</v>
      </c>
      <c r="E20" s="18">
        <f t="shared" si="4"/>
        <v>4197411</v>
      </c>
      <c r="F20" s="18">
        <f t="shared" si="4"/>
        <v>63136362</v>
      </c>
      <c r="G20" s="18">
        <f t="shared" si="4"/>
        <v>52139865</v>
      </c>
      <c r="H20" s="18">
        <f t="shared" si="4"/>
        <v>40217450.720014229</v>
      </c>
      <c r="I20" s="18">
        <f t="shared" si="4"/>
        <v>27582482.101446908</v>
      </c>
      <c r="J20" s="18">
        <f t="shared" si="4"/>
        <v>25761962.75078465</v>
      </c>
      <c r="K20" s="18">
        <f t="shared" si="4"/>
        <v>7935141.9786319686</v>
      </c>
      <c r="L20" s="18">
        <f t="shared" si="4"/>
        <v>4082834.2729640231</v>
      </c>
      <c r="M20" s="18">
        <f t="shared" si="4"/>
        <v>1.862645149230957E-9</v>
      </c>
    </row>
    <row r="22" spans="1:13" ht="15.75">
      <c r="A22" s="18" t="s">
        <v>106</v>
      </c>
      <c r="B22" s="2"/>
      <c r="C22" s="2"/>
      <c r="D22" s="2"/>
      <c r="E22" s="2"/>
      <c r="F22" s="2"/>
      <c r="G22" s="2"/>
      <c r="H22" s="2"/>
      <c r="I22" s="2"/>
      <c r="J22" s="2"/>
      <c r="K22" s="2"/>
      <c r="L22" s="2"/>
      <c r="M22" s="2"/>
    </row>
    <row r="23" spans="1:13">
      <c r="A23" s="2"/>
      <c r="B23" s="2" t="s">
        <v>15</v>
      </c>
      <c r="C23" s="6">
        <f t="shared" ref="C23:G24" si="5">+C18/C$20</f>
        <v>1</v>
      </c>
      <c r="D23" s="6">
        <f t="shared" si="5"/>
        <v>1</v>
      </c>
      <c r="E23" s="6">
        <f t="shared" si="5"/>
        <v>1</v>
      </c>
      <c r="F23" s="6">
        <f t="shared" si="5"/>
        <v>0.11317253281080719</v>
      </c>
      <c r="G23" s="6">
        <f t="shared" si="5"/>
        <v>0.24138336376590158</v>
      </c>
      <c r="H23" s="6">
        <f t="shared" ref="H23:J24" si="6">+H18/H$20</f>
        <v>0.24499999999999997</v>
      </c>
      <c r="I23" s="6">
        <f t="shared" si="6"/>
        <v>0.245</v>
      </c>
      <c r="J23" s="6">
        <f t="shared" si="6"/>
        <v>0.245</v>
      </c>
      <c r="K23" s="6">
        <f t="shared" ref="K23:M24" si="7">+K18/K$20</f>
        <v>0.24499999999999997</v>
      </c>
      <c r="L23" s="6">
        <f t="shared" si="7"/>
        <v>0.24499999999999997</v>
      </c>
      <c r="M23" s="6">
        <f t="shared" si="7"/>
        <v>0.245</v>
      </c>
    </row>
    <row r="24" spans="1:13" ht="15.75" thickBot="1">
      <c r="A24" s="2"/>
      <c r="B24" s="2" t="s">
        <v>16</v>
      </c>
      <c r="C24" s="19">
        <f t="shared" si="5"/>
        <v>0</v>
      </c>
      <c r="D24" s="19">
        <f t="shared" si="5"/>
        <v>0</v>
      </c>
      <c r="E24" s="19">
        <f t="shared" si="5"/>
        <v>0</v>
      </c>
      <c r="F24" s="19">
        <f t="shared" si="5"/>
        <v>0.88682746718919281</v>
      </c>
      <c r="G24" s="19">
        <f t="shared" si="5"/>
        <v>0.75861663623409847</v>
      </c>
      <c r="H24" s="19">
        <f t="shared" si="6"/>
        <v>0.75499999999999989</v>
      </c>
      <c r="I24" s="19">
        <f t="shared" si="6"/>
        <v>0.755</v>
      </c>
      <c r="J24" s="19">
        <f t="shared" si="6"/>
        <v>0.75500000000000012</v>
      </c>
      <c r="K24" s="19">
        <f t="shared" si="7"/>
        <v>0.755</v>
      </c>
      <c r="L24" s="19">
        <f t="shared" si="7"/>
        <v>0.755</v>
      </c>
      <c r="M24" s="19">
        <f t="shared" si="7"/>
        <v>0.755</v>
      </c>
    </row>
    <row r="25" spans="1:13" ht="15.75">
      <c r="A25" s="18" t="s">
        <v>105</v>
      </c>
      <c r="B25" s="2"/>
      <c r="C25" s="20">
        <f t="shared" ref="C25:M25" si="8">SUM(C23:C24)</f>
        <v>1</v>
      </c>
      <c r="D25" s="20">
        <f t="shared" si="8"/>
        <v>1</v>
      </c>
      <c r="E25" s="20">
        <f t="shared" si="8"/>
        <v>1</v>
      </c>
      <c r="F25" s="20">
        <f t="shared" si="8"/>
        <v>1</v>
      </c>
      <c r="G25" s="20">
        <f t="shared" si="8"/>
        <v>1</v>
      </c>
      <c r="H25" s="20">
        <f t="shared" si="8"/>
        <v>0.99999999999999989</v>
      </c>
      <c r="I25" s="20">
        <f t="shared" si="8"/>
        <v>1</v>
      </c>
      <c r="J25" s="20">
        <f t="shared" si="8"/>
        <v>1</v>
      </c>
      <c r="K25" s="20">
        <f t="shared" si="8"/>
        <v>1</v>
      </c>
      <c r="L25" s="20">
        <f t="shared" si="8"/>
        <v>1</v>
      </c>
      <c r="M25" s="20">
        <f t="shared" si="8"/>
        <v>1</v>
      </c>
    </row>
    <row r="26" spans="1:13" ht="15.75">
      <c r="A26" s="18"/>
      <c r="B26" s="2"/>
      <c r="C26" s="20"/>
      <c r="D26" s="20"/>
      <c r="E26" s="20"/>
      <c r="F26" s="20"/>
      <c r="G26" s="20"/>
      <c r="H26" s="20"/>
      <c r="I26" s="20"/>
      <c r="J26" s="20"/>
      <c r="K26" s="20"/>
      <c r="L26" s="20"/>
      <c r="M26" s="20"/>
    </row>
    <row r="27" spans="1:13" ht="15.75">
      <c r="A27" s="18" t="s">
        <v>107</v>
      </c>
      <c r="B27" s="2"/>
      <c r="C27" s="2"/>
      <c r="D27" s="2"/>
      <c r="E27" s="2"/>
      <c r="F27" s="2"/>
      <c r="G27" s="2"/>
      <c r="H27" s="2"/>
      <c r="I27" s="2"/>
      <c r="J27" s="2"/>
      <c r="K27" s="2"/>
      <c r="L27" s="2"/>
      <c r="M27" s="2"/>
    </row>
    <row r="28" spans="1:13" s="236" customFormat="1">
      <c r="A28" s="235"/>
      <c r="B28" s="235" t="s">
        <v>71</v>
      </c>
      <c r="C28" s="235">
        <v>-2</v>
      </c>
      <c r="D28" s="235">
        <f t="shared" ref="D28:M28" si="9">+D19-C19</f>
        <v>0</v>
      </c>
      <c r="E28" s="235">
        <f t="shared" si="9"/>
        <v>0</v>
      </c>
      <c r="F28" s="235">
        <f t="shared" si="9"/>
        <v>55991060</v>
      </c>
      <c r="G28" s="235">
        <f t="shared" si="9"/>
        <v>-16436891</v>
      </c>
      <c r="H28" s="235">
        <f t="shared" si="9"/>
        <v>-9189993.7063892595</v>
      </c>
      <c r="I28" s="235">
        <f t="shared" si="9"/>
        <v>-9539401.3070183247</v>
      </c>
      <c r="J28" s="235">
        <f t="shared" si="9"/>
        <v>-1374492.1097500026</v>
      </c>
      <c r="K28" s="235">
        <f t="shared" si="9"/>
        <v>-13459249.682975277</v>
      </c>
      <c r="L28" s="235">
        <f t="shared" si="9"/>
        <v>-2908492.3177792993</v>
      </c>
      <c r="M28" s="235">
        <f t="shared" si="9"/>
        <v>-3082539.876087836</v>
      </c>
    </row>
    <row r="29" spans="1:13" s="236" customFormat="1" ht="15.75" thickBot="1">
      <c r="A29" s="235"/>
      <c r="B29" s="235" t="s">
        <v>44</v>
      </c>
      <c r="C29" s="237">
        <f>-Resultados!C21</f>
        <v>0</v>
      </c>
      <c r="D29" s="237">
        <f>-Resultados!D21</f>
        <v>0</v>
      </c>
      <c r="E29" s="237">
        <f>-Resultados!E21</f>
        <v>0</v>
      </c>
      <c r="F29" s="237">
        <f>-Resultados!F21</f>
        <v>0</v>
      </c>
      <c r="G29" s="237">
        <f>-Resultados!G21</f>
        <v>0</v>
      </c>
      <c r="H29" s="237">
        <f>-Resultados!H21</f>
        <v>0</v>
      </c>
      <c r="I29" s="237">
        <f>-Resultados!I21</f>
        <v>0</v>
      </c>
      <c r="J29" s="237">
        <f>-Resultados!J21</f>
        <v>0</v>
      </c>
      <c r="K29" s="237">
        <f>-Resultados!K21</f>
        <v>0</v>
      </c>
      <c r="L29" s="237">
        <f>-Resultados!L21</f>
        <v>0</v>
      </c>
      <c r="M29" s="237">
        <f>-Resultados!M21</f>
        <v>0</v>
      </c>
    </row>
    <row r="30" spans="1:13" s="38" customFormat="1" ht="15.75">
      <c r="A30" s="60"/>
      <c r="B30" s="88" t="s">
        <v>108</v>
      </c>
      <c r="C30" s="235">
        <f t="shared" ref="C30:M30" si="10">+C28-C29</f>
        <v>-2</v>
      </c>
      <c r="D30" s="88">
        <f t="shared" si="10"/>
        <v>0</v>
      </c>
      <c r="E30" s="88">
        <f t="shared" si="10"/>
        <v>0</v>
      </c>
      <c r="F30" s="235">
        <f t="shared" si="10"/>
        <v>55991060</v>
      </c>
      <c r="G30" s="235">
        <f t="shared" si="10"/>
        <v>-16436891</v>
      </c>
      <c r="H30" s="235">
        <f t="shared" si="10"/>
        <v>-9189993.7063892595</v>
      </c>
      <c r="I30" s="235">
        <f t="shared" si="10"/>
        <v>-9539401.3070183247</v>
      </c>
      <c r="J30" s="235">
        <f t="shared" si="10"/>
        <v>-1374492.1097500026</v>
      </c>
      <c r="K30" s="235">
        <f t="shared" si="10"/>
        <v>-13459249.682975277</v>
      </c>
      <c r="L30" s="235">
        <f t="shared" si="10"/>
        <v>-2908492.3177792993</v>
      </c>
      <c r="M30" s="235">
        <f t="shared" si="10"/>
        <v>-3082539.876087836</v>
      </c>
    </row>
    <row r="31" spans="1:13" ht="15.75">
      <c r="A31" s="2"/>
      <c r="B31" s="18"/>
      <c r="C31" s="2"/>
      <c r="D31" s="2"/>
      <c r="E31" s="2"/>
      <c r="F31" s="2"/>
      <c r="G31" s="2"/>
      <c r="H31" s="2"/>
      <c r="I31" s="45"/>
      <c r="J31" s="45"/>
      <c r="K31" s="45"/>
      <c r="L31" s="45"/>
      <c r="M31" s="45"/>
    </row>
    <row r="32" spans="1:13" ht="15.75">
      <c r="A32" s="18" t="s">
        <v>109</v>
      </c>
      <c r="B32" s="18"/>
      <c r="C32" s="2"/>
      <c r="D32" s="2"/>
      <c r="E32" s="2"/>
      <c r="F32" s="2"/>
      <c r="G32" s="2"/>
      <c r="H32" s="2"/>
      <c r="I32" s="2"/>
      <c r="J32" s="2"/>
      <c r="K32" s="2"/>
      <c r="L32" s="2"/>
      <c r="M32" s="2"/>
    </row>
    <row r="33" spans="1:13" ht="15.75">
      <c r="A33" s="18"/>
      <c r="B33" s="2" t="s">
        <v>110</v>
      </c>
      <c r="C33" s="235">
        <v>14</v>
      </c>
      <c r="D33" s="235">
        <f t="shared" ref="D33:M33" si="11">+D18-C18</f>
        <v>28674680</v>
      </c>
      <c r="E33" s="235">
        <f t="shared" si="11"/>
        <v>-24599407</v>
      </c>
      <c r="F33" s="235">
        <f t="shared" si="11"/>
        <v>2947891</v>
      </c>
      <c r="G33" s="235">
        <f t="shared" si="11"/>
        <v>5440394</v>
      </c>
      <c r="H33" s="235">
        <f t="shared" si="11"/>
        <v>-2732420.5735965148</v>
      </c>
      <c r="I33" s="235">
        <f t="shared" si="11"/>
        <v>-3095567.311548993</v>
      </c>
      <c r="J33" s="235">
        <f t="shared" si="11"/>
        <v>-446027.24091225304</v>
      </c>
      <c r="K33" s="235">
        <f t="shared" si="11"/>
        <v>-4367571.0891774073</v>
      </c>
      <c r="L33" s="235">
        <f t="shared" si="11"/>
        <v>-943815.38788864657</v>
      </c>
      <c r="M33" s="235">
        <f t="shared" si="11"/>
        <v>-1000294.3968761851</v>
      </c>
    </row>
    <row r="34" spans="1:13" ht="16.5" thickBot="1">
      <c r="A34" s="18"/>
      <c r="B34" s="2" t="s">
        <v>111</v>
      </c>
      <c r="C34" s="237">
        <f t="shared" ref="C34:H34" si="12">+C30</f>
        <v>-2</v>
      </c>
      <c r="D34" s="237">
        <f t="shared" si="12"/>
        <v>0</v>
      </c>
      <c r="E34" s="237">
        <f t="shared" si="12"/>
        <v>0</v>
      </c>
      <c r="F34" s="237">
        <f t="shared" si="12"/>
        <v>55991060</v>
      </c>
      <c r="G34" s="237">
        <f t="shared" si="12"/>
        <v>-16436891</v>
      </c>
      <c r="H34" s="237">
        <f t="shared" si="12"/>
        <v>-9189993.7063892595</v>
      </c>
      <c r="I34" s="237">
        <f>+I30</f>
        <v>-9539401.3070183247</v>
      </c>
      <c r="J34" s="237">
        <f>+J30</f>
        <v>-1374492.1097500026</v>
      </c>
      <c r="K34" s="237">
        <f>+K30</f>
        <v>-13459249.682975277</v>
      </c>
      <c r="L34" s="237">
        <f>+L30</f>
        <v>-2908492.3177792993</v>
      </c>
      <c r="M34" s="237">
        <f>+M30</f>
        <v>-3082539.876087836</v>
      </c>
    </row>
    <row r="35" spans="1:13" ht="15.75">
      <c r="A35" s="18" t="s">
        <v>112</v>
      </c>
      <c r="B35" s="2"/>
      <c r="C35" s="235">
        <f t="shared" ref="C35:M35" si="13">+C33+C34</f>
        <v>12</v>
      </c>
      <c r="D35" s="88">
        <f t="shared" si="13"/>
        <v>28674680</v>
      </c>
      <c r="E35" s="235">
        <f t="shared" si="13"/>
        <v>-24599407</v>
      </c>
      <c r="F35" s="235">
        <f t="shared" si="13"/>
        <v>58938951</v>
      </c>
      <c r="G35" s="235">
        <f t="shared" si="13"/>
        <v>-10996497</v>
      </c>
      <c r="H35" s="235">
        <f t="shared" si="13"/>
        <v>-11922414.279985774</v>
      </c>
      <c r="I35" s="235">
        <f t="shared" si="13"/>
        <v>-12634968.618567318</v>
      </c>
      <c r="J35" s="235">
        <f t="shared" si="13"/>
        <v>-1820519.3506622557</v>
      </c>
      <c r="K35" s="235">
        <f t="shared" si="13"/>
        <v>-17826820.772152685</v>
      </c>
      <c r="L35" s="235">
        <f t="shared" si="13"/>
        <v>-3852307.705667946</v>
      </c>
      <c r="M35" s="235">
        <f t="shared" si="13"/>
        <v>-4082834.2729640212</v>
      </c>
    </row>
    <row r="36" spans="1:13">
      <c r="C36" s="235"/>
      <c r="D36" s="235"/>
      <c r="E36" s="235"/>
      <c r="F36" s="235"/>
      <c r="G36" s="235"/>
      <c r="H36" s="235"/>
      <c r="I36" s="235"/>
      <c r="J36" s="235"/>
      <c r="K36" s="235"/>
      <c r="L36" s="235"/>
      <c r="M36" s="235"/>
    </row>
    <row r="37" spans="1:13" ht="15.75">
      <c r="A37" s="18" t="s">
        <v>113</v>
      </c>
      <c r="B37" s="2"/>
      <c r="C37" s="2"/>
      <c r="D37" s="2"/>
      <c r="E37" s="2"/>
      <c r="F37" s="2"/>
      <c r="G37" s="2"/>
      <c r="H37" s="2"/>
      <c r="I37" s="2"/>
      <c r="J37" s="2"/>
      <c r="K37" s="2"/>
      <c r="L37" s="2"/>
      <c r="M37" s="2"/>
    </row>
    <row r="38" spans="1:13">
      <c r="A38" s="2"/>
      <c r="B38" s="2" t="s">
        <v>114</v>
      </c>
      <c r="C38" s="2">
        <v>0</v>
      </c>
      <c r="D38" s="2">
        <v>0</v>
      </c>
      <c r="E38" s="2">
        <v>0</v>
      </c>
      <c r="F38" s="2">
        <v>0</v>
      </c>
      <c r="G38" s="2">
        <v>0</v>
      </c>
      <c r="H38" s="2">
        <v>0</v>
      </c>
      <c r="I38" s="2">
        <v>0</v>
      </c>
      <c r="J38" s="2">
        <v>0</v>
      </c>
      <c r="K38" s="2">
        <v>0</v>
      </c>
      <c r="L38" s="2">
        <v>0</v>
      </c>
      <c r="M38" s="2">
        <v>0</v>
      </c>
    </row>
    <row r="39" spans="1:13">
      <c r="A39" s="2"/>
      <c r="B39" s="2" t="s">
        <v>33</v>
      </c>
      <c r="C39" s="2">
        <f t="shared" ref="C39:H39" si="14">+C29</f>
        <v>0</v>
      </c>
      <c r="D39" s="2">
        <f t="shared" si="14"/>
        <v>0</v>
      </c>
      <c r="E39" s="2">
        <f t="shared" si="14"/>
        <v>0</v>
      </c>
      <c r="F39" s="2">
        <f t="shared" si="14"/>
        <v>0</v>
      </c>
      <c r="G39" s="2">
        <f t="shared" si="14"/>
        <v>0</v>
      </c>
      <c r="H39" s="2">
        <f t="shared" si="14"/>
        <v>0</v>
      </c>
      <c r="I39" s="2">
        <f>+I29</f>
        <v>0</v>
      </c>
      <c r="J39" s="2">
        <f>+J29</f>
        <v>0</v>
      </c>
      <c r="K39" s="2">
        <f>+K29</f>
        <v>0</v>
      </c>
      <c r="L39" s="2">
        <f>+L29</f>
        <v>0</v>
      </c>
      <c r="M39" s="2">
        <f>+M29</f>
        <v>0</v>
      </c>
    </row>
    <row r="41" spans="1:13" ht="15.75">
      <c r="A41" s="42" t="s">
        <v>115</v>
      </c>
    </row>
    <row r="42" spans="1:13">
      <c r="B42" t="s">
        <v>116</v>
      </c>
      <c r="C42" s="34">
        <f>Generadores!B21+Generadores!B22</f>
        <v>0.31140000000000001</v>
      </c>
      <c r="D42" s="34">
        <f>Generadores!C21+Generadores!C22</f>
        <v>0.22320000000000001</v>
      </c>
      <c r="E42" s="34">
        <f>Generadores!D21+Generadores!D22</f>
        <v>0.22770000000000001</v>
      </c>
      <c r="F42" s="34">
        <f>Generadores!E21+Generadores!E22</f>
        <v>0.18959999999999999</v>
      </c>
      <c r="G42" s="34">
        <f>Generadores!F21+Generadores!F22</f>
        <v>0.15789999999999998</v>
      </c>
      <c r="H42" s="34">
        <f>Generadores!G21+Generadores!G22</f>
        <v>0.14800000000000002</v>
      </c>
      <c r="I42" s="34">
        <f>Generadores!H21+Generadores!H22</f>
        <v>0.13109999999999999</v>
      </c>
      <c r="J42" s="34">
        <f>Generadores!I21+Generadores!I22</f>
        <v>0.1225</v>
      </c>
      <c r="K42" s="34">
        <f>Generadores!J21+Generadores!J22</f>
        <v>0.15439999999999998</v>
      </c>
      <c r="L42" s="34">
        <f>Generadores!K21+Generadores!K22</f>
        <v>0.19190000000000002</v>
      </c>
      <c r="M42" s="34">
        <f>Generadores!L21+Generadores!L22</f>
        <v>0.15720000000000001</v>
      </c>
    </row>
    <row r="43" spans="1:13">
      <c r="B43" t="s">
        <v>117</v>
      </c>
      <c r="C43" s="34">
        <f>Generadores!B24+Generadores!B25+(Generadores!B24*Generadores!B25)</f>
        <v>0.30810746315113702</v>
      </c>
      <c r="D43" s="34">
        <f>Generadores!C24+Generadores!C25+(Generadores!C24*Generadores!C25)</f>
        <v>0.28485054195552284</v>
      </c>
      <c r="E43" s="34">
        <f>Generadores!D24+Generadores!D25+(Generadores!D24*Generadores!D25)</f>
        <v>0.1100379511748714</v>
      </c>
      <c r="F43" s="34">
        <f>Generadores!E24+Generadores!E25+(Generadores!E24*Generadores!E25)</f>
        <v>0.33788061173718364</v>
      </c>
      <c r="G43" s="34">
        <f>Generadores!F24+Generadores!F25+(Generadores!F24*Generadores!F25)</f>
        <v>3.766234174232664E-2</v>
      </c>
      <c r="H43" s="34">
        <f>Generadores!G24+Generadores!G25+(Generadores!G24*Generadores!G25)</f>
        <v>-8.8213274014563386E-2</v>
      </c>
      <c r="I43" s="34">
        <f>Generadores!H24+Generadores!H25+(Generadores!H24*Generadores!H25)</f>
        <v>1.3191003243016992E-2</v>
      </c>
      <c r="J43" s="34">
        <f>Generadores!I24+Generadores!I25+(Generadores!I24*Generadores!I25)</f>
        <v>3.8918055178573101E-2</v>
      </c>
      <c r="K43" s="34">
        <f>Generadores!J24+Generadores!J25+(Generadores!J24*Generadores!J25)</f>
        <v>-4.6071493976656969E-2</v>
      </c>
      <c r="L43" s="34">
        <f>Generadores!K24+Generadores!K25+(Generadores!K24*Generadores!K25)</f>
        <v>0.18041599999999999</v>
      </c>
      <c r="M43" s="34">
        <f>Generadores!L24+Generadores!L25+(Generadores!L24*Generadores!L25)</f>
        <v>-3.8744757286313512E-2</v>
      </c>
    </row>
    <row r="44" spans="1:13">
      <c r="B44" t="s">
        <v>118</v>
      </c>
      <c r="C44" s="34">
        <f>Generadores!B24</f>
        <v>0.21121061402883057</v>
      </c>
      <c r="D44" s="34">
        <f>Generadores!C24</f>
        <v>0.18967642773659521</v>
      </c>
      <c r="E44" s="34">
        <f>Generadores!D24</f>
        <v>2.7812917754510558E-2</v>
      </c>
      <c r="F44" s="34">
        <f>Generadores!E24</f>
        <v>0.25035571190390993</v>
      </c>
      <c r="G44" s="34">
        <f>Generadores!F24</f>
        <v>-3.022211052119006E-2</v>
      </c>
      <c r="H44" s="34">
        <f>Generadores!G24</f>
        <v>-0.13982384340996545</v>
      </c>
      <c r="I44" s="34">
        <f>Generadores!H24</f>
        <v>-4.4159430902814156E-2</v>
      </c>
      <c r="J44" s="34">
        <f>Generadores!I24</f>
        <v>-1.9888627190025376E-2</v>
      </c>
      <c r="K44" s="34">
        <f>Generadores!J24</f>
        <v>-0.10006744714778959</v>
      </c>
      <c r="L44" s="34">
        <f>Generadores!K24</f>
        <v>0.11360000000000001</v>
      </c>
      <c r="M44" s="34">
        <f>Generadores!L24</f>
        <v>-8.8857589844846929E-2</v>
      </c>
    </row>
  </sheetData>
  <phoneticPr fontId="0" type="noConversion"/>
  <printOptions horizontalCentered="1" verticalCentered="1"/>
  <pageMargins left="0.51181102362204722" right="0.51181102362204722" top="0.51181102362204722" bottom="0.51181102362204722" header="0.51181102362204722" footer="0.51181102362204722"/>
  <pageSetup scale="72" firstPageNumber="7" orientation="portrait" blackAndWhite="1" horizontalDpi="300" verticalDpi="300"/>
  <headerFooter alignWithMargins="0">
    <oddHeader>&amp;C&amp;A</oddHeader>
    <oddFooter>&amp;CCia.Modelo -  EVA&amp;RPágina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222"/>
  <sheetViews>
    <sheetView showGridLines="0" topLeftCell="A35" zoomScale="80" zoomScaleNormal="80" zoomScalePageLayoutView="80" workbookViewId="0">
      <selection activeCell="F37" sqref="F37"/>
    </sheetView>
  </sheetViews>
  <sheetFormatPr baseColWidth="10" defaultRowHeight="15.75"/>
  <cols>
    <col min="1" max="1" width="3.33203125" style="439" customWidth="1"/>
    <col min="2" max="2" width="38.88671875" customWidth="1"/>
    <col min="3" max="3" width="15.5546875" customWidth="1"/>
    <col min="4" max="4" width="13.6640625" bestFit="1" customWidth="1"/>
    <col min="5" max="5" width="15.5546875" customWidth="1"/>
    <col min="6" max="6" width="13.33203125" customWidth="1"/>
    <col min="7" max="11" width="13.44140625" customWidth="1"/>
    <col min="12" max="12" width="11.88671875" bestFit="1" customWidth="1"/>
  </cols>
  <sheetData>
    <row r="1" spans="1:14" ht="9" customHeight="1"/>
    <row r="2" spans="1:14" ht="18.75">
      <c r="B2" s="655" t="s">
        <v>302</v>
      </c>
      <c r="C2" s="655"/>
      <c r="D2" s="655"/>
      <c r="E2" s="655"/>
      <c r="F2" s="655"/>
      <c r="G2" s="655"/>
      <c r="H2" s="655"/>
      <c r="I2" s="655"/>
      <c r="J2" s="655"/>
      <c r="K2" s="655"/>
    </row>
    <row r="3" spans="1:14" s="50" customFormat="1" ht="8.25" customHeight="1" thickBot="1">
      <c r="A3" s="440"/>
      <c r="B3" s="296"/>
      <c r="C3" s="296"/>
      <c r="D3" s="296"/>
      <c r="E3" s="296"/>
      <c r="F3" s="296"/>
      <c r="G3" s="296"/>
      <c r="H3" s="296"/>
      <c r="I3" s="297"/>
      <c r="J3" s="297"/>
      <c r="K3" s="297"/>
      <c r="L3" s="295"/>
      <c r="M3" s="295"/>
      <c r="N3" s="295"/>
    </row>
    <row r="4" spans="1:14" s="255" customFormat="1" ht="51" customHeight="1" thickBot="1">
      <c r="A4" s="441">
        <v>1</v>
      </c>
      <c r="B4" s="652" t="s">
        <v>1026</v>
      </c>
      <c r="C4" s="653"/>
      <c r="D4" s="653"/>
      <c r="E4" s="653"/>
      <c r="F4" s="653"/>
      <c r="G4" s="653"/>
      <c r="H4" s="653"/>
      <c r="I4" s="653"/>
      <c r="J4" s="653"/>
      <c r="K4" s="654"/>
      <c r="L4" s="319"/>
      <c r="M4" s="319"/>
      <c r="N4" s="319"/>
    </row>
    <row r="5" spans="1:14" s="255" customFormat="1" ht="18.75" customHeight="1" thickBot="1">
      <c r="A5" s="441">
        <f>+A4+1</f>
        <v>2</v>
      </c>
      <c r="B5" s="652" t="s">
        <v>1027</v>
      </c>
      <c r="C5" s="653"/>
      <c r="D5" s="653"/>
      <c r="E5" s="653"/>
      <c r="F5" s="653"/>
      <c r="G5" s="653"/>
      <c r="H5" s="653"/>
      <c r="I5" s="653"/>
      <c r="J5" s="653"/>
      <c r="K5" s="654"/>
      <c r="L5" s="319"/>
      <c r="M5" s="319"/>
      <c r="N5" s="319"/>
    </row>
    <row r="6" spans="1:14" s="255" customFormat="1" ht="15.75" customHeight="1" thickBot="1">
      <c r="A6" s="441">
        <f t="shared" ref="A6:A17" si="0">+A5+1</f>
        <v>3</v>
      </c>
      <c r="B6" s="652" t="s">
        <v>1028</v>
      </c>
      <c r="C6" s="653"/>
      <c r="D6" s="653"/>
      <c r="E6" s="653"/>
      <c r="F6" s="653"/>
      <c r="G6" s="653"/>
      <c r="H6" s="653"/>
      <c r="I6" s="653"/>
      <c r="J6" s="653"/>
      <c r="K6" s="654"/>
      <c r="L6" s="319"/>
      <c r="M6" s="319"/>
      <c r="N6" s="319"/>
    </row>
    <row r="7" spans="1:14" s="255" customFormat="1" ht="15.75" customHeight="1" thickBot="1">
      <c r="A7" s="441">
        <f t="shared" si="0"/>
        <v>4</v>
      </c>
      <c r="B7" s="652" t="s">
        <v>1029</v>
      </c>
      <c r="C7" s="653"/>
      <c r="D7" s="653"/>
      <c r="E7" s="653"/>
      <c r="F7" s="653"/>
      <c r="G7" s="653"/>
      <c r="H7" s="653"/>
      <c r="I7" s="653"/>
      <c r="J7" s="653"/>
      <c r="K7" s="654"/>
      <c r="L7" s="319"/>
      <c r="M7" s="319"/>
      <c r="N7" s="319"/>
    </row>
    <row r="8" spans="1:14" s="255" customFormat="1" ht="30" customHeight="1" thickBot="1">
      <c r="A8" s="441">
        <f t="shared" si="0"/>
        <v>5</v>
      </c>
      <c r="B8" s="652" t="s">
        <v>1030</v>
      </c>
      <c r="C8" s="653"/>
      <c r="D8" s="653"/>
      <c r="E8" s="653"/>
      <c r="F8" s="653"/>
      <c r="G8" s="653"/>
      <c r="H8" s="653"/>
      <c r="I8" s="653"/>
      <c r="J8" s="653"/>
      <c r="K8" s="654"/>
      <c r="L8" s="319"/>
      <c r="M8" s="319"/>
      <c r="N8" s="319"/>
    </row>
    <row r="9" spans="1:14" s="255" customFormat="1" ht="15.75" customHeight="1" thickBot="1">
      <c r="A9" s="441">
        <f t="shared" si="0"/>
        <v>6</v>
      </c>
      <c r="B9" s="652" t="s">
        <v>1031</v>
      </c>
      <c r="C9" s="653"/>
      <c r="D9" s="653"/>
      <c r="E9" s="653"/>
      <c r="F9" s="653"/>
      <c r="G9" s="653"/>
      <c r="H9" s="653"/>
      <c r="I9" s="653"/>
      <c r="J9" s="653"/>
      <c r="K9" s="654"/>
      <c r="L9" s="319"/>
      <c r="M9" s="319"/>
      <c r="N9" s="319"/>
    </row>
    <row r="10" spans="1:14" s="255" customFormat="1" ht="18" customHeight="1" thickBot="1">
      <c r="A10" s="441">
        <f t="shared" si="0"/>
        <v>7</v>
      </c>
      <c r="B10" s="652" t="s">
        <v>1032</v>
      </c>
      <c r="C10" s="653"/>
      <c r="D10" s="653"/>
      <c r="E10" s="653"/>
      <c r="F10" s="653"/>
      <c r="G10" s="653"/>
      <c r="H10" s="653"/>
      <c r="I10" s="653"/>
      <c r="J10" s="653"/>
      <c r="K10" s="654"/>
      <c r="L10" s="319"/>
      <c r="M10" s="319"/>
      <c r="N10" s="319"/>
    </row>
    <row r="11" spans="1:14" s="255" customFormat="1" ht="15.75" customHeight="1" thickBot="1">
      <c r="A11" s="441">
        <f t="shared" si="0"/>
        <v>8</v>
      </c>
      <c r="B11" s="652" t="s">
        <v>1033</v>
      </c>
      <c r="C11" s="653"/>
      <c r="D11" s="653"/>
      <c r="E11" s="653"/>
      <c r="F11" s="653"/>
      <c r="G11" s="653"/>
      <c r="H11" s="653"/>
      <c r="I11" s="653"/>
      <c r="J11" s="653"/>
      <c r="K11" s="654"/>
      <c r="L11" s="319"/>
      <c r="M11" s="319"/>
      <c r="N11" s="319"/>
    </row>
    <row r="12" spans="1:14" s="255" customFormat="1" ht="15.75" customHeight="1" thickBot="1">
      <c r="A12" s="441">
        <f t="shared" si="0"/>
        <v>9</v>
      </c>
      <c r="B12" s="652" t="s">
        <v>1034</v>
      </c>
      <c r="C12" s="653"/>
      <c r="D12" s="653"/>
      <c r="E12" s="653"/>
      <c r="F12" s="653"/>
      <c r="G12" s="653"/>
      <c r="H12" s="653"/>
      <c r="I12" s="653"/>
      <c r="J12" s="653"/>
      <c r="K12" s="654"/>
      <c r="L12" s="319"/>
      <c r="M12" s="319"/>
      <c r="N12" s="319"/>
    </row>
    <row r="13" spans="1:14" ht="15.75" customHeight="1" thickBot="1">
      <c r="A13" s="441">
        <f t="shared" si="0"/>
        <v>10</v>
      </c>
      <c r="B13" s="652" t="s">
        <v>1035</v>
      </c>
      <c r="C13" s="653"/>
      <c r="D13" s="653"/>
      <c r="E13" s="653"/>
      <c r="F13" s="653"/>
      <c r="G13" s="653"/>
      <c r="H13" s="653"/>
      <c r="I13" s="653"/>
      <c r="J13" s="653"/>
      <c r="K13" s="654"/>
      <c r="L13" s="302"/>
      <c r="M13" s="302"/>
      <c r="N13" s="302"/>
    </row>
    <row r="14" spans="1:14" ht="33.75" customHeight="1" thickBot="1">
      <c r="A14" s="441">
        <f t="shared" si="0"/>
        <v>11</v>
      </c>
      <c r="B14" s="652" t="s">
        <v>1036</v>
      </c>
      <c r="C14" s="653"/>
      <c r="D14" s="653"/>
      <c r="E14" s="653"/>
      <c r="F14" s="653"/>
      <c r="G14" s="653"/>
      <c r="H14" s="653"/>
      <c r="I14" s="653"/>
      <c r="J14" s="653"/>
      <c r="K14" s="654"/>
      <c r="L14" s="302"/>
      <c r="M14" s="302"/>
      <c r="N14" s="302"/>
    </row>
    <row r="15" spans="1:14" ht="16.5" thickBot="1">
      <c r="A15" s="441">
        <f t="shared" si="0"/>
        <v>12</v>
      </c>
      <c r="B15" s="656" t="s">
        <v>1037</v>
      </c>
      <c r="C15" s="656"/>
      <c r="D15" s="656"/>
      <c r="E15" s="656"/>
      <c r="F15" s="656"/>
      <c r="G15" s="656"/>
      <c r="H15" s="656"/>
      <c r="I15" s="656"/>
      <c r="J15" s="656"/>
      <c r="K15" s="656"/>
      <c r="L15" s="302"/>
      <c r="M15" s="302"/>
      <c r="N15" s="302"/>
    </row>
    <row r="16" spans="1:14">
      <c r="A16" s="441">
        <f t="shared" si="0"/>
        <v>13</v>
      </c>
      <c r="B16" s="656" t="s">
        <v>1038</v>
      </c>
      <c r="C16" s="656"/>
      <c r="D16" s="656"/>
      <c r="E16" s="656"/>
      <c r="F16" s="656"/>
      <c r="G16" s="656"/>
      <c r="H16" s="656"/>
      <c r="I16" s="656"/>
      <c r="J16" s="656"/>
      <c r="K16" s="656"/>
      <c r="L16" s="302"/>
      <c r="M16" s="302"/>
      <c r="N16" s="302"/>
    </row>
    <row r="17" spans="1:14" ht="30" customHeight="1">
      <c r="A17" s="441">
        <f t="shared" si="0"/>
        <v>14</v>
      </c>
      <c r="B17" s="657" t="s">
        <v>1039</v>
      </c>
      <c r="C17" s="657"/>
      <c r="D17" s="657"/>
      <c r="E17" s="657"/>
      <c r="F17" s="657"/>
      <c r="G17" s="657"/>
      <c r="H17" s="657"/>
      <c r="I17" s="657"/>
      <c r="J17" s="657"/>
      <c r="K17" s="657"/>
      <c r="L17" s="302"/>
      <c r="M17" s="302"/>
      <c r="N17" s="302"/>
    </row>
    <row r="18" spans="1:14" ht="15.75" customHeight="1">
      <c r="A18" s="441">
        <v>15</v>
      </c>
      <c r="B18" s="657" t="s">
        <v>1040</v>
      </c>
      <c r="C18" s="657"/>
      <c r="D18" s="657"/>
      <c r="E18" s="657"/>
      <c r="F18" s="657"/>
      <c r="G18" s="657"/>
      <c r="H18" s="657"/>
      <c r="I18" s="657"/>
      <c r="J18" s="657"/>
      <c r="K18" s="657"/>
      <c r="L18" s="302"/>
      <c r="M18" s="302"/>
      <c r="N18" s="302"/>
    </row>
    <row r="19" spans="1:14" ht="15.75" customHeight="1">
      <c r="A19" s="441">
        <v>16</v>
      </c>
      <c r="B19" s="657" t="s">
        <v>1109</v>
      </c>
      <c r="C19" s="657"/>
      <c r="D19" s="657"/>
      <c r="E19" s="657"/>
      <c r="F19" s="657"/>
      <c r="G19" s="657"/>
      <c r="H19" s="657"/>
      <c r="I19" s="657"/>
      <c r="J19" s="657"/>
      <c r="K19" s="657"/>
      <c r="L19" s="302"/>
      <c r="M19" s="302"/>
      <c r="N19" s="302"/>
    </row>
    <row r="20" spans="1:14" ht="15.75" customHeight="1">
      <c r="A20" s="441">
        <v>17</v>
      </c>
      <c r="B20" s="657" t="s">
        <v>1082</v>
      </c>
      <c r="C20" s="657"/>
      <c r="D20" s="657"/>
      <c r="E20" s="657"/>
      <c r="F20" s="657"/>
      <c r="G20" s="657"/>
      <c r="H20" s="657"/>
      <c r="I20" s="657"/>
      <c r="J20" s="657"/>
      <c r="K20" s="657"/>
      <c r="L20" s="302"/>
      <c r="M20" s="302"/>
      <c r="N20" s="302"/>
    </row>
    <row r="21" spans="1:14" ht="15.75" customHeight="1">
      <c r="A21" s="441">
        <v>18</v>
      </c>
      <c r="B21" s="657" t="s">
        <v>1108</v>
      </c>
      <c r="C21" s="657"/>
      <c r="D21" s="657"/>
      <c r="E21" s="657"/>
      <c r="F21" s="657"/>
      <c r="G21" s="657"/>
      <c r="H21" s="657"/>
      <c r="I21" s="657"/>
      <c r="J21" s="657"/>
      <c r="K21" s="657"/>
      <c r="L21" s="302"/>
      <c r="M21" s="302"/>
      <c r="N21" s="302"/>
    </row>
    <row r="22" spans="1:14" ht="15.75" customHeight="1">
      <c r="A22" s="441">
        <v>19</v>
      </c>
      <c r="B22" s="657" t="s">
        <v>1083</v>
      </c>
      <c r="C22" s="657"/>
      <c r="D22" s="657"/>
      <c r="E22" s="657"/>
      <c r="F22" s="657"/>
      <c r="G22" s="657"/>
      <c r="H22" s="657"/>
      <c r="I22" s="657"/>
      <c r="J22" s="657"/>
      <c r="K22" s="657"/>
      <c r="L22" s="302"/>
      <c r="M22" s="302"/>
      <c r="N22" s="302"/>
    </row>
    <row r="23" spans="1:14" ht="18.75" customHeight="1">
      <c r="A23" s="442"/>
      <c r="B23" s="366"/>
      <c r="C23" s="366"/>
      <c r="D23" s="366"/>
      <c r="E23" s="366"/>
      <c r="F23" s="366"/>
      <c r="G23" s="366"/>
      <c r="H23" s="366"/>
      <c r="I23" s="366"/>
      <c r="J23" s="366"/>
      <c r="K23" s="366"/>
      <c r="L23" s="302"/>
      <c r="M23" s="302"/>
      <c r="N23" s="302"/>
    </row>
    <row r="24" spans="1:14" s="50" customFormat="1" ht="16.5" thickBot="1">
      <c r="A24" s="440"/>
      <c r="B24" s="294" t="s">
        <v>351</v>
      </c>
      <c r="C24" s="298"/>
      <c r="D24" s="298"/>
      <c r="E24" s="298"/>
      <c r="F24" s="298"/>
      <c r="G24" s="298"/>
      <c r="H24" s="298"/>
      <c r="I24" s="299"/>
      <c r="J24" s="299"/>
      <c r="K24" s="299"/>
      <c r="L24" s="295"/>
      <c r="M24" s="295"/>
      <c r="N24" s="295"/>
    </row>
    <row r="25" spans="1:14" s="48" customFormat="1" ht="16.5" thickBot="1">
      <c r="A25" s="443"/>
      <c r="B25" s="301" t="s">
        <v>348</v>
      </c>
      <c r="C25" s="301">
        <v>2011</v>
      </c>
      <c r="D25" s="301">
        <v>2012</v>
      </c>
      <c r="E25" s="301">
        <v>2013</v>
      </c>
      <c r="F25" s="301" t="s">
        <v>342</v>
      </c>
      <c r="G25" s="301" t="s">
        <v>343</v>
      </c>
      <c r="H25" s="301" t="s">
        <v>344</v>
      </c>
      <c r="I25" s="301" t="s">
        <v>345</v>
      </c>
      <c r="J25" s="301" t="s">
        <v>346</v>
      </c>
      <c r="K25" s="301" t="s">
        <v>347</v>
      </c>
      <c r="L25" s="300"/>
      <c r="M25" s="300"/>
      <c r="N25" s="300"/>
    </row>
    <row r="26" spans="1:14" ht="16.5" thickBot="1">
      <c r="A26" s="442"/>
      <c r="B26" s="559" t="s">
        <v>303</v>
      </c>
      <c r="C26" s="548"/>
      <c r="D26" s="548"/>
      <c r="E26" s="548"/>
      <c r="F26" s="552">
        <f>+F83</f>
        <v>1.1474649917365021E-2</v>
      </c>
      <c r="G26" s="552">
        <f>+G83</f>
        <v>1.1363778701793059E-2</v>
      </c>
      <c r="H26" s="552">
        <f>+H83</f>
        <v>1.1291795672940586E-2</v>
      </c>
      <c r="I26" s="552">
        <f>+H26</f>
        <v>1.1291795672940586E-2</v>
      </c>
      <c r="J26" s="552">
        <f>+I26</f>
        <v>1.1291795672940586E-2</v>
      </c>
      <c r="K26" s="552">
        <f>+J26</f>
        <v>1.1291795672940586E-2</v>
      </c>
      <c r="L26" s="302"/>
      <c r="M26" s="302"/>
      <c r="N26" s="302"/>
    </row>
    <row r="27" spans="1:14" ht="16.5" thickBot="1">
      <c r="A27" s="442"/>
      <c r="B27" s="559" t="s">
        <v>359</v>
      </c>
      <c r="C27" s="548"/>
      <c r="D27" s="548"/>
      <c r="E27" s="548"/>
      <c r="F27" s="552">
        <v>0.10299999999999999</v>
      </c>
      <c r="G27" s="552">
        <v>5.5800000000000002E-2</v>
      </c>
      <c r="H27" s="552">
        <v>4.4999999999999998E-2</v>
      </c>
      <c r="I27" s="552">
        <v>4.3400000000000001E-2</v>
      </c>
      <c r="J27" s="552">
        <f>+I27</f>
        <v>4.3400000000000001E-2</v>
      </c>
      <c r="K27" s="552">
        <f>+J27</f>
        <v>4.3400000000000001E-2</v>
      </c>
      <c r="L27" s="302"/>
      <c r="M27" s="302"/>
      <c r="N27" s="302"/>
    </row>
    <row r="28" spans="1:14" ht="16.5" thickBot="1">
      <c r="A28" s="442"/>
      <c r="B28" s="559" t="s">
        <v>1000</v>
      </c>
      <c r="C28" s="548"/>
      <c r="D28" s="548"/>
      <c r="E28" s="548"/>
      <c r="F28" s="552">
        <v>2.7099999999999999E-2</v>
      </c>
      <c r="G28" s="552">
        <v>3.5099999999999999E-2</v>
      </c>
      <c r="H28" s="552">
        <v>3.7199999999999997E-2</v>
      </c>
      <c r="I28" s="552">
        <v>3.7999999999999999E-2</v>
      </c>
      <c r="J28" s="552">
        <f>+I28</f>
        <v>3.7999999999999999E-2</v>
      </c>
      <c r="K28" s="552">
        <f>+J28</f>
        <v>3.7999999999999999E-2</v>
      </c>
      <c r="L28" s="302"/>
      <c r="M28" s="302"/>
      <c r="N28" s="302"/>
    </row>
    <row r="29" spans="1:14" s="42" customFormat="1" ht="16.5" thickBot="1">
      <c r="A29" s="443"/>
      <c r="B29" s="567" t="s">
        <v>998</v>
      </c>
      <c r="C29" s="549"/>
      <c r="D29" s="549"/>
      <c r="E29" s="549"/>
      <c r="F29" s="553">
        <f t="shared" ref="F29:K29" si="1">((1+F26)*(1+F27)*(1+F28)*(1+F34))-1</f>
        <v>0.14589083106192824</v>
      </c>
      <c r="G29" s="553">
        <f t="shared" si="1"/>
        <v>0.10527758305547574</v>
      </c>
      <c r="H29" s="553">
        <f t="shared" si="1"/>
        <v>9.6112883743212585E-2</v>
      </c>
      <c r="I29" s="553">
        <f t="shared" si="1"/>
        <v>9.5278770270141866E-2</v>
      </c>
      <c r="J29" s="553">
        <f t="shared" si="1"/>
        <v>9.5278770270141866E-2</v>
      </c>
      <c r="K29" s="553">
        <f t="shared" si="1"/>
        <v>9.5278770270141866E-2</v>
      </c>
      <c r="L29" s="303"/>
      <c r="M29" s="303"/>
      <c r="N29" s="303"/>
    </row>
    <row r="30" spans="1:14" ht="16.5" thickBot="1">
      <c r="A30" s="442"/>
      <c r="B30" s="559" t="s">
        <v>1023</v>
      </c>
      <c r="C30" s="548"/>
      <c r="D30" s="548"/>
      <c r="E30" s="548"/>
      <c r="F30" s="552">
        <f>3.56%*(1+F36)</f>
        <v>3.56E-2</v>
      </c>
      <c r="G30" s="552">
        <f>3.06%*(1+F36)</f>
        <v>3.0600000000000002E-2</v>
      </c>
      <c r="H30" s="552">
        <f>3.14%*(1+F36)</f>
        <v>3.1400000000000004E-2</v>
      </c>
      <c r="I30" s="552">
        <f>3.1%*(1+F36)</f>
        <v>3.1E-2</v>
      </c>
      <c r="J30" s="552">
        <f t="shared" ref="J30:K32" si="2">+I30</f>
        <v>3.1E-2</v>
      </c>
      <c r="K30" s="552">
        <f t="shared" si="2"/>
        <v>3.1E-2</v>
      </c>
      <c r="L30" s="302"/>
      <c r="M30" s="302"/>
      <c r="N30" s="302"/>
    </row>
    <row r="31" spans="1:14" ht="16.5" thickBot="1">
      <c r="A31" s="442"/>
      <c r="B31" s="559" t="s">
        <v>1025</v>
      </c>
      <c r="C31" s="548"/>
      <c r="D31" s="548"/>
      <c r="E31" s="548"/>
      <c r="F31" s="552">
        <v>4.2000000000000003E-2</v>
      </c>
      <c r="G31" s="552">
        <f>3.5%*(1+G35)</f>
        <v>3.5000000000000003E-2</v>
      </c>
      <c r="H31" s="552">
        <f>+G31</f>
        <v>3.5000000000000003E-2</v>
      </c>
      <c r="I31" s="552">
        <f>+H31</f>
        <v>3.5000000000000003E-2</v>
      </c>
      <c r="J31" s="552">
        <f t="shared" si="2"/>
        <v>3.5000000000000003E-2</v>
      </c>
      <c r="K31" s="552">
        <f t="shared" si="2"/>
        <v>3.5000000000000003E-2</v>
      </c>
      <c r="L31" s="302"/>
      <c r="M31" s="302"/>
      <c r="N31" s="302"/>
    </row>
    <row r="32" spans="1:14" ht="16.5" thickBot="1">
      <c r="A32" s="442"/>
      <c r="B32" s="559" t="s">
        <v>1024</v>
      </c>
      <c r="C32" s="548"/>
      <c r="D32" s="548"/>
      <c r="E32" s="548"/>
      <c r="F32" s="552">
        <v>0.04</v>
      </c>
      <c r="G32" s="552">
        <f>4%*(1+G35)</f>
        <v>0.04</v>
      </c>
      <c r="H32" s="552">
        <f>+G32</f>
        <v>0.04</v>
      </c>
      <c r="I32" s="552">
        <f>+H32</f>
        <v>0.04</v>
      </c>
      <c r="J32" s="552">
        <f t="shared" si="2"/>
        <v>0.04</v>
      </c>
      <c r="K32" s="552">
        <f t="shared" si="2"/>
        <v>0.04</v>
      </c>
      <c r="L32" s="302"/>
      <c r="M32" s="302"/>
      <c r="N32" s="302"/>
    </row>
    <row r="33" spans="1:14" ht="16.5" thickBot="1">
      <c r="A33" s="442"/>
      <c r="B33" s="559" t="s">
        <v>1041</v>
      </c>
      <c r="C33" s="548"/>
      <c r="D33" s="548"/>
      <c r="E33" s="548"/>
      <c r="F33" s="552">
        <v>0.50600000000000001</v>
      </c>
      <c r="G33" s="548"/>
      <c r="H33" s="548"/>
      <c r="I33" s="548"/>
      <c r="J33" s="548"/>
      <c r="K33" s="548"/>
      <c r="L33" s="302"/>
      <c r="M33" s="302"/>
      <c r="N33" s="302"/>
    </row>
    <row r="34" spans="1:14" ht="16.5" thickBot="1">
      <c r="A34" s="442"/>
      <c r="B34" s="559" t="s">
        <v>1057</v>
      </c>
      <c r="C34" s="548"/>
      <c r="D34" s="548"/>
      <c r="E34" s="548"/>
      <c r="F34" s="466">
        <v>0</v>
      </c>
      <c r="G34" s="552">
        <f>+F34</f>
        <v>0</v>
      </c>
      <c r="H34" s="552">
        <f t="shared" ref="H34:K35" si="3">+G34</f>
        <v>0</v>
      </c>
      <c r="I34" s="552">
        <f t="shared" si="3"/>
        <v>0</v>
      </c>
      <c r="J34" s="552">
        <f t="shared" si="3"/>
        <v>0</v>
      </c>
      <c r="K34" s="552">
        <f t="shared" si="3"/>
        <v>0</v>
      </c>
      <c r="L34" s="302"/>
      <c r="M34" s="302"/>
      <c r="N34" s="302"/>
    </row>
    <row r="35" spans="1:14" ht="16.5" thickBot="1">
      <c r="A35" s="442"/>
      <c r="B35" s="559" t="s">
        <v>1058</v>
      </c>
      <c r="C35" s="548"/>
      <c r="D35" s="548"/>
      <c r="E35" s="548"/>
      <c r="F35" s="466">
        <v>0</v>
      </c>
      <c r="G35" s="552">
        <f>+F35</f>
        <v>0</v>
      </c>
      <c r="H35" s="552">
        <f t="shared" si="3"/>
        <v>0</v>
      </c>
      <c r="I35" s="552">
        <f t="shared" si="3"/>
        <v>0</v>
      </c>
      <c r="J35" s="552">
        <f t="shared" si="3"/>
        <v>0</v>
      </c>
      <c r="K35" s="552">
        <f t="shared" si="3"/>
        <v>0</v>
      </c>
      <c r="L35" s="302"/>
      <c r="M35" s="302"/>
      <c r="N35" s="302"/>
    </row>
    <row r="36" spans="1:14" ht="16.5" thickBot="1">
      <c r="A36" s="442"/>
      <c r="B36" s="566" t="s">
        <v>1066</v>
      </c>
      <c r="C36" s="550"/>
      <c r="D36" s="551"/>
      <c r="E36" s="548"/>
      <c r="F36" s="466">
        <v>0</v>
      </c>
      <c r="G36" s="554"/>
      <c r="H36" s="554"/>
      <c r="I36" s="554"/>
      <c r="J36" s="554"/>
      <c r="K36" s="554"/>
      <c r="L36" s="302"/>
      <c r="M36" s="302"/>
      <c r="N36" s="302"/>
    </row>
    <row r="37" spans="1:14" s="50" customFormat="1" ht="16.5" thickBot="1">
      <c r="A37" s="440"/>
      <c r="B37" s="462"/>
      <c r="C37" s="299"/>
      <c r="D37" s="463"/>
      <c r="E37" s="464"/>
      <c r="F37" s="465"/>
      <c r="G37" s="299"/>
      <c r="H37" s="299"/>
      <c r="I37" s="299"/>
      <c r="J37" s="299"/>
      <c r="K37" s="299"/>
      <c r="L37" s="295"/>
      <c r="M37" s="295"/>
      <c r="N37" s="295"/>
    </row>
    <row r="38" spans="1:14" ht="15.75" customHeight="1" thickBot="1">
      <c r="A38" s="442"/>
      <c r="B38" s="304"/>
      <c r="C38" s="305"/>
      <c r="D38" s="660" t="s">
        <v>1043</v>
      </c>
      <c r="E38" s="547" t="s">
        <v>1044</v>
      </c>
      <c r="F38" s="552">
        <f>+F33*22%</f>
        <v>0.11132</v>
      </c>
      <c r="G38" s="43"/>
      <c r="H38" s="308"/>
      <c r="I38" s="307"/>
      <c r="J38" s="307"/>
      <c r="K38" s="307"/>
      <c r="L38" s="302"/>
      <c r="M38" s="302"/>
      <c r="N38" s="302"/>
    </row>
    <row r="39" spans="1:14" ht="16.5" thickBot="1">
      <c r="A39" s="442"/>
      <c r="B39" s="304"/>
      <c r="C39" s="305"/>
      <c r="D39" s="661"/>
      <c r="E39" s="547" t="s">
        <v>1042</v>
      </c>
      <c r="F39" s="552">
        <f>+F33*78%</f>
        <v>0.39468000000000003</v>
      </c>
      <c r="G39" s="43"/>
      <c r="H39" s="308"/>
      <c r="I39" s="307"/>
      <c r="J39" s="307"/>
      <c r="K39" s="307"/>
      <c r="L39" s="302"/>
      <c r="M39" s="302"/>
      <c r="N39" s="302"/>
    </row>
    <row r="40" spans="1:14" ht="16.5" thickBot="1">
      <c r="A40" s="442"/>
      <c r="B40" s="294" t="s">
        <v>368</v>
      </c>
      <c r="C40" s="307"/>
      <c r="D40" s="307"/>
      <c r="E40" s="307"/>
      <c r="J40" s="307"/>
      <c r="K40" s="307"/>
      <c r="L40" s="302"/>
      <c r="M40" s="302"/>
      <c r="N40" s="302"/>
    </row>
    <row r="41" spans="1:14" ht="16.5" thickBot="1">
      <c r="A41" s="442"/>
      <c r="B41" s="301" t="s">
        <v>348</v>
      </c>
      <c r="C41" s="301">
        <v>2011</v>
      </c>
      <c r="D41" s="301">
        <v>2012</v>
      </c>
      <c r="E41" s="301">
        <v>2013</v>
      </c>
      <c r="F41" s="301" t="s">
        <v>342</v>
      </c>
      <c r="G41" s="301" t="s">
        <v>343</v>
      </c>
      <c r="H41" s="301" t="s">
        <v>344</v>
      </c>
      <c r="I41" s="301" t="s">
        <v>345</v>
      </c>
      <c r="J41" s="301" t="s">
        <v>346</v>
      </c>
      <c r="K41" s="301" t="s">
        <v>347</v>
      </c>
      <c r="L41" s="302"/>
      <c r="M41" s="302"/>
      <c r="N41" s="302"/>
    </row>
    <row r="42" spans="1:14" ht="16.5" thickBot="1">
      <c r="A42" s="442"/>
      <c r="B42" s="559" t="s">
        <v>349</v>
      </c>
      <c r="C42" s="548"/>
      <c r="D42" s="548"/>
      <c r="E42" s="555">
        <f>+TRM!G4</f>
        <v>1868.6615573770505</v>
      </c>
      <c r="F42" s="555">
        <f>2025*(1+F43)</f>
        <v>2025</v>
      </c>
      <c r="G42" s="555">
        <f>2150*(1+F43)</f>
        <v>2150</v>
      </c>
      <c r="H42" s="555">
        <f>2250*(1+F43)</f>
        <v>2250</v>
      </c>
      <c r="I42" s="555">
        <f>2340*(1+F43)</f>
        <v>2340</v>
      </c>
      <c r="J42" s="555">
        <f>2340*(1+F43)</f>
        <v>2340</v>
      </c>
      <c r="K42" s="555">
        <f>2340*(1+F43)</f>
        <v>2340</v>
      </c>
      <c r="L42" s="302"/>
      <c r="M42" s="302"/>
      <c r="N42" s="302"/>
    </row>
    <row r="43" spans="1:14">
      <c r="A43" s="442"/>
      <c r="B43" s="566" t="s">
        <v>1060</v>
      </c>
      <c r="C43" s="550"/>
      <c r="D43" s="550"/>
      <c r="E43" s="556"/>
      <c r="F43" s="468">
        <v>0</v>
      </c>
      <c r="G43" s="557"/>
      <c r="H43" s="557"/>
      <c r="I43" s="557"/>
      <c r="J43" s="557"/>
      <c r="K43" s="557"/>
      <c r="L43" s="302"/>
      <c r="M43" s="302"/>
      <c r="N43" s="302"/>
    </row>
    <row r="44" spans="1:14">
      <c r="A44" s="442"/>
      <c r="B44" s="307"/>
      <c r="C44" s="307"/>
      <c r="D44" s="308"/>
      <c r="E44" s="306"/>
      <c r="F44" s="306"/>
      <c r="G44" s="307"/>
      <c r="H44" s="307"/>
      <c r="I44" s="307"/>
      <c r="J44" s="307"/>
      <c r="K44" s="307"/>
      <c r="L44" s="302"/>
      <c r="M44" s="302"/>
      <c r="N44" s="302"/>
    </row>
    <row r="45" spans="1:14" ht="16.5" thickBot="1">
      <c r="A45" s="442"/>
      <c r="B45" s="294" t="s">
        <v>350</v>
      </c>
      <c r="C45" s="307"/>
      <c r="D45" s="307"/>
      <c r="E45" s="307">
        <f>+E49+E50</f>
        <v>23536896</v>
      </c>
      <c r="F45" s="307">
        <f>+F49+F50</f>
        <v>33149721.509691708</v>
      </c>
      <c r="G45" s="306"/>
      <c r="H45" s="307"/>
      <c r="I45" s="307"/>
      <c r="J45" s="307"/>
      <c r="K45" s="307"/>
      <c r="L45" s="302"/>
      <c r="M45" s="302"/>
      <c r="N45" s="302"/>
    </row>
    <row r="46" spans="1:14" s="49" customFormat="1" ht="16.5" thickBot="1">
      <c r="A46" s="443"/>
      <c r="B46" s="301" t="s">
        <v>1004</v>
      </c>
      <c r="C46" s="301">
        <v>2011</v>
      </c>
      <c r="D46" s="301">
        <v>2012</v>
      </c>
      <c r="E46" s="301">
        <v>2013</v>
      </c>
      <c r="F46" s="301" t="s">
        <v>342</v>
      </c>
      <c r="G46" s="301" t="s">
        <v>343</v>
      </c>
      <c r="H46" s="301" t="s">
        <v>344</v>
      </c>
      <c r="I46" s="301" t="s">
        <v>345</v>
      </c>
      <c r="J46" s="301" t="s">
        <v>346</v>
      </c>
      <c r="K46" s="301" t="s">
        <v>347</v>
      </c>
      <c r="L46" s="300"/>
      <c r="M46" s="300"/>
      <c r="N46" s="300"/>
    </row>
    <row r="47" spans="1:14" ht="16.5" thickBot="1">
      <c r="A47" s="442"/>
      <c r="B47" s="559" t="s">
        <v>362</v>
      </c>
      <c r="C47" s="555"/>
      <c r="D47" s="555">
        <f>+'Estado de resultados'!$K$7+'Estado de resultados'!$K$9</f>
        <v>116446315</v>
      </c>
      <c r="E47" s="555">
        <f>+'Estado de resultados'!$L$7+'Estado de resultados'!$L$9</f>
        <v>140399282</v>
      </c>
      <c r="F47" s="555">
        <f>+E47*(1+F29)</f>
        <v>160882249.93147802</v>
      </c>
      <c r="G47" s="555">
        <f>+F47*(1+G29)</f>
        <v>177819544.360791</v>
      </c>
      <c r="H47" s="555">
        <f>+G47*(1+H29)</f>
        <v>194910293.55521074</v>
      </c>
      <c r="I47" s="555">
        <f>+H47*(1+I29)</f>
        <v>213481106.63814357</v>
      </c>
      <c r="J47" s="555">
        <f>+H47*(1+J29)</f>
        <v>213481106.63814357</v>
      </c>
      <c r="K47" s="555">
        <f>+H47*(1+K29)</f>
        <v>213481106.63814357</v>
      </c>
      <c r="L47" s="302"/>
      <c r="M47" s="302"/>
      <c r="N47" s="302"/>
    </row>
    <row r="48" spans="1:14" ht="16.5" thickBot="1">
      <c r="A48" s="442"/>
      <c r="B48" s="559" t="s">
        <v>363</v>
      </c>
      <c r="C48" s="555"/>
      <c r="D48" s="555">
        <f>+'Estado de resultados'!$N$7</f>
        <v>4805174</v>
      </c>
      <c r="E48" s="555">
        <f>+'Estado de resultados'!$O$7</f>
        <v>25034042</v>
      </c>
      <c r="F48" s="555">
        <f>+E48*(1+F29)</f>
        <v>28686279.192219216</v>
      </c>
      <c r="G48" s="555">
        <f>+F48*(1+G29)</f>
        <v>31706301.332430642</v>
      </c>
      <c r="H48" s="555">
        <f>+G48*(1+H29)</f>
        <v>34753685.386321813</v>
      </c>
      <c r="I48" s="555">
        <f>+H48*(1+I29)</f>
        <v>38064973.792285956</v>
      </c>
      <c r="J48" s="555">
        <f>+H48*(1+J29)</f>
        <v>38064973.792285956</v>
      </c>
      <c r="K48" s="555">
        <f>+H48*(1+K29)</f>
        <v>38064973.792285956</v>
      </c>
      <c r="L48" s="302"/>
      <c r="M48" s="302"/>
      <c r="N48" s="302"/>
    </row>
    <row r="49" spans="1:14" ht="16.5" thickBot="1">
      <c r="A49" s="442"/>
      <c r="B49" s="559" t="s">
        <v>364</v>
      </c>
      <c r="C49" s="555"/>
      <c r="D49" s="555">
        <f>+'Estado de resultados'!$K$8</f>
        <v>8315277</v>
      </c>
      <c r="E49" s="555">
        <f>+'Estado de resultados'!$L$8</f>
        <v>7891069</v>
      </c>
      <c r="F49" s="555">
        <f t="shared" ref="F49:K49" si="4">+F55*F42</f>
        <v>9503188.5801265091</v>
      </c>
      <c r="G49" s="555">
        <f t="shared" si="4"/>
        <v>10468172.852614664</v>
      </c>
      <c r="H49" s="555">
        <f t="shared" si="4"/>
        <v>11365879.536196446</v>
      </c>
      <c r="I49" s="555">
        <f t="shared" si="4"/>
        <v>12263784.019555965</v>
      </c>
      <c r="J49" s="555">
        <f t="shared" si="4"/>
        <v>12263784.019555965</v>
      </c>
      <c r="K49" s="555">
        <f t="shared" si="4"/>
        <v>12263784.019555965</v>
      </c>
      <c r="L49" s="302"/>
      <c r="M49" s="302"/>
      <c r="N49" s="302"/>
    </row>
    <row r="50" spans="1:14" ht="16.5" thickBot="1">
      <c r="A50" s="442"/>
      <c r="B50" s="559" t="s">
        <v>365</v>
      </c>
      <c r="C50" s="555"/>
      <c r="D50" s="555">
        <f>+'Estado de resultados'!$N$8</f>
        <v>3606864</v>
      </c>
      <c r="E50" s="555">
        <f>+'Estado de resultados'!$O$8</f>
        <v>15645827</v>
      </c>
      <c r="F50" s="555">
        <f t="shared" ref="F50:K50" si="5">+F56*F42</f>
        <v>23646532.929565199</v>
      </c>
      <c r="G50" s="555">
        <f t="shared" si="5"/>
        <v>26047677.78568463</v>
      </c>
      <c r="H50" s="555">
        <f t="shared" si="5"/>
        <v>28281417.595794216</v>
      </c>
      <c r="I50" s="555">
        <f t="shared" si="5"/>
        <v>30515649.585861959</v>
      </c>
      <c r="J50" s="555">
        <f t="shared" si="5"/>
        <v>30515649.585861959</v>
      </c>
      <c r="K50" s="555">
        <f t="shared" si="5"/>
        <v>30515649.585861959</v>
      </c>
      <c r="L50" s="309"/>
      <c r="M50" s="302"/>
      <c r="N50" s="302"/>
    </row>
    <row r="51" spans="1:14" s="37" customFormat="1" ht="16.5" thickBot="1">
      <c r="A51" s="443"/>
      <c r="B51" s="564" t="s">
        <v>341</v>
      </c>
      <c r="C51" s="558">
        <f t="shared" ref="C51:K51" si="6">SUM(C47:C50)</f>
        <v>0</v>
      </c>
      <c r="D51" s="558">
        <f t="shared" si="6"/>
        <v>133173630</v>
      </c>
      <c r="E51" s="558">
        <f t="shared" si="6"/>
        <v>188970220</v>
      </c>
      <c r="F51" s="558">
        <f t="shared" si="6"/>
        <v>222718250.63338894</v>
      </c>
      <c r="G51" s="558">
        <f t="shared" si="6"/>
        <v>246041696.33152092</v>
      </c>
      <c r="H51" s="558">
        <f t="shared" si="6"/>
        <v>269311276.07352322</v>
      </c>
      <c r="I51" s="558">
        <f t="shared" si="6"/>
        <v>294325514.03584743</v>
      </c>
      <c r="J51" s="558">
        <f t="shared" si="6"/>
        <v>294325514.03584743</v>
      </c>
      <c r="K51" s="558">
        <f t="shared" si="6"/>
        <v>294325514.03584743</v>
      </c>
      <c r="L51" s="303"/>
      <c r="M51" s="303"/>
      <c r="N51" s="303"/>
    </row>
    <row r="52" spans="1:14">
      <c r="A52" s="442"/>
      <c r="B52" s="310"/>
      <c r="C52" s="460"/>
      <c r="D52" s="460"/>
      <c r="E52" s="460"/>
      <c r="F52" s="460"/>
      <c r="G52" s="460"/>
      <c r="H52" s="460"/>
      <c r="I52" s="460"/>
      <c r="J52" s="460"/>
      <c r="K52" s="460"/>
      <c r="L52" s="302"/>
      <c r="M52" s="302"/>
      <c r="N52" s="302"/>
    </row>
    <row r="53" spans="1:14" ht="16.5" thickBot="1">
      <c r="A53" s="442"/>
      <c r="B53" s="294" t="s">
        <v>350</v>
      </c>
      <c r="C53" s="307"/>
      <c r="D53" s="311"/>
      <c r="E53" s="311"/>
      <c r="F53" s="438"/>
      <c r="G53" s="311"/>
      <c r="H53" s="311"/>
      <c r="I53" s="311"/>
      <c r="J53" s="311"/>
      <c r="K53" s="311"/>
      <c r="L53" s="302"/>
      <c r="M53" s="302"/>
      <c r="N53" s="302"/>
    </row>
    <row r="54" spans="1:14" ht="16.5" thickBot="1">
      <c r="A54" s="442"/>
      <c r="B54" s="301" t="s">
        <v>1003</v>
      </c>
      <c r="C54" s="301">
        <v>2011</v>
      </c>
      <c r="D54" s="301">
        <v>2012</v>
      </c>
      <c r="E54" s="301">
        <v>2013</v>
      </c>
      <c r="F54" s="301" t="s">
        <v>342</v>
      </c>
      <c r="G54" s="301" t="s">
        <v>343</v>
      </c>
      <c r="H54" s="301" t="s">
        <v>344</v>
      </c>
      <c r="I54" s="301" t="s">
        <v>345</v>
      </c>
      <c r="J54" s="301" t="s">
        <v>346</v>
      </c>
      <c r="K54" s="301" t="s">
        <v>347</v>
      </c>
      <c r="L54" s="302"/>
      <c r="M54" s="302"/>
      <c r="N54" s="302"/>
    </row>
    <row r="55" spans="1:14" ht="16.5" thickBot="1">
      <c r="A55" s="442"/>
      <c r="B55" s="559" t="s">
        <v>1001</v>
      </c>
      <c r="C55" s="555"/>
      <c r="D55" s="555"/>
      <c r="E55" s="555">
        <f>+E49/E42</f>
        <v>4222.8454739960034</v>
      </c>
      <c r="F55" s="555">
        <f>+E55*(1+F38)</f>
        <v>4692.9326321612389</v>
      </c>
      <c r="G55" s="555">
        <f>+F55*(1+AVERAGE(G31:G32))</f>
        <v>4868.9176058672856</v>
      </c>
      <c r="H55" s="555">
        <f>+G55*(1+AVERAGE(H31:H32))</f>
        <v>5051.5020160873091</v>
      </c>
      <c r="I55" s="555">
        <f>+H55*(1+AVERAGE(I31:I32))</f>
        <v>5240.9333416905838</v>
      </c>
      <c r="J55" s="555">
        <f>+H55*(1+AVERAGE(J31:J32))</f>
        <v>5240.9333416905838</v>
      </c>
      <c r="K55" s="555">
        <f>+H55*(1+AVERAGE(K31:K32))</f>
        <v>5240.9333416905838</v>
      </c>
      <c r="L55" s="302"/>
      <c r="M55" s="302"/>
      <c r="N55" s="302"/>
    </row>
    <row r="56" spans="1:14" ht="16.5" thickBot="1">
      <c r="A56" s="442"/>
      <c r="B56" s="559" t="s">
        <v>1002</v>
      </c>
      <c r="C56" s="555"/>
      <c r="D56" s="555"/>
      <c r="E56" s="555">
        <f>+E50/E42</f>
        <v>8372.7451545379299</v>
      </c>
      <c r="F56" s="555">
        <f>+E56*(1+F39)</f>
        <v>11677.300212130962</v>
      </c>
      <c r="G56" s="555">
        <f>+F56*(1+AVERAGE(G31:G32))</f>
        <v>12115.198970085874</v>
      </c>
      <c r="H56" s="555">
        <f>+G56*(1+AVERAGE(H31:H32))</f>
        <v>12569.518931464096</v>
      </c>
      <c r="I56" s="555">
        <f>+H56*(1+AVERAGE(I31:I32))</f>
        <v>13040.875891394</v>
      </c>
      <c r="J56" s="555">
        <f>+H56*(1+AVERAGE(J31:J32))</f>
        <v>13040.875891394</v>
      </c>
      <c r="K56" s="555">
        <f>+H56*(1+AVERAGE(K31:K32))</f>
        <v>13040.875891394</v>
      </c>
      <c r="L56" s="302"/>
      <c r="M56" s="302"/>
      <c r="N56" s="302"/>
    </row>
    <row r="57" spans="1:14">
      <c r="A57" s="442"/>
      <c r="B57" s="310"/>
      <c r="C57" s="307"/>
      <c r="D57" s="311"/>
      <c r="E57" s="311"/>
      <c r="F57" s="311"/>
      <c r="G57" s="438"/>
      <c r="H57" s="311"/>
      <c r="I57" s="311"/>
      <c r="J57" s="311"/>
      <c r="K57" s="311"/>
      <c r="L57" s="302"/>
      <c r="M57" s="302"/>
      <c r="N57" s="302"/>
    </row>
    <row r="58" spans="1:14" ht="16.5" thickBot="1">
      <c r="A58" s="442"/>
      <c r="B58" s="294" t="s">
        <v>961</v>
      </c>
      <c r="C58" s="307"/>
      <c r="D58" s="312"/>
      <c r="E58" s="313"/>
      <c r="F58" s="306"/>
      <c r="G58" s="306"/>
      <c r="H58" s="306"/>
      <c r="I58" s="306"/>
      <c r="J58" s="306"/>
      <c r="K58" s="306"/>
      <c r="L58" s="302"/>
      <c r="M58" s="302"/>
      <c r="N58" s="302"/>
    </row>
    <row r="59" spans="1:14" ht="16.5" thickBot="1">
      <c r="A59" s="442"/>
      <c r="B59" s="321" t="s">
        <v>936</v>
      </c>
      <c r="C59" s="301">
        <v>2011</v>
      </c>
      <c r="D59" s="301">
        <v>2012</v>
      </c>
      <c r="E59" s="301">
        <v>2013</v>
      </c>
      <c r="F59" s="301" t="s">
        <v>342</v>
      </c>
      <c r="G59" s="301" t="s">
        <v>343</v>
      </c>
      <c r="H59" s="301" t="s">
        <v>344</v>
      </c>
      <c r="I59" s="301" t="s">
        <v>345</v>
      </c>
      <c r="J59" s="301" t="s">
        <v>346</v>
      </c>
      <c r="K59" s="301" t="s">
        <v>347</v>
      </c>
      <c r="L59" s="315"/>
      <c r="M59" s="302"/>
      <c r="N59" s="302"/>
    </row>
    <row r="60" spans="1:14" ht="16.5" thickBot="1">
      <c r="A60" s="442"/>
      <c r="B60" s="560" t="s">
        <v>1015</v>
      </c>
      <c r="C60" s="561"/>
      <c r="D60" s="561"/>
      <c r="E60" s="555">
        <f>+Balance!G31+Balance!G32+Balance!G44+Balance!G45</f>
        <v>52139865</v>
      </c>
      <c r="F60" s="561"/>
      <c r="G60" s="555"/>
      <c r="H60" s="555">
        <f>+'Deuda nueva'!B1</f>
        <v>15000000</v>
      </c>
      <c r="I60" s="555"/>
      <c r="J60" s="555"/>
      <c r="K60" s="555"/>
      <c r="L60" s="315"/>
      <c r="M60" s="302"/>
      <c r="N60" s="302"/>
    </row>
    <row r="61" spans="1:14" ht="16.5" thickBot="1">
      <c r="A61" s="442"/>
      <c r="B61" s="560" t="s">
        <v>1017</v>
      </c>
      <c r="C61" s="561"/>
      <c r="D61" s="561"/>
      <c r="E61" s="562"/>
      <c r="F61" s="555">
        <f>'Deuda actual '!H21</f>
        <v>11922414.279985767</v>
      </c>
      <c r="G61" s="555">
        <f>'Deuda actual '!H33</f>
        <v>12634968.618567325</v>
      </c>
      <c r="H61" s="555">
        <f>'Deuda actual '!H45</f>
        <v>13390586.914132431</v>
      </c>
      <c r="I61" s="555">
        <f>'Deuda actual '!H57</f>
        <v>14191895.187314479</v>
      </c>
      <c r="J61" s="555"/>
      <c r="K61" s="555"/>
      <c r="L61" s="316"/>
      <c r="M61" s="302"/>
      <c r="N61" s="302"/>
    </row>
    <row r="62" spans="1:14" ht="16.5" thickBot="1">
      <c r="A62" s="442"/>
      <c r="B62" s="560" t="s">
        <v>1016</v>
      </c>
      <c r="C62" s="561"/>
      <c r="D62" s="561"/>
      <c r="E62" s="562"/>
      <c r="F62" s="555"/>
      <c r="G62" s="555"/>
      <c r="H62" s="555">
        <f>'Deuda nueva'!H20</f>
        <v>3429932.4365298306</v>
      </c>
      <c r="I62" s="555">
        <f>'Deuda nueva'!H32</f>
        <v>3634925.5848382008</v>
      </c>
      <c r="J62" s="555">
        <f>'Deuda nueva'!H44</f>
        <v>3852307.705667946</v>
      </c>
      <c r="K62" s="555">
        <f>'Deuda nueva'!H56</f>
        <v>4082834.2729640212</v>
      </c>
      <c r="L62" s="316"/>
      <c r="M62" s="302"/>
      <c r="N62" s="302"/>
    </row>
    <row r="63" spans="1:14" ht="16.5" thickBot="1">
      <c r="A63" s="442"/>
      <c r="B63" s="560" t="s">
        <v>962</v>
      </c>
      <c r="C63" s="561"/>
      <c r="D63" s="561"/>
      <c r="E63" s="562"/>
      <c r="F63" s="555">
        <f>+E60-SUM(F61)</f>
        <v>40217450.720014229</v>
      </c>
      <c r="G63" s="555">
        <f>+E60-SUM(F61:G61)</f>
        <v>27582482.101446908</v>
      </c>
      <c r="H63" s="555">
        <f>(E60-SUM(F61:H61))+(H60-SUM(H62))</f>
        <v>25761962.75078465</v>
      </c>
      <c r="I63" s="555">
        <f>(E60-SUM(F61:I61))+(H60-SUM(H62:I62))</f>
        <v>7935141.9786319686</v>
      </c>
      <c r="J63" s="555">
        <f>(E60-SUM(F61:J61))+(H60-SUM(H62:J62))</f>
        <v>4082834.2729640231</v>
      </c>
      <c r="K63" s="555">
        <f>(E60-SUM(F61:K61))+(H60-SUM(H62:K62))</f>
        <v>1.862645149230957E-9</v>
      </c>
      <c r="L63" s="316"/>
      <c r="M63" s="302"/>
      <c r="N63" s="302"/>
    </row>
    <row r="64" spans="1:14">
      <c r="A64" s="442"/>
      <c r="B64" s="302"/>
      <c r="C64" s="302"/>
      <c r="D64" s="302"/>
      <c r="E64" s="302"/>
      <c r="F64" s="302"/>
      <c r="G64" s="302"/>
      <c r="H64" s="302"/>
      <c r="I64" s="302"/>
      <c r="J64" s="302"/>
      <c r="K64" s="302"/>
      <c r="L64" s="315"/>
      <c r="M64" s="314"/>
      <c r="N64" s="302"/>
    </row>
    <row r="65" spans="1:14" ht="16.5" thickBot="1">
      <c r="A65" s="442"/>
      <c r="B65" s="294" t="s">
        <v>1005</v>
      </c>
      <c r="C65" s="294"/>
      <c r="D65" s="307"/>
      <c r="E65" s="307"/>
      <c r="F65" s="307"/>
      <c r="G65" s="307"/>
      <c r="H65" s="307"/>
      <c r="I65" s="307"/>
      <c r="J65" s="307"/>
      <c r="K65" s="307"/>
      <c r="L65" s="316"/>
      <c r="M65" s="302"/>
      <c r="N65" s="302"/>
    </row>
    <row r="66" spans="1:14" ht="16.5" thickBot="1">
      <c r="A66" s="442"/>
      <c r="B66" s="321" t="s">
        <v>936</v>
      </c>
      <c r="C66" s="301">
        <v>2011</v>
      </c>
      <c r="D66" s="301">
        <v>2012</v>
      </c>
      <c r="E66" s="301">
        <v>2013</v>
      </c>
      <c r="F66" s="301" t="s">
        <v>342</v>
      </c>
      <c r="G66" s="301" t="s">
        <v>343</v>
      </c>
      <c r="H66" s="301" t="s">
        <v>344</v>
      </c>
      <c r="I66" s="301" t="s">
        <v>345</v>
      </c>
      <c r="J66" s="301" t="s">
        <v>346</v>
      </c>
      <c r="K66" s="301" t="s">
        <v>347</v>
      </c>
      <c r="L66" s="316"/>
      <c r="M66" s="302"/>
      <c r="N66" s="302"/>
    </row>
    <row r="67" spans="1:14" ht="16.5" thickBot="1">
      <c r="A67" s="442"/>
      <c r="B67" s="559" t="s">
        <v>957</v>
      </c>
      <c r="C67" s="555"/>
      <c r="D67" s="555">
        <f>+Balance!F31</f>
        <v>7145302</v>
      </c>
      <c r="E67" s="555">
        <f>+Balance!G31</f>
        <v>12505373</v>
      </c>
      <c r="F67" s="555">
        <f>+$F$71*F73</f>
        <v>9652188.172803415</v>
      </c>
      <c r="G67" s="555">
        <f>+$G$71*F73</f>
        <v>6619795.7043472575</v>
      </c>
      <c r="H67" s="555">
        <f>+$H$71*F73</f>
        <v>6182871.0601883158</v>
      </c>
      <c r="I67" s="555">
        <f>+$I$71*F73</f>
        <v>1904434.0748716723</v>
      </c>
      <c r="J67" s="555">
        <f>+$J$71*F73</f>
        <v>979880.22551136545</v>
      </c>
      <c r="K67" s="555">
        <f>+$K$71*F73</f>
        <v>4.4703483581542967E-10</v>
      </c>
      <c r="L67" s="316"/>
      <c r="M67" s="302"/>
      <c r="N67" s="302"/>
    </row>
    <row r="68" spans="1:14" ht="16.5" thickBot="1">
      <c r="A68" s="442"/>
      <c r="B68" s="559" t="s">
        <v>958</v>
      </c>
      <c r="C68" s="555"/>
      <c r="D68" s="555">
        <f>+Balance!F44</f>
        <v>0</v>
      </c>
      <c r="E68" s="555">
        <f>+Balance!G44</f>
        <v>80323</v>
      </c>
      <c r="F68" s="555">
        <f>+$F$71*F74</f>
        <v>201087.25360007116</v>
      </c>
      <c r="G68" s="555">
        <f>+$G$71*F74</f>
        <v>137912.41050723454</v>
      </c>
      <c r="H68" s="555">
        <f>+$H$71*F74</f>
        <v>128809.81375392326</v>
      </c>
      <c r="I68" s="555">
        <f>+$I$71*F74</f>
        <v>39675.709893159845</v>
      </c>
      <c r="J68" s="555">
        <f>+$J$71*F74</f>
        <v>20414.171364820115</v>
      </c>
      <c r="K68" s="555">
        <f>+$K$71*F74</f>
        <v>9.3132257461547854E-12</v>
      </c>
      <c r="L68" s="308"/>
      <c r="M68" s="302"/>
      <c r="N68" s="302"/>
    </row>
    <row r="69" spans="1:14" ht="16.5" thickBot="1">
      <c r="A69" s="442"/>
      <c r="B69" s="559" t="s">
        <v>959</v>
      </c>
      <c r="C69" s="555"/>
      <c r="D69" s="555">
        <f>+Balance!F32</f>
        <v>0</v>
      </c>
      <c r="E69" s="555">
        <f>+Balance!G32</f>
        <v>92197</v>
      </c>
      <c r="F69" s="555">
        <f>+$F$71*F75</f>
        <v>402174.50720014231</v>
      </c>
      <c r="G69" s="555">
        <f>+$G$71*F75</f>
        <v>275824.82101446908</v>
      </c>
      <c r="H69" s="555">
        <f>+$H$71*F75</f>
        <v>257619.62750784651</v>
      </c>
      <c r="I69" s="555">
        <f>+$I$71*F75</f>
        <v>79351.41978631969</v>
      </c>
      <c r="J69" s="555">
        <f>+$J$71*F75</f>
        <v>40828.34272964023</v>
      </c>
      <c r="K69" s="555">
        <f>+$K$71*F75</f>
        <v>1.8626451492309571E-11</v>
      </c>
      <c r="L69" s="308"/>
      <c r="M69" s="302"/>
      <c r="N69" s="302"/>
    </row>
    <row r="70" spans="1:14" ht="16.5" thickBot="1">
      <c r="A70" s="442"/>
      <c r="B70" s="559" t="s">
        <v>960</v>
      </c>
      <c r="C70" s="555"/>
      <c r="D70" s="555">
        <f>+Balance!F45</f>
        <v>55991060</v>
      </c>
      <c r="E70" s="555">
        <f>+Balance!G45</f>
        <v>39461972</v>
      </c>
      <c r="F70" s="555">
        <f>+$F$71*F76</f>
        <v>29962000.7864106</v>
      </c>
      <c r="G70" s="555">
        <f>+$G$71*F76</f>
        <v>20548949.165577948</v>
      </c>
      <c r="H70" s="555">
        <f>+$H$71*F76</f>
        <v>19192662.249334566</v>
      </c>
      <c r="I70" s="555">
        <f>+$I$71*F76</f>
        <v>5911680.7740808167</v>
      </c>
      <c r="J70" s="555">
        <f>+$J$71*F76</f>
        <v>3041711.5333581972</v>
      </c>
      <c r="K70" s="555">
        <f>+$K$71*F76</f>
        <v>1.387670636177063E-9</v>
      </c>
      <c r="L70" s="308"/>
      <c r="M70" s="302"/>
      <c r="N70" s="302"/>
    </row>
    <row r="71" spans="1:14" ht="16.5" thickBot="1">
      <c r="A71" s="442"/>
      <c r="B71" s="564" t="s">
        <v>361</v>
      </c>
      <c r="C71" s="555"/>
      <c r="D71" s="558">
        <f>SUM(D67:D70)</f>
        <v>63136362</v>
      </c>
      <c r="E71" s="558">
        <f>SUM(E67:E70)</f>
        <v>52139865</v>
      </c>
      <c r="F71" s="558">
        <f t="shared" ref="F71:K71" si="7">+F63</f>
        <v>40217450.720014229</v>
      </c>
      <c r="G71" s="558">
        <f t="shared" si="7"/>
        <v>27582482.101446908</v>
      </c>
      <c r="H71" s="558">
        <f t="shared" si="7"/>
        <v>25761962.75078465</v>
      </c>
      <c r="I71" s="558">
        <f t="shared" si="7"/>
        <v>7935141.9786319686</v>
      </c>
      <c r="J71" s="558">
        <f t="shared" si="7"/>
        <v>4082834.2729640231</v>
      </c>
      <c r="K71" s="558">
        <f t="shared" si="7"/>
        <v>1.862645149230957E-9</v>
      </c>
      <c r="L71" s="308"/>
      <c r="M71" s="302"/>
      <c r="N71" s="302"/>
    </row>
    <row r="72" spans="1:14" s="50" customFormat="1" ht="16.5" thickBot="1">
      <c r="A72" s="440"/>
      <c r="B72" s="298"/>
      <c r="C72" s="363"/>
      <c r="D72" s="364"/>
      <c r="E72" s="364"/>
      <c r="F72" s="364"/>
      <c r="G72" s="364"/>
      <c r="H72" s="364"/>
      <c r="I72" s="364"/>
      <c r="J72" s="364"/>
      <c r="K72" s="364"/>
      <c r="L72" s="365"/>
      <c r="M72" s="295"/>
      <c r="N72" s="295"/>
    </row>
    <row r="73" spans="1:14" ht="16.5" thickBot="1">
      <c r="A73" s="442"/>
      <c r="B73" s="317"/>
      <c r="C73" s="318"/>
      <c r="D73" s="658" t="s">
        <v>1018</v>
      </c>
      <c r="E73" s="562">
        <f>+E67/$E$71</f>
        <v>0.23984283426894182</v>
      </c>
      <c r="F73" s="563">
        <v>0.24</v>
      </c>
      <c r="G73" s="306"/>
      <c r="H73" s="318"/>
      <c r="I73" s="318"/>
      <c r="J73" s="318"/>
      <c r="K73" s="318"/>
      <c r="L73" s="308"/>
      <c r="M73" s="302"/>
      <c r="N73" s="302"/>
    </row>
    <row r="74" spans="1:14" ht="16.5" thickBot="1">
      <c r="A74" s="442"/>
      <c r="B74" s="317"/>
      <c r="C74" s="318"/>
      <c r="D74" s="658"/>
      <c r="E74" s="563">
        <f>+E68/$E$71</f>
        <v>1.5405294969597638E-3</v>
      </c>
      <c r="F74" s="563">
        <v>5.0000000000000001E-3</v>
      </c>
      <c r="G74" s="659" t="s">
        <v>963</v>
      </c>
      <c r="H74" s="659"/>
      <c r="I74" s="659"/>
      <c r="J74" s="659"/>
      <c r="K74" s="318"/>
      <c r="L74" s="308"/>
      <c r="M74" s="302"/>
      <c r="N74" s="302"/>
    </row>
    <row r="75" spans="1:14" ht="16.5" thickBot="1">
      <c r="A75" s="442"/>
      <c r="B75" s="317"/>
      <c r="C75" s="318"/>
      <c r="D75" s="658"/>
      <c r="E75" s="563">
        <f>+E69/$E$71</f>
        <v>1.7682631130709679E-3</v>
      </c>
      <c r="F75" s="563">
        <v>0.01</v>
      </c>
      <c r="G75" s="659"/>
      <c r="H75" s="659"/>
      <c r="I75" s="659"/>
      <c r="J75" s="659"/>
      <c r="K75" s="318"/>
      <c r="L75" s="308"/>
      <c r="M75" s="302"/>
      <c r="N75" s="302"/>
    </row>
    <row r="76" spans="1:14" ht="16.5" thickBot="1">
      <c r="A76" s="442"/>
      <c r="B76" s="317"/>
      <c r="C76" s="318"/>
      <c r="D76" s="658"/>
      <c r="E76" s="562">
        <f>+E70/$E$71</f>
        <v>0.75684837312102748</v>
      </c>
      <c r="F76" s="563">
        <f>1-F73-F74-F75</f>
        <v>0.745</v>
      </c>
      <c r="G76" s="306"/>
      <c r="H76" s="318"/>
      <c r="I76" s="318"/>
      <c r="J76" s="318"/>
      <c r="K76" s="318"/>
      <c r="L76" s="308"/>
      <c r="M76" s="302"/>
      <c r="N76" s="302"/>
    </row>
    <row r="77" spans="1:14">
      <c r="A77" s="442"/>
      <c r="B77" s="317"/>
      <c r="C77" s="318"/>
      <c r="D77" s="318"/>
      <c r="E77" s="318"/>
      <c r="F77" s="318"/>
      <c r="G77" s="318"/>
      <c r="H77" s="318"/>
      <c r="I77" s="318"/>
      <c r="J77" s="318"/>
      <c r="K77" s="318"/>
      <c r="L77" s="308"/>
      <c r="M77" s="302"/>
      <c r="N77" s="302"/>
    </row>
    <row r="78" spans="1:14" ht="16.5" thickBot="1">
      <c r="A78" s="442"/>
      <c r="B78" s="323" t="s">
        <v>303</v>
      </c>
      <c r="C78" s="318"/>
      <c r="D78" s="318"/>
      <c r="E78" s="318"/>
      <c r="F78" s="318"/>
      <c r="G78" s="318"/>
      <c r="H78" s="318"/>
      <c r="I78" s="318"/>
      <c r="J78" s="318"/>
      <c r="K78" s="318"/>
      <c r="L78" s="308"/>
      <c r="M78" s="302"/>
      <c r="N78" s="302"/>
    </row>
    <row r="79" spans="1:14" s="49" customFormat="1" ht="16.5" thickBot="1">
      <c r="A79" s="443"/>
      <c r="B79" s="301" t="s">
        <v>348</v>
      </c>
      <c r="C79" s="301">
        <v>2011</v>
      </c>
      <c r="D79" s="301">
        <v>2012</v>
      </c>
      <c r="E79" s="301">
        <v>2013</v>
      </c>
      <c r="F79" s="301">
        <v>2014</v>
      </c>
      <c r="G79" s="301">
        <v>2015</v>
      </c>
      <c r="H79" s="301">
        <v>2016</v>
      </c>
      <c r="I79" s="301">
        <v>2017</v>
      </c>
      <c r="J79" s="301">
        <v>2018</v>
      </c>
      <c r="K79" s="301">
        <v>2019</v>
      </c>
      <c r="N79" s="300"/>
    </row>
    <row r="80" spans="1:14" ht="16.5" thickBot="1">
      <c r="A80" s="442"/>
      <c r="B80" s="564" t="s">
        <v>369</v>
      </c>
      <c r="C80" s="555">
        <v>46044601</v>
      </c>
      <c r="D80" s="555">
        <v>46581823</v>
      </c>
      <c r="E80" s="555">
        <v>47121089</v>
      </c>
      <c r="F80" s="555">
        <v>47661787</v>
      </c>
      <c r="G80" s="555">
        <v>48203405</v>
      </c>
      <c r="H80" s="555">
        <v>48747708</v>
      </c>
      <c r="I80" s="555">
        <v>49291609</v>
      </c>
      <c r="J80" s="555">
        <v>49834240</v>
      </c>
      <c r="K80" s="555">
        <v>50374478</v>
      </c>
      <c r="N80" s="302"/>
    </row>
    <row r="81" spans="1:14" ht="16.5" thickBot="1">
      <c r="A81" s="442"/>
      <c r="B81" s="564" t="s">
        <v>370</v>
      </c>
      <c r="C81" s="555">
        <v>22731299</v>
      </c>
      <c r="D81" s="555">
        <v>22997087</v>
      </c>
      <c r="E81" s="555">
        <v>23264039</v>
      </c>
      <c r="F81" s="555">
        <v>23531670</v>
      </c>
      <c r="G81" s="555">
        <v>23799679</v>
      </c>
      <c r="H81" s="555">
        <v>24069035</v>
      </c>
      <c r="I81" s="555">
        <v>24337747</v>
      </c>
      <c r="J81" s="555">
        <v>24605796</v>
      </c>
      <c r="K81" s="555">
        <v>24873329</v>
      </c>
      <c r="N81" s="302"/>
    </row>
    <row r="82" spans="1:14" ht="16.5" thickBot="1">
      <c r="A82" s="442"/>
      <c r="B82" s="564" t="s">
        <v>371</v>
      </c>
      <c r="C82" s="555">
        <v>23313302</v>
      </c>
      <c r="D82" s="555">
        <v>23584736</v>
      </c>
      <c r="E82" s="555">
        <v>23857050</v>
      </c>
      <c r="F82" s="555">
        <v>24130117</v>
      </c>
      <c r="G82" s="555">
        <v>24403726</v>
      </c>
      <c r="H82" s="555">
        <v>24678673</v>
      </c>
      <c r="I82" s="555">
        <v>24953862</v>
      </c>
      <c r="J82" s="555">
        <v>25228444</v>
      </c>
      <c r="K82" s="555">
        <v>25501149</v>
      </c>
      <c r="N82" s="302"/>
    </row>
    <row r="83" spans="1:14" s="34" customFormat="1" ht="16.5" thickBot="1">
      <c r="A83" s="444"/>
      <c r="B83" s="565" t="s">
        <v>373</v>
      </c>
      <c r="C83" s="552"/>
      <c r="D83" s="552">
        <f>+(D80-C80)/C80</f>
        <v>1.166742654583976E-2</v>
      </c>
      <c r="E83" s="552">
        <f>+E80/D80-1</f>
        <v>1.1576747436440993E-2</v>
      </c>
      <c r="F83" s="552">
        <f t="shared" ref="F83:K83" si="8">+F80/E80-1</f>
        <v>1.1474649917365021E-2</v>
      </c>
      <c r="G83" s="552">
        <f t="shared" si="8"/>
        <v>1.1363778701793059E-2</v>
      </c>
      <c r="H83" s="552">
        <f t="shared" si="8"/>
        <v>1.1291795672940586E-2</v>
      </c>
      <c r="I83" s="552">
        <f t="shared" si="8"/>
        <v>1.1157468162400486E-2</v>
      </c>
      <c r="J83" s="552">
        <f t="shared" si="8"/>
        <v>1.1008587688829508E-2</v>
      </c>
      <c r="K83" s="552">
        <f t="shared" si="8"/>
        <v>1.0840699085608696E-2</v>
      </c>
      <c r="N83" s="320"/>
    </row>
    <row r="84" spans="1:14">
      <c r="A84" s="442"/>
      <c r="B84" s="307" t="s">
        <v>372</v>
      </c>
      <c r="C84" s="307"/>
      <c r="D84" s="307"/>
      <c r="E84" s="307"/>
      <c r="F84" s="307"/>
      <c r="G84" s="307"/>
      <c r="H84" s="307"/>
      <c r="I84" s="307"/>
      <c r="J84" s="307"/>
      <c r="K84" s="307"/>
      <c r="L84" s="302"/>
      <c r="M84" s="302"/>
      <c r="N84" s="302"/>
    </row>
    <row r="85" spans="1:14" ht="16.5" thickBot="1">
      <c r="A85" s="442"/>
      <c r="B85" s="307"/>
      <c r="C85" s="307"/>
      <c r="D85" s="307"/>
      <c r="E85" s="307"/>
      <c r="F85" s="307"/>
      <c r="G85" s="307"/>
      <c r="H85" s="307"/>
      <c r="I85" s="307"/>
      <c r="J85" s="307"/>
      <c r="K85" s="307"/>
      <c r="L85" s="302"/>
      <c r="M85" s="302"/>
      <c r="N85" s="302"/>
    </row>
    <row r="86" spans="1:14" ht="16.5" thickBot="1">
      <c r="A86" s="442"/>
      <c r="B86" s="301" t="s">
        <v>1006</v>
      </c>
      <c r="C86" s="459">
        <f>+-3%+C87</f>
        <v>-0.03</v>
      </c>
      <c r="D86" s="307"/>
      <c r="E86" s="307"/>
      <c r="G86" s="307"/>
      <c r="H86" s="307"/>
      <c r="I86" s="307"/>
      <c r="J86" s="307"/>
      <c r="K86" s="307"/>
      <c r="L86" s="302"/>
      <c r="M86" s="302"/>
      <c r="N86" s="302"/>
    </row>
    <row r="87" spans="1:14" ht="16.5" thickBot="1">
      <c r="A87" s="442"/>
      <c r="B87" s="301" t="s">
        <v>1059</v>
      </c>
      <c r="C87" s="468">
        <v>0</v>
      </c>
      <c r="D87" s="307"/>
      <c r="E87" s="307"/>
      <c r="G87" s="307"/>
      <c r="H87" s="307"/>
      <c r="I87" s="307"/>
      <c r="J87" s="307"/>
      <c r="K87" s="307"/>
      <c r="L87" s="302"/>
      <c r="M87" s="302"/>
      <c r="N87" s="302"/>
    </row>
    <row r="88" spans="1:14">
      <c r="A88" s="442"/>
      <c r="B88" s="457">
        <v>2010</v>
      </c>
      <c r="C88" s="307" t="s">
        <v>1052</v>
      </c>
      <c r="E88" s="307"/>
      <c r="F88" s="307"/>
      <c r="G88" s="307"/>
      <c r="H88" s="307"/>
      <c r="I88" s="307"/>
      <c r="J88" s="307"/>
      <c r="K88" s="307"/>
      <c r="L88" s="302"/>
      <c r="M88" s="302"/>
      <c r="N88" s="302"/>
    </row>
    <row r="89" spans="1:14">
      <c r="A89" s="442"/>
      <c r="B89" s="457">
        <v>2012</v>
      </c>
      <c r="C89" s="307" t="s">
        <v>1053</v>
      </c>
      <c r="E89" s="307"/>
      <c r="F89" s="457"/>
      <c r="G89" s="458"/>
      <c r="I89" s="314"/>
      <c r="J89" s="314"/>
      <c r="K89" s="314"/>
      <c r="L89" s="302"/>
      <c r="M89" s="302"/>
      <c r="N89" s="302"/>
    </row>
    <row r="90" spans="1:14">
      <c r="A90" s="442"/>
      <c r="B90" s="457">
        <v>2013</v>
      </c>
      <c r="C90" s="307" t="s">
        <v>1054</v>
      </c>
      <c r="E90" s="307"/>
      <c r="F90" s="457"/>
      <c r="G90" s="458"/>
      <c r="I90" s="307"/>
      <c r="J90" s="307"/>
      <c r="K90" s="307"/>
      <c r="L90" s="302"/>
      <c r="M90" s="302"/>
      <c r="N90" s="302"/>
    </row>
    <row r="91" spans="1:14">
      <c r="A91" s="442"/>
      <c r="B91" s="457">
        <v>2014</v>
      </c>
      <c r="C91" s="307" t="s">
        <v>1049</v>
      </c>
      <c r="E91" s="307"/>
      <c r="F91" s="457"/>
      <c r="G91" s="458"/>
      <c r="I91" s="307"/>
      <c r="J91" s="307"/>
      <c r="K91" s="307"/>
      <c r="L91" s="302"/>
      <c r="M91" s="302"/>
      <c r="N91" s="302"/>
    </row>
    <row r="92" spans="1:14">
      <c r="A92" s="442"/>
      <c r="B92" s="458"/>
      <c r="C92" s="307"/>
      <c r="D92" s="307"/>
      <c r="E92" s="307"/>
      <c r="F92" s="307"/>
      <c r="G92" s="307"/>
      <c r="H92" s="307"/>
      <c r="I92" s="307"/>
      <c r="J92" s="307"/>
      <c r="K92" s="307"/>
      <c r="L92" s="302"/>
      <c r="M92" s="302"/>
      <c r="N92" s="302"/>
    </row>
    <row r="93" spans="1:14">
      <c r="A93" s="442"/>
      <c r="B93" s="307" t="s">
        <v>1051</v>
      </c>
      <c r="C93" s="307"/>
      <c r="D93" s="307"/>
      <c r="E93" s="307"/>
      <c r="F93" s="307"/>
      <c r="G93" s="307"/>
      <c r="H93" s="307"/>
      <c r="I93" s="307"/>
      <c r="J93" s="307"/>
      <c r="K93" s="307"/>
      <c r="L93" s="302"/>
      <c r="M93" s="302"/>
      <c r="N93" s="302"/>
    </row>
    <row r="94" spans="1:14">
      <c r="A94" s="442"/>
      <c r="B94" s="307" t="s">
        <v>1055</v>
      </c>
      <c r="C94" s="307"/>
      <c r="D94" s="307"/>
      <c r="E94" s="307"/>
      <c r="F94" s="307"/>
      <c r="G94" s="307"/>
      <c r="H94" s="307"/>
      <c r="I94" s="307"/>
      <c r="J94" s="307"/>
      <c r="K94" s="307"/>
      <c r="L94" s="302"/>
      <c r="M94" s="302"/>
      <c r="N94" s="302"/>
    </row>
    <row r="95" spans="1:14">
      <c r="A95" s="442"/>
      <c r="B95" s="307" t="s">
        <v>1050</v>
      </c>
      <c r="C95" s="307"/>
      <c r="D95" s="307"/>
      <c r="E95" s="307"/>
      <c r="F95" s="307"/>
      <c r="G95" s="307"/>
      <c r="I95" s="307"/>
      <c r="J95" s="307"/>
      <c r="K95" s="307"/>
      <c r="L95" s="302"/>
      <c r="M95" s="302"/>
      <c r="N95" s="302"/>
    </row>
    <row r="96" spans="1:14">
      <c r="A96" s="442"/>
      <c r="B96" s="307"/>
      <c r="C96" s="307"/>
      <c r="D96" s="307"/>
      <c r="E96" s="307"/>
      <c r="F96" s="307"/>
      <c r="G96" s="307"/>
      <c r="H96" s="307"/>
      <c r="I96" s="307"/>
      <c r="J96" s="307"/>
      <c r="K96" s="307"/>
      <c r="L96" s="302"/>
      <c r="M96" s="302"/>
      <c r="N96" s="302"/>
    </row>
    <row r="97" spans="1:14">
      <c r="A97" s="442"/>
      <c r="B97" s="307"/>
      <c r="C97" s="307"/>
      <c r="D97" s="307"/>
      <c r="E97" s="307"/>
      <c r="F97" s="307"/>
      <c r="G97" s="307"/>
      <c r="H97" s="307"/>
      <c r="J97" s="307"/>
      <c r="K97" s="307"/>
      <c r="L97" s="302"/>
      <c r="M97" s="302"/>
      <c r="N97" s="302"/>
    </row>
    <row r="98" spans="1:14">
      <c r="A98" s="442"/>
      <c r="B98" s="307"/>
      <c r="C98" s="307"/>
      <c r="D98" s="307"/>
      <c r="E98" s="307"/>
      <c r="F98" s="307"/>
      <c r="G98" s="307"/>
      <c r="H98" s="307"/>
      <c r="I98" s="307"/>
      <c r="J98" s="307"/>
      <c r="K98" s="307"/>
      <c r="L98" s="302"/>
      <c r="M98" s="302"/>
      <c r="N98" s="302"/>
    </row>
    <row r="99" spans="1:14">
      <c r="A99" s="442"/>
      <c r="B99" s="307"/>
      <c r="C99" s="307"/>
      <c r="D99" s="307"/>
      <c r="E99" s="307"/>
      <c r="F99" s="307"/>
      <c r="G99" s="307"/>
      <c r="H99" s="307"/>
      <c r="I99" s="307"/>
      <c r="J99" s="307"/>
      <c r="K99" s="307"/>
      <c r="L99" s="302"/>
      <c r="M99" s="302"/>
      <c r="N99" s="302"/>
    </row>
    <row r="100" spans="1:14">
      <c r="A100" s="442"/>
      <c r="B100" s="307"/>
      <c r="C100" s="307"/>
      <c r="D100" s="307"/>
      <c r="E100" s="307"/>
      <c r="F100" s="307"/>
      <c r="G100" s="307"/>
      <c r="H100" s="307"/>
      <c r="I100" s="307"/>
      <c r="J100" s="307"/>
      <c r="K100" s="307"/>
      <c r="L100" s="302"/>
      <c r="M100" s="302"/>
      <c r="N100" s="302"/>
    </row>
    <row r="101" spans="1:14">
      <c r="A101" s="442"/>
      <c r="B101" s="307"/>
      <c r="C101" s="307"/>
      <c r="D101" s="307"/>
      <c r="E101" s="307"/>
      <c r="F101" s="307"/>
      <c r="G101" s="307"/>
      <c r="H101" s="307"/>
      <c r="I101" s="307"/>
      <c r="J101" s="307"/>
      <c r="K101" s="307"/>
      <c r="L101" s="302"/>
      <c r="M101" s="302"/>
      <c r="N101" s="302"/>
    </row>
    <row r="102" spans="1:14">
      <c r="A102" s="442"/>
      <c r="B102" s="307"/>
      <c r="C102" s="307"/>
      <c r="D102" s="307"/>
      <c r="E102" s="307"/>
      <c r="F102" s="307"/>
      <c r="G102" s="307"/>
      <c r="H102" s="307"/>
      <c r="I102" s="307"/>
      <c r="J102" s="307"/>
      <c r="K102" s="307"/>
      <c r="L102" s="302"/>
      <c r="M102" s="302"/>
      <c r="N102" s="302"/>
    </row>
    <row r="103" spans="1:14">
      <c r="A103" s="442"/>
      <c r="B103" s="307"/>
      <c r="C103" s="307"/>
      <c r="D103" s="307"/>
      <c r="E103" s="307"/>
      <c r="F103" s="307"/>
      <c r="G103" s="307"/>
      <c r="H103" s="307"/>
      <c r="I103" s="307"/>
      <c r="J103" s="307"/>
      <c r="K103" s="307"/>
      <c r="L103" s="302"/>
      <c r="M103" s="302"/>
      <c r="N103" s="302"/>
    </row>
    <row r="104" spans="1:14">
      <c r="A104" s="442"/>
      <c r="B104" s="307"/>
      <c r="C104" s="307"/>
      <c r="D104" s="307"/>
      <c r="E104" s="307"/>
      <c r="F104" s="307"/>
      <c r="G104" s="307"/>
      <c r="H104" s="307"/>
      <c r="I104" s="307"/>
      <c r="J104" s="307"/>
      <c r="K104" s="307"/>
      <c r="L104" s="302"/>
      <c r="M104" s="302"/>
      <c r="N104" s="302"/>
    </row>
    <row r="105" spans="1:14">
      <c r="A105" s="442"/>
      <c r="B105" s="307"/>
      <c r="C105" s="307"/>
      <c r="D105" s="307"/>
      <c r="E105" s="307"/>
      <c r="F105" s="307"/>
      <c r="G105" s="307"/>
      <c r="H105" s="307"/>
      <c r="I105" s="307"/>
      <c r="J105" s="307"/>
      <c r="K105" s="307"/>
      <c r="L105" s="302"/>
      <c r="M105" s="302"/>
      <c r="N105" s="302"/>
    </row>
    <row r="106" spans="1:14">
      <c r="A106" s="442"/>
      <c r="B106" s="307"/>
      <c r="C106" s="307"/>
      <c r="D106" s="307"/>
      <c r="E106" s="307"/>
      <c r="F106" s="307"/>
      <c r="G106" s="307"/>
      <c r="H106" s="307"/>
      <c r="I106" s="307"/>
      <c r="J106" s="307"/>
      <c r="K106" s="307"/>
      <c r="L106" s="302"/>
      <c r="M106" s="302"/>
      <c r="N106" s="302"/>
    </row>
    <row r="107" spans="1:14">
      <c r="A107" s="442"/>
      <c r="B107" s="307"/>
      <c r="C107" s="307"/>
      <c r="D107" s="307"/>
      <c r="E107" s="307"/>
      <c r="F107" s="307"/>
      <c r="G107" s="307"/>
      <c r="H107" s="307"/>
      <c r="I107" s="307"/>
      <c r="J107" s="307"/>
      <c r="K107" s="307"/>
      <c r="L107" s="302"/>
      <c r="M107" s="302"/>
      <c r="N107" s="302"/>
    </row>
    <row r="108" spans="1:14">
      <c r="A108" s="442"/>
      <c r="B108" s="307"/>
      <c r="C108" s="307"/>
      <c r="D108" s="307"/>
      <c r="E108" s="307"/>
      <c r="F108" s="307"/>
      <c r="G108" s="307"/>
      <c r="H108" s="307"/>
      <c r="I108" s="307"/>
      <c r="J108" s="307"/>
      <c r="K108" s="307"/>
      <c r="L108" s="302"/>
      <c r="M108" s="302"/>
      <c r="N108" s="302"/>
    </row>
    <row r="109" spans="1:14">
      <c r="A109" s="442"/>
      <c r="B109" s="307"/>
      <c r="C109" s="307"/>
      <c r="D109" s="307"/>
      <c r="E109" s="307"/>
      <c r="F109" s="307"/>
      <c r="G109" s="307"/>
      <c r="H109" s="307"/>
      <c r="I109" s="307"/>
      <c r="J109" s="307"/>
      <c r="K109" s="307"/>
      <c r="L109" s="302"/>
      <c r="M109" s="302"/>
      <c r="N109" s="302"/>
    </row>
    <row r="110" spans="1:14">
      <c r="A110" s="442"/>
      <c r="B110" s="307"/>
      <c r="C110" s="307"/>
      <c r="D110" s="307"/>
      <c r="E110" s="307"/>
      <c r="F110" s="307"/>
      <c r="G110" s="307"/>
      <c r="H110" s="307"/>
      <c r="I110" s="307"/>
      <c r="J110" s="307"/>
      <c r="K110" s="307"/>
      <c r="L110" s="302"/>
      <c r="M110" s="302"/>
      <c r="N110" s="302"/>
    </row>
    <row r="111" spans="1:14">
      <c r="A111" s="442"/>
      <c r="B111" s="307"/>
      <c r="C111" s="307"/>
      <c r="D111" s="307"/>
      <c r="E111" s="307"/>
      <c r="F111" s="307"/>
      <c r="G111" s="307"/>
      <c r="H111" s="307"/>
      <c r="I111" s="307"/>
      <c r="J111" s="307"/>
      <c r="K111" s="307"/>
      <c r="L111" s="302"/>
      <c r="M111" s="302"/>
      <c r="N111" s="302"/>
    </row>
    <row r="112" spans="1:14">
      <c r="A112" s="442"/>
      <c r="B112" s="307"/>
      <c r="C112" s="307"/>
      <c r="D112" s="307"/>
      <c r="E112" s="307"/>
      <c r="F112" s="307"/>
      <c r="G112" s="307"/>
      <c r="H112" s="307"/>
      <c r="I112" s="307"/>
      <c r="J112" s="307"/>
      <c r="K112" s="307"/>
      <c r="L112" s="302"/>
      <c r="M112" s="302"/>
      <c r="N112" s="302"/>
    </row>
    <row r="113" spans="1:14">
      <c r="A113" s="442"/>
      <c r="B113" s="307"/>
      <c r="C113" s="307"/>
      <c r="D113" s="307"/>
      <c r="E113" s="307"/>
      <c r="F113" s="307"/>
      <c r="G113" s="307"/>
      <c r="H113" s="307"/>
      <c r="I113" s="307"/>
      <c r="J113" s="307"/>
      <c r="K113" s="307"/>
      <c r="L113" s="302"/>
      <c r="M113" s="302"/>
      <c r="N113" s="302"/>
    </row>
    <row r="114" spans="1:14">
      <c r="A114" s="442"/>
      <c r="B114" s="307"/>
      <c r="C114" s="307"/>
      <c r="D114" s="307"/>
      <c r="E114" s="307"/>
      <c r="F114" s="307"/>
      <c r="G114" s="307"/>
      <c r="H114" s="307"/>
      <c r="I114" s="307"/>
      <c r="J114" s="307"/>
      <c r="K114" s="307"/>
      <c r="L114" s="302"/>
      <c r="M114" s="302"/>
      <c r="N114" s="302"/>
    </row>
    <row r="115" spans="1:14">
      <c r="A115" s="442"/>
      <c r="B115" s="307"/>
      <c r="C115" s="307"/>
      <c r="D115" s="307"/>
      <c r="E115" s="307"/>
      <c r="F115" s="307"/>
      <c r="G115" s="307"/>
      <c r="H115" s="307"/>
      <c r="I115" s="307"/>
      <c r="J115" s="307"/>
      <c r="K115" s="307"/>
      <c r="L115" s="302"/>
      <c r="M115" s="302"/>
      <c r="N115" s="302"/>
    </row>
    <row r="116" spans="1:14">
      <c r="A116" s="442"/>
      <c r="B116" s="307"/>
      <c r="C116" s="307"/>
      <c r="D116" s="307"/>
      <c r="E116" s="307"/>
      <c r="F116" s="307"/>
      <c r="G116" s="307"/>
      <c r="H116" s="307"/>
      <c r="I116" s="307"/>
      <c r="J116" s="307"/>
      <c r="K116" s="307"/>
      <c r="L116" s="302"/>
      <c r="M116" s="302"/>
      <c r="N116" s="302"/>
    </row>
    <row r="117" spans="1:14">
      <c r="A117" s="442"/>
      <c r="B117" s="307"/>
      <c r="C117" s="307"/>
      <c r="D117" s="307"/>
      <c r="E117" s="307"/>
      <c r="F117" s="307"/>
      <c r="G117" s="307"/>
      <c r="H117" s="307"/>
      <c r="I117" s="307"/>
      <c r="J117" s="307"/>
      <c r="K117" s="307"/>
      <c r="L117" s="302"/>
      <c r="M117" s="302"/>
      <c r="N117" s="302"/>
    </row>
    <row r="118" spans="1:14">
      <c r="A118" s="442"/>
      <c r="B118" s="307"/>
      <c r="C118" s="307"/>
      <c r="D118" s="307"/>
      <c r="E118" s="307"/>
      <c r="F118" s="307"/>
      <c r="G118" s="307"/>
      <c r="H118" s="307"/>
      <c r="I118" s="307"/>
      <c r="J118" s="307"/>
      <c r="K118" s="307"/>
      <c r="L118" s="302"/>
      <c r="M118" s="302"/>
      <c r="N118" s="302"/>
    </row>
    <row r="119" spans="1:14">
      <c r="A119" s="442"/>
      <c r="B119" s="307"/>
      <c r="C119" s="307"/>
      <c r="D119" s="307"/>
      <c r="E119" s="307"/>
      <c r="F119" s="307"/>
      <c r="G119" s="307"/>
      <c r="H119" s="307"/>
      <c r="I119" s="307"/>
      <c r="J119" s="307"/>
      <c r="K119" s="307"/>
      <c r="L119" s="302"/>
      <c r="M119" s="302"/>
      <c r="N119" s="302"/>
    </row>
    <row r="120" spans="1:14">
      <c r="A120" s="442"/>
      <c r="B120" s="307"/>
      <c r="C120" s="307"/>
      <c r="D120" s="307"/>
      <c r="E120" s="307"/>
      <c r="F120" s="307"/>
      <c r="G120" s="307"/>
      <c r="H120" s="307"/>
      <c r="I120" s="307"/>
      <c r="J120" s="307"/>
      <c r="K120" s="307"/>
      <c r="L120" s="302"/>
      <c r="M120" s="302"/>
      <c r="N120" s="302"/>
    </row>
    <row r="121" spans="1:14">
      <c r="A121" s="442"/>
      <c r="B121" s="307"/>
      <c r="C121" s="307"/>
      <c r="D121" s="307"/>
      <c r="E121" s="307"/>
      <c r="F121" s="307"/>
      <c r="G121" s="307"/>
      <c r="H121" s="307"/>
      <c r="I121" s="307"/>
      <c r="J121" s="307"/>
      <c r="K121" s="307"/>
      <c r="L121" s="302"/>
      <c r="M121" s="302"/>
      <c r="N121" s="302"/>
    </row>
    <row r="122" spans="1:14">
      <c r="A122" s="442"/>
      <c r="B122" s="307"/>
      <c r="C122" s="307"/>
      <c r="D122" s="307"/>
      <c r="E122" s="307"/>
      <c r="F122" s="307"/>
      <c r="G122" s="307"/>
      <c r="H122" s="307"/>
      <c r="I122" s="307"/>
      <c r="J122" s="307"/>
      <c r="K122" s="307"/>
      <c r="L122" s="302"/>
      <c r="M122" s="302"/>
      <c r="N122" s="302"/>
    </row>
    <row r="123" spans="1:14">
      <c r="A123" s="442"/>
      <c r="B123" s="307"/>
      <c r="C123" s="307"/>
      <c r="D123" s="307"/>
      <c r="E123" s="307"/>
      <c r="F123" s="307"/>
      <c r="G123" s="307"/>
      <c r="H123" s="307"/>
      <c r="I123" s="307"/>
      <c r="J123" s="307"/>
      <c r="K123" s="307"/>
      <c r="L123" s="302"/>
      <c r="M123" s="302"/>
      <c r="N123" s="302"/>
    </row>
    <row r="124" spans="1:14">
      <c r="A124" s="442"/>
      <c r="B124" s="307"/>
      <c r="C124" s="307"/>
      <c r="D124" s="307"/>
      <c r="E124" s="307"/>
      <c r="F124" s="307"/>
      <c r="G124" s="307"/>
      <c r="H124" s="307"/>
      <c r="I124" s="307"/>
      <c r="J124" s="307"/>
      <c r="K124" s="307"/>
      <c r="L124" s="302"/>
      <c r="M124" s="302"/>
      <c r="N124" s="302"/>
    </row>
    <row r="125" spans="1:14">
      <c r="A125" s="442"/>
      <c r="B125" s="307"/>
      <c r="C125" s="307"/>
      <c r="D125" s="307"/>
      <c r="E125" s="307"/>
      <c r="F125" s="307"/>
      <c r="G125" s="307"/>
      <c r="H125" s="307"/>
      <c r="I125" s="307"/>
      <c r="J125" s="307"/>
      <c r="K125" s="307"/>
      <c r="L125" s="302"/>
      <c r="M125" s="302"/>
      <c r="N125" s="302"/>
    </row>
    <row r="126" spans="1:14">
      <c r="A126" s="442"/>
      <c r="B126" s="307"/>
      <c r="C126" s="307"/>
      <c r="D126" s="307"/>
      <c r="E126" s="307"/>
      <c r="F126" s="307"/>
      <c r="G126" s="307"/>
      <c r="H126" s="307"/>
      <c r="I126" s="307"/>
      <c r="J126" s="307"/>
      <c r="K126" s="307"/>
      <c r="L126" s="302"/>
      <c r="M126" s="302"/>
      <c r="N126" s="302"/>
    </row>
    <row r="127" spans="1:14">
      <c r="A127" s="442"/>
      <c r="B127" s="307"/>
      <c r="C127" s="307"/>
      <c r="D127" s="307"/>
      <c r="E127" s="307"/>
      <c r="F127" s="307"/>
      <c r="G127" s="307"/>
      <c r="H127" s="307"/>
      <c r="I127" s="307"/>
      <c r="J127" s="307"/>
      <c r="K127" s="307"/>
      <c r="L127" s="302"/>
      <c r="M127" s="302"/>
      <c r="N127" s="302"/>
    </row>
    <row r="128" spans="1:14">
      <c r="A128" s="442"/>
      <c r="B128" s="307"/>
      <c r="C128" s="307"/>
      <c r="D128" s="307"/>
      <c r="E128" s="307"/>
      <c r="F128" s="307"/>
      <c r="G128" s="307"/>
      <c r="H128" s="307"/>
      <c r="I128" s="307"/>
      <c r="J128" s="307"/>
      <c r="K128" s="307"/>
      <c r="L128" s="302"/>
      <c r="M128" s="302"/>
      <c r="N128" s="302"/>
    </row>
    <row r="129" spans="1:14">
      <c r="A129" s="442"/>
      <c r="B129" s="307"/>
      <c r="C129" s="307"/>
      <c r="D129" s="307"/>
      <c r="E129" s="307"/>
      <c r="F129" s="307"/>
      <c r="G129" s="307"/>
      <c r="H129" s="307"/>
      <c r="I129" s="307"/>
      <c r="J129" s="307"/>
      <c r="K129" s="307"/>
      <c r="L129" s="302"/>
      <c r="M129" s="302"/>
      <c r="N129" s="302"/>
    </row>
    <row r="130" spans="1:14">
      <c r="A130" s="442"/>
      <c r="B130" s="307"/>
      <c r="C130" s="307"/>
      <c r="D130" s="307"/>
      <c r="E130" s="307"/>
      <c r="F130" s="307"/>
      <c r="G130" s="307"/>
      <c r="H130" s="307"/>
      <c r="I130" s="307"/>
      <c r="J130" s="307"/>
      <c r="K130" s="307"/>
      <c r="L130" s="302"/>
      <c r="M130" s="302"/>
      <c r="N130" s="302"/>
    </row>
    <row r="131" spans="1:14">
      <c r="A131" s="442"/>
      <c r="B131" s="307"/>
      <c r="C131" s="307"/>
      <c r="D131" s="307"/>
      <c r="E131" s="307"/>
      <c r="F131" s="307"/>
      <c r="G131" s="307"/>
      <c r="H131" s="307"/>
      <c r="I131" s="307"/>
      <c r="J131" s="307"/>
      <c r="K131" s="307"/>
      <c r="L131" s="302"/>
      <c r="M131" s="302"/>
      <c r="N131" s="302"/>
    </row>
    <row r="132" spans="1:14">
      <c r="A132" s="442"/>
      <c r="B132" s="307"/>
      <c r="C132" s="307"/>
      <c r="D132" s="307"/>
      <c r="E132" s="307"/>
      <c r="F132" s="307"/>
      <c r="G132" s="307"/>
      <c r="H132" s="307"/>
      <c r="I132" s="307"/>
      <c r="J132" s="307"/>
      <c r="K132" s="307"/>
      <c r="L132" s="302"/>
      <c r="M132" s="302"/>
      <c r="N132" s="302"/>
    </row>
    <row r="133" spans="1:14">
      <c r="A133" s="442"/>
      <c r="B133" s="307"/>
      <c r="C133" s="307"/>
      <c r="D133" s="307"/>
      <c r="E133" s="307"/>
      <c r="F133" s="307"/>
      <c r="G133" s="307"/>
      <c r="H133" s="307"/>
      <c r="I133" s="307"/>
      <c r="J133" s="307"/>
      <c r="K133" s="307"/>
      <c r="L133" s="302"/>
      <c r="M133" s="302"/>
      <c r="N133" s="302"/>
    </row>
    <row r="134" spans="1:14">
      <c r="A134" s="442"/>
      <c r="B134" s="307"/>
      <c r="C134" s="307"/>
      <c r="D134" s="307"/>
      <c r="E134" s="307"/>
      <c r="F134" s="307"/>
      <c r="G134" s="307"/>
      <c r="H134" s="307"/>
      <c r="I134" s="307"/>
      <c r="J134" s="307"/>
      <c r="K134" s="307"/>
      <c r="L134" s="302"/>
      <c r="M134" s="302"/>
      <c r="N134" s="302"/>
    </row>
    <row r="135" spans="1:14">
      <c r="A135" s="442"/>
      <c r="B135" s="307"/>
      <c r="C135" s="307"/>
      <c r="D135" s="307"/>
      <c r="E135" s="307"/>
      <c r="F135" s="307"/>
      <c r="G135" s="307"/>
      <c r="H135" s="307"/>
      <c r="I135" s="307"/>
      <c r="J135" s="307"/>
      <c r="K135" s="307"/>
      <c r="L135" s="302"/>
      <c r="M135" s="302"/>
      <c r="N135" s="302"/>
    </row>
    <row r="136" spans="1:14">
      <c r="A136" s="442"/>
      <c r="B136" s="307"/>
      <c r="C136" s="307"/>
      <c r="D136" s="307"/>
      <c r="E136" s="307"/>
      <c r="F136" s="307"/>
      <c r="G136" s="307"/>
      <c r="H136" s="307"/>
      <c r="I136" s="307"/>
      <c r="J136" s="307"/>
      <c r="K136" s="307"/>
      <c r="L136" s="302"/>
      <c r="M136" s="302"/>
      <c r="N136" s="302"/>
    </row>
    <row r="137" spans="1:14">
      <c r="A137" s="442"/>
      <c r="B137" s="307"/>
      <c r="C137" s="307"/>
      <c r="D137" s="307"/>
      <c r="E137" s="307"/>
      <c r="F137" s="307"/>
      <c r="G137" s="307"/>
      <c r="H137" s="307"/>
      <c r="I137" s="307"/>
      <c r="J137" s="307"/>
      <c r="K137" s="307"/>
      <c r="L137" s="302"/>
      <c r="M137" s="302"/>
      <c r="N137" s="302"/>
    </row>
    <row r="138" spans="1:14">
      <c r="A138" s="442"/>
      <c r="B138" s="307"/>
      <c r="C138" s="307"/>
      <c r="D138" s="307"/>
      <c r="E138" s="307"/>
      <c r="F138" s="307"/>
      <c r="G138" s="307"/>
      <c r="H138" s="307"/>
      <c r="I138" s="307"/>
      <c r="J138" s="307"/>
      <c r="K138" s="307"/>
      <c r="L138" s="302"/>
      <c r="M138" s="302"/>
      <c r="N138" s="302"/>
    </row>
    <row r="139" spans="1:14">
      <c r="A139" s="442"/>
      <c r="B139" s="307"/>
      <c r="C139" s="307"/>
      <c r="D139" s="307"/>
      <c r="E139" s="307"/>
      <c r="F139" s="307"/>
      <c r="G139" s="307"/>
      <c r="H139" s="307"/>
      <c r="I139" s="307"/>
      <c r="J139" s="307"/>
      <c r="K139" s="307"/>
      <c r="L139" s="302"/>
      <c r="M139" s="302"/>
      <c r="N139" s="302"/>
    </row>
    <row r="140" spans="1:14">
      <c r="B140" s="51"/>
      <c r="C140" s="51"/>
      <c r="D140" s="51"/>
      <c r="E140" s="51"/>
      <c r="F140" s="51"/>
      <c r="G140" s="51"/>
      <c r="H140" s="51"/>
      <c r="I140" s="51"/>
      <c r="J140" s="51"/>
      <c r="K140" s="51"/>
    </row>
    <row r="141" spans="1:14">
      <c r="B141" s="51"/>
      <c r="C141" s="51"/>
      <c r="D141" s="51"/>
      <c r="E141" s="51"/>
      <c r="F141" s="51"/>
      <c r="G141" s="51"/>
      <c r="H141" s="51"/>
      <c r="I141" s="51"/>
      <c r="J141" s="51"/>
      <c r="K141" s="51"/>
    </row>
    <row r="142" spans="1:14">
      <c r="B142" s="51"/>
      <c r="C142" s="51"/>
      <c r="D142" s="51"/>
      <c r="E142" s="51"/>
      <c r="F142" s="51"/>
      <c r="G142" s="51"/>
      <c r="H142" s="51"/>
      <c r="I142" s="51"/>
      <c r="J142" s="51"/>
      <c r="K142" s="51"/>
    </row>
    <row r="143" spans="1:14">
      <c r="B143" s="51"/>
      <c r="C143" s="51"/>
      <c r="D143" s="51"/>
      <c r="E143" s="51"/>
      <c r="F143" s="51"/>
      <c r="G143" s="51"/>
      <c r="H143" s="51"/>
      <c r="I143" s="51"/>
      <c r="J143" s="51"/>
      <c r="K143" s="51"/>
    </row>
    <row r="144" spans="1:14">
      <c r="B144" s="51"/>
      <c r="C144" s="51"/>
      <c r="D144" s="51"/>
      <c r="E144" s="51"/>
      <c r="F144" s="51"/>
      <c r="G144" s="51"/>
      <c r="H144" s="51"/>
      <c r="I144" s="51"/>
      <c r="J144" s="51"/>
      <c r="K144" s="51"/>
    </row>
    <row r="145" spans="2:11">
      <c r="B145" s="51"/>
      <c r="C145" s="51"/>
      <c r="D145" s="51"/>
      <c r="E145" s="51"/>
      <c r="F145" s="51"/>
      <c r="G145" s="51"/>
      <c r="H145" s="51"/>
      <c r="I145" s="51"/>
      <c r="J145" s="51"/>
      <c r="K145" s="51"/>
    </row>
    <row r="146" spans="2:11">
      <c r="B146" s="51"/>
      <c r="C146" s="51"/>
      <c r="D146" s="51"/>
      <c r="E146" s="51"/>
      <c r="F146" s="51"/>
      <c r="G146" s="51"/>
      <c r="H146" s="51"/>
      <c r="I146" s="51"/>
      <c r="J146" s="51"/>
      <c r="K146" s="51"/>
    </row>
    <row r="147" spans="2:11">
      <c r="B147" s="51"/>
      <c r="C147" s="51"/>
      <c r="D147" s="51"/>
      <c r="E147" s="51"/>
      <c r="F147" s="51"/>
      <c r="G147" s="51"/>
      <c r="H147" s="51"/>
      <c r="I147" s="51"/>
      <c r="J147" s="51"/>
      <c r="K147" s="51"/>
    </row>
    <row r="148" spans="2:11">
      <c r="B148" s="51"/>
      <c r="C148" s="51"/>
      <c r="D148" s="51"/>
      <c r="E148" s="51"/>
      <c r="F148" s="51"/>
      <c r="G148" s="51"/>
      <c r="H148" s="51"/>
      <c r="I148" s="51"/>
      <c r="J148" s="51"/>
      <c r="K148" s="51"/>
    </row>
    <row r="149" spans="2:11">
      <c r="B149" s="51"/>
      <c r="C149" s="51"/>
      <c r="D149" s="51"/>
      <c r="E149" s="51"/>
      <c r="F149" s="51"/>
      <c r="G149" s="51"/>
      <c r="H149" s="51"/>
      <c r="I149" s="51"/>
      <c r="J149" s="51"/>
      <c r="K149" s="51"/>
    </row>
    <row r="150" spans="2:11">
      <c r="B150" s="51"/>
      <c r="C150" s="51"/>
      <c r="D150" s="51"/>
      <c r="E150" s="51"/>
      <c r="F150" s="51"/>
      <c r="G150" s="51"/>
      <c r="H150" s="51"/>
      <c r="I150" s="51"/>
      <c r="J150" s="51"/>
      <c r="K150" s="51"/>
    </row>
    <row r="151" spans="2:11">
      <c r="B151" s="51"/>
      <c r="C151" s="51"/>
      <c r="D151" s="51"/>
      <c r="E151" s="51"/>
      <c r="F151" s="51"/>
      <c r="G151" s="51"/>
      <c r="H151" s="51"/>
      <c r="I151" s="51"/>
      <c r="J151" s="51"/>
      <c r="K151" s="51"/>
    </row>
    <row r="152" spans="2:11">
      <c r="B152" s="51"/>
      <c r="C152" s="51"/>
      <c r="D152" s="51"/>
      <c r="E152" s="51"/>
      <c r="F152" s="51"/>
      <c r="G152" s="51"/>
      <c r="H152" s="51"/>
      <c r="I152" s="51"/>
      <c r="J152" s="51"/>
      <c r="K152" s="51"/>
    </row>
    <row r="153" spans="2:11">
      <c r="B153" s="51"/>
      <c r="C153" s="51"/>
      <c r="D153" s="51"/>
      <c r="E153" s="51"/>
      <c r="F153" s="51"/>
      <c r="G153" s="51"/>
      <c r="H153" s="51"/>
      <c r="I153" s="51"/>
      <c r="J153" s="51"/>
      <c r="K153" s="51"/>
    </row>
    <row r="154" spans="2:11">
      <c r="B154" s="51"/>
      <c r="C154" s="51"/>
      <c r="D154" s="51"/>
      <c r="E154" s="51"/>
      <c r="F154" s="51"/>
      <c r="G154" s="51"/>
      <c r="H154" s="51"/>
      <c r="I154" s="51"/>
      <c r="J154" s="51"/>
      <c r="K154" s="51"/>
    </row>
    <row r="155" spans="2:11">
      <c r="B155" s="51"/>
      <c r="C155" s="51"/>
      <c r="D155" s="51"/>
      <c r="E155" s="51"/>
      <c r="F155" s="51"/>
      <c r="G155" s="51"/>
      <c r="H155" s="51"/>
      <c r="I155" s="51"/>
      <c r="J155" s="51"/>
      <c r="K155" s="51"/>
    </row>
    <row r="156" spans="2:11">
      <c r="B156" s="51"/>
      <c r="C156" s="51"/>
      <c r="D156" s="51"/>
      <c r="E156" s="51"/>
      <c r="F156" s="51"/>
      <c r="G156" s="51"/>
      <c r="H156" s="51"/>
      <c r="I156" s="51"/>
      <c r="J156" s="51"/>
      <c r="K156" s="51"/>
    </row>
    <row r="157" spans="2:11">
      <c r="B157" s="51"/>
      <c r="C157" s="51"/>
      <c r="D157" s="51"/>
      <c r="E157" s="51"/>
      <c r="F157" s="51"/>
      <c r="G157" s="51"/>
      <c r="H157" s="51"/>
      <c r="I157" s="51"/>
      <c r="J157" s="51"/>
      <c r="K157" s="51"/>
    </row>
    <row r="158" spans="2:11">
      <c r="B158" s="51"/>
      <c r="C158" s="51"/>
      <c r="D158" s="51"/>
      <c r="E158" s="51"/>
      <c r="F158" s="51"/>
      <c r="G158" s="51"/>
      <c r="H158" s="51"/>
      <c r="I158" s="51"/>
      <c r="J158" s="51"/>
      <c r="K158" s="51"/>
    </row>
    <row r="159" spans="2:11">
      <c r="B159" s="51"/>
      <c r="C159" s="51"/>
      <c r="D159" s="51"/>
      <c r="E159" s="51"/>
      <c r="F159" s="51"/>
      <c r="G159" s="51"/>
      <c r="H159" s="51"/>
      <c r="I159" s="51"/>
      <c r="J159" s="51"/>
      <c r="K159" s="51"/>
    </row>
    <row r="160" spans="2:11">
      <c r="B160" s="51"/>
      <c r="C160" s="51"/>
      <c r="D160" s="51"/>
      <c r="E160" s="51"/>
      <c r="F160" s="51"/>
      <c r="G160" s="51"/>
      <c r="H160" s="51"/>
      <c r="I160" s="51"/>
      <c r="J160" s="51"/>
      <c r="K160" s="51"/>
    </row>
    <row r="161" spans="2:11">
      <c r="B161" s="51"/>
      <c r="C161" s="51"/>
      <c r="D161" s="51"/>
      <c r="E161" s="51"/>
      <c r="F161" s="51"/>
      <c r="G161" s="51"/>
      <c r="H161" s="51"/>
      <c r="I161" s="51"/>
      <c r="J161" s="51"/>
      <c r="K161" s="51"/>
    </row>
    <row r="162" spans="2:11">
      <c r="B162" s="51"/>
      <c r="C162" s="51"/>
      <c r="D162" s="51"/>
      <c r="E162" s="51"/>
      <c r="F162" s="51"/>
      <c r="G162" s="51"/>
      <c r="H162" s="51"/>
      <c r="I162" s="51"/>
      <c r="J162" s="51"/>
      <c r="K162" s="51"/>
    </row>
    <row r="163" spans="2:11">
      <c r="B163" s="51"/>
      <c r="C163" s="51"/>
      <c r="D163" s="51"/>
      <c r="E163" s="51"/>
      <c r="F163" s="51"/>
      <c r="G163" s="51"/>
      <c r="H163" s="51"/>
      <c r="I163" s="51"/>
      <c r="J163" s="51"/>
      <c r="K163" s="51"/>
    </row>
    <row r="164" spans="2:11">
      <c r="B164" s="51"/>
      <c r="C164" s="51"/>
      <c r="D164" s="51"/>
      <c r="E164" s="51"/>
      <c r="F164" s="51"/>
      <c r="G164" s="51"/>
      <c r="H164" s="51"/>
      <c r="I164" s="51"/>
      <c r="J164" s="51"/>
      <c r="K164" s="51"/>
    </row>
    <row r="165" spans="2:11">
      <c r="B165" s="51"/>
      <c r="C165" s="51"/>
      <c r="D165" s="51"/>
      <c r="E165" s="51"/>
      <c r="F165" s="51"/>
      <c r="G165" s="51"/>
      <c r="H165" s="51"/>
      <c r="I165" s="51"/>
      <c r="J165" s="51"/>
      <c r="K165" s="51"/>
    </row>
    <row r="166" spans="2:11">
      <c r="B166" s="51"/>
      <c r="C166" s="51"/>
      <c r="D166" s="51"/>
      <c r="E166" s="51"/>
      <c r="F166" s="51"/>
      <c r="G166" s="51"/>
      <c r="H166" s="51"/>
      <c r="I166" s="51"/>
      <c r="J166" s="51"/>
      <c r="K166" s="51"/>
    </row>
    <row r="167" spans="2:11">
      <c r="B167" s="51"/>
      <c r="C167" s="51"/>
      <c r="D167" s="51"/>
      <c r="E167" s="51"/>
      <c r="F167" s="51"/>
      <c r="G167" s="51"/>
      <c r="H167" s="51"/>
      <c r="I167" s="51"/>
      <c r="J167" s="51"/>
      <c r="K167" s="51"/>
    </row>
    <row r="168" spans="2:11">
      <c r="B168" s="51"/>
      <c r="C168" s="51"/>
      <c r="D168" s="51"/>
      <c r="E168" s="51"/>
      <c r="F168" s="51"/>
      <c r="G168" s="51"/>
      <c r="H168" s="51"/>
      <c r="I168" s="51"/>
      <c r="J168" s="51"/>
      <c r="K168" s="51"/>
    </row>
    <row r="169" spans="2:11">
      <c r="B169" s="51"/>
      <c r="C169" s="51"/>
      <c r="D169" s="51"/>
      <c r="E169" s="51"/>
      <c r="F169" s="51"/>
      <c r="G169" s="51"/>
      <c r="H169" s="51"/>
      <c r="I169" s="51"/>
      <c r="J169" s="51"/>
      <c r="K169" s="51"/>
    </row>
    <row r="170" spans="2:11">
      <c r="B170" s="51"/>
      <c r="C170" s="51"/>
      <c r="D170" s="51"/>
      <c r="E170" s="51"/>
      <c r="F170" s="51"/>
      <c r="G170" s="51"/>
      <c r="H170" s="51"/>
      <c r="I170" s="51"/>
      <c r="J170" s="51"/>
      <c r="K170" s="51"/>
    </row>
    <row r="171" spans="2:11">
      <c r="B171" s="51"/>
      <c r="C171" s="51"/>
      <c r="D171" s="51"/>
      <c r="E171" s="51"/>
      <c r="F171" s="51"/>
      <c r="G171" s="51"/>
      <c r="H171" s="51"/>
      <c r="I171" s="51"/>
      <c r="J171" s="51"/>
      <c r="K171" s="51"/>
    </row>
    <row r="172" spans="2:11">
      <c r="B172" s="51"/>
      <c r="C172" s="51"/>
      <c r="D172" s="51"/>
      <c r="E172" s="51"/>
      <c r="F172" s="51"/>
      <c r="G172" s="51"/>
      <c r="H172" s="51"/>
      <c r="I172" s="51"/>
      <c r="J172" s="51"/>
      <c r="K172" s="51"/>
    </row>
    <row r="173" spans="2:11">
      <c r="B173" s="51"/>
      <c r="C173" s="51"/>
      <c r="D173" s="51"/>
      <c r="E173" s="51"/>
      <c r="F173" s="51"/>
      <c r="G173" s="51"/>
      <c r="H173" s="51"/>
      <c r="I173" s="51"/>
      <c r="J173" s="51"/>
      <c r="K173" s="51"/>
    </row>
    <row r="174" spans="2:11">
      <c r="B174" s="51"/>
      <c r="C174" s="51"/>
      <c r="D174" s="51"/>
      <c r="E174" s="51"/>
      <c r="F174" s="51"/>
      <c r="G174" s="51"/>
      <c r="H174" s="51"/>
      <c r="I174" s="51"/>
      <c r="J174" s="51"/>
      <c r="K174" s="51"/>
    </row>
    <row r="175" spans="2:11">
      <c r="B175" s="51"/>
      <c r="C175" s="51"/>
      <c r="D175" s="51"/>
      <c r="E175" s="51"/>
      <c r="F175" s="51"/>
      <c r="G175" s="51"/>
      <c r="H175" s="51"/>
      <c r="I175" s="51"/>
      <c r="J175" s="51"/>
      <c r="K175" s="51"/>
    </row>
    <row r="176" spans="2:11">
      <c r="B176" s="51"/>
      <c r="C176" s="51"/>
      <c r="D176" s="51"/>
      <c r="E176" s="51"/>
      <c r="F176" s="51"/>
      <c r="G176" s="51"/>
      <c r="H176" s="51"/>
      <c r="I176" s="51"/>
      <c r="J176" s="51"/>
      <c r="K176" s="51"/>
    </row>
    <row r="177" spans="2:11">
      <c r="B177" s="51"/>
      <c r="C177" s="51"/>
      <c r="D177" s="51"/>
      <c r="E177" s="51"/>
      <c r="F177" s="51"/>
      <c r="G177" s="51"/>
      <c r="H177" s="51"/>
      <c r="I177" s="51"/>
      <c r="J177" s="51"/>
      <c r="K177" s="51"/>
    </row>
    <row r="178" spans="2:11">
      <c r="B178" s="51"/>
      <c r="C178" s="51"/>
      <c r="D178" s="51"/>
      <c r="E178" s="51"/>
      <c r="F178" s="51"/>
      <c r="G178" s="51"/>
      <c r="H178" s="51"/>
      <c r="I178" s="51"/>
      <c r="J178" s="51"/>
      <c r="K178" s="51"/>
    </row>
    <row r="179" spans="2:11">
      <c r="B179" s="51"/>
      <c r="C179" s="51"/>
      <c r="D179" s="51"/>
      <c r="E179" s="51"/>
      <c r="F179" s="51"/>
      <c r="G179" s="51"/>
      <c r="H179" s="51"/>
      <c r="I179" s="51"/>
      <c r="J179" s="51"/>
      <c r="K179" s="51"/>
    </row>
    <row r="180" spans="2:11">
      <c r="B180" s="51"/>
      <c r="C180" s="51"/>
      <c r="D180" s="51"/>
      <c r="E180" s="51"/>
      <c r="F180" s="51"/>
      <c r="G180" s="51"/>
      <c r="H180" s="51"/>
      <c r="I180" s="51"/>
      <c r="J180" s="51"/>
      <c r="K180" s="51"/>
    </row>
    <row r="181" spans="2:11">
      <c r="B181" s="51"/>
      <c r="C181" s="51"/>
      <c r="D181" s="51"/>
      <c r="E181" s="51"/>
      <c r="F181" s="51"/>
      <c r="G181" s="51"/>
      <c r="H181" s="51"/>
      <c r="I181" s="51"/>
      <c r="J181" s="51"/>
      <c r="K181" s="51"/>
    </row>
    <row r="182" spans="2:11">
      <c r="B182" s="51"/>
      <c r="C182" s="51"/>
      <c r="D182" s="51"/>
      <c r="E182" s="51"/>
      <c r="F182" s="51"/>
      <c r="G182" s="51"/>
      <c r="H182" s="51"/>
      <c r="I182" s="51"/>
      <c r="J182" s="51"/>
      <c r="K182" s="51"/>
    </row>
    <row r="183" spans="2:11">
      <c r="B183" s="51"/>
      <c r="C183" s="51"/>
      <c r="D183" s="51"/>
      <c r="E183" s="51"/>
      <c r="F183" s="51"/>
      <c r="G183" s="51"/>
      <c r="H183" s="51"/>
      <c r="I183" s="51"/>
      <c r="J183" s="51"/>
      <c r="K183" s="51"/>
    </row>
    <row r="184" spans="2:11">
      <c r="B184" s="51"/>
      <c r="C184" s="51"/>
      <c r="D184" s="51"/>
      <c r="E184" s="51"/>
      <c r="F184" s="51"/>
      <c r="G184" s="51"/>
      <c r="H184" s="51"/>
      <c r="I184" s="51"/>
      <c r="J184" s="51"/>
      <c r="K184" s="51"/>
    </row>
    <row r="185" spans="2:11">
      <c r="B185" s="51"/>
      <c r="C185" s="51"/>
      <c r="D185" s="51"/>
      <c r="E185" s="51"/>
      <c r="F185" s="51"/>
      <c r="G185" s="51"/>
      <c r="H185" s="51"/>
      <c r="I185" s="51"/>
      <c r="J185" s="51"/>
      <c r="K185" s="51"/>
    </row>
    <row r="186" spans="2:11">
      <c r="B186" s="51"/>
      <c r="C186" s="51"/>
      <c r="D186" s="51"/>
      <c r="E186" s="51"/>
      <c r="F186" s="51"/>
      <c r="G186" s="51"/>
      <c r="H186" s="51"/>
      <c r="I186" s="51"/>
      <c r="J186" s="51"/>
      <c r="K186" s="51"/>
    </row>
    <row r="187" spans="2:11">
      <c r="B187" s="51"/>
      <c r="C187" s="51"/>
      <c r="D187" s="51"/>
      <c r="E187" s="51"/>
      <c r="F187" s="51"/>
      <c r="G187" s="51"/>
      <c r="H187" s="51"/>
      <c r="I187" s="51"/>
      <c r="J187" s="51"/>
      <c r="K187" s="51"/>
    </row>
    <row r="188" spans="2:11">
      <c r="B188" s="51"/>
      <c r="C188" s="51"/>
      <c r="D188" s="51"/>
      <c r="E188" s="51"/>
      <c r="F188" s="51"/>
      <c r="G188" s="51"/>
      <c r="H188" s="51"/>
      <c r="I188" s="51"/>
      <c r="J188" s="51"/>
      <c r="K188" s="51"/>
    </row>
    <row r="189" spans="2:11">
      <c r="B189" s="51"/>
      <c r="C189" s="51"/>
      <c r="D189" s="51"/>
      <c r="E189" s="51"/>
      <c r="F189" s="51"/>
      <c r="G189" s="51"/>
      <c r="H189" s="51"/>
      <c r="I189" s="51"/>
      <c r="J189" s="51"/>
      <c r="K189" s="51"/>
    </row>
    <row r="190" spans="2:11">
      <c r="B190" s="51"/>
      <c r="C190" s="51"/>
      <c r="D190" s="51"/>
      <c r="E190" s="51"/>
      <c r="F190" s="51"/>
      <c r="G190" s="51"/>
      <c r="H190" s="51"/>
      <c r="I190" s="51"/>
      <c r="J190" s="51"/>
      <c r="K190" s="51"/>
    </row>
    <row r="191" spans="2:11">
      <c r="B191" s="51"/>
      <c r="C191" s="51"/>
      <c r="D191" s="51"/>
      <c r="E191" s="51"/>
      <c r="F191" s="51"/>
      <c r="G191" s="51"/>
      <c r="H191" s="51"/>
      <c r="I191" s="51"/>
      <c r="J191" s="51"/>
      <c r="K191" s="51"/>
    </row>
    <row r="192" spans="2:11">
      <c r="B192" s="51"/>
      <c r="C192" s="51"/>
      <c r="D192" s="51"/>
      <c r="E192" s="51"/>
      <c r="F192" s="51"/>
      <c r="G192" s="51"/>
      <c r="H192" s="51"/>
      <c r="I192" s="51"/>
      <c r="J192" s="51"/>
      <c r="K192" s="51"/>
    </row>
    <row r="193" spans="2:11">
      <c r="B193" s="51"/>
      <c r="C193" s="51"/>
      <c r="D193" s="51"/>
      <c r="E193" s="51"/>
      <c r="F193" s="51"/>
      <c r="G193" s="51"/>
      <c r="H193" s="51"/>
      <c r="I193" s="51"/>
      <c r="J193" s="51"/>
      <c r="K193" s="51"/>
    </row>
    <row r="194" spans="2:11">
      <c r="B194" s="51"/>
      <c r="C194" s="51"/>
      <c r="D194" s="51"/>
      <c r="E194" s="51"/>
      <c r="F194" s="51"/>
      <c r="G194" s="51"/>
      <c r="H194" s="51"/>
      <c r="I194" s="51"/>
      <c r="J194" s="51"/>
      <c r="K194" s="51"/>
    </row>
    <row r="195" spans="2:11">
      <c r="B195" s="51"/>
      <c r="C195" s="51"/>
      <c r="D195" s="51"/>
      <c r="E195" s="51"/>
      <c r="F195" s="51"/>
      <c r="G195" s="51"/>
      <c r="H195" s="51"/>
      <c r="I195" s="51"/>
      <c r="J195" s="51"/>
      <c r="K195" s="51"/>
    </row>
    <row r="196" spans="2:11">
      <c r="B196" s="51"/>
      <c r="C196" s="51"/>
      <c r="D196" s="51"/>
      <c r="E196" s="51"/>
      <c r="F196" s="51"/>
      <c r="G196" s="51"/>
      <c r="H196" s="51"/>
      <c r="I196" s="51"/>
      <c r="J196" s="51"/>
      <c r="K196" s="51"/>
    </row>
    <row r="197" spans="2:11">
      <c r="B197" s="51"/>
      <c r="C197" s="51"/>
      <c r="D197" s="51"/>
      <c r="E197" s="51"/>
      <c r="F197" s="51"/>
      <c r="G197" s="51"/>
      <c r="H197" s="51"/>
      <c r="I197" s="51"/>
      <c r="J197" s="51"/>
      <c r="K197" s="51"/>
    </row>
    <row r="198" spans="2:11">
      <c r="B198" s="51"/>
      <c r="C198" s="51"/>
      <c r="D198" s="51"/>
      <c r="E198" s="51"/>
      <c r="F198" s="51"/>
      <c r="G198" s="51"/>
      <c r="H198" s="51"/>
      <c r="I198" s="51"/>
      <c r="J198" s="51"/>
      <c r="K198" s="51"/>
    </row>
    <row r="199" spans="2:11">
      <c r="B199" s="51"/>
      <c r="C199" s="51"/>
      <c r="D199" s="51"/>
      <c r="E199" s="51"/>
      <c r="F199" s="51"/>
      <c r="G199" s="51"/>
      <c r="H199" s="51"/>
      <c r="I199" s="51"/>
      <c r="J199" s="51"/>
      <c r="K199" s="51"/>
    </row>
    <row r="200" spans="2:11">
      <c r="B200" s="51"/>
      <c r="C200" s="51"/>
      <c r="D200" s="51"/>
      <c r="E200" s="51"/>
      <c r="F200" s="51"/>
      <c r="G200" s="51"/>
      <c r="H200" s="51"/>
      <c r="I200" s="51"/>
      <c r="J200" s="51"/>
      <c r="K200" s="51"/>
    </row>
    <row r="201" spans="2:11">
      <c r="B201" s="51"/>
      <c r="C201" s="51"/>
      <c r="D201" s="51"/>
      <c r="E201" s="51"/>
      <c r="F201" s="51"/>
      <c r="G201" s="51"/>
      <c r="H201" s="51"/>
      <c r="I201" s="51"/>
      <c r="J201" s="51"/>
      <c r="K201" s="51"/>
    </row>
    <row r="202" spans="2:11">
      <c r="B202" s="51"/>
      <c r="C202" s="51"/>
      <c r="D202" s="51"/>
      <c r="E202" s="51"/>
      <c r="F202" s="51"/>
      <c r="G202" s="51"/>
      <c r="H202" s="51"/>
      <c r="I202" s="51"/>
      <c r="J202" s="51"/>
      <c r="K202" s="51"/>
    </row>
    <row r="203" spans="2:11">
      <c r="B203" s="51"/>
      <c r="C203" s="51"/>
      <c r="D203" s="51"/>
      <c r="E203" s="51"/>
      <c r="F203" s="51"/>
      <c r="G203" s="51"/>
      <c r="H203" s="51"/>
      <c r="I203" s="51"/>
      <c r="J203" s="51"/>
      <c r="K203" s="51"/>
    </row>
    <row r="204" spans="2:11">
      <c r="B204" s="51"/>
      <c r="C204" s="51"/>
      <c r="D204" s="51"/>
      <c r="E204" s="51"/>
      <c r="F204" s="51"/>
      <c r="G204" s="51"/>
      <c r="H204" s="51"/>
      <c r="I204" s="51"/>
      <c r="J204" s="51"/>
      <c r="K204" s="51"/>
    </row>
    <row r="205" spans="2:11">
      <c r="B205" s="51"/>
      <c r="C205" s="51"/>
      <c r="D205" s="51"/>
      <c r="E205" s="51"/>
      <c r="F205" s="51"/>
      <c r="G205" s="51"/>
      <c r="H205" s="51"/>
      <c r="I205" s="51"/>
      <c r="J205" s="51"/>
      <c r="K205" s="51"/>
    </row>
    <row r="206" spans="2:11">
      <c r="B206" s="51"/>
      <c r="C206" s="51"/>
      <c r="D206" s="51"/>
      <c r="E206" s="51"/>
      <c r="F206" s="51"/>
      <c r="G206" s="51"/>
      <c r="H206" s="51"/>
      <c r="I206" s="51"/>
      <c r="J206" s="51"/>
      <c r="K206" s="51"/>
    </row>
    <row r="207" spans="2:11">
      <c r="B207" s="51"/>
      <c r="C207" s="51"/>
      <c r="D207" s="51"/>
      <c r="E207" s="51"/>
      <c r="F207" s="51"/>
      <c r="G207" s="51"/>
      <c r="H207" s="51"/>
      <c r="I207" s="51"/>
      <c r="J207" s="51"/>
      <c r="K207" s="51"/>
    </row>
    <row r="208" spans="2:11">
      <c r="B208" s="51"/>
      <c r="C208" s="51"/>
      <c r="D208" s="51"/>
      <c r="E208" s="51"/>
      <c r="F208" s="51"/>
      <c r="G208" s="51"/>
      <c r="H208" s="51"/>
      <c r="I208" s="51"/>
      <c r="J208" s="51"/>
      <c r="K208" s="51"/>
    </row>
    <row r="209" spans="2:11">
      <c r="B209" s="51"/>
      <c r="C209" s="51"/>
      <c r="D209" s="51"/>
      <c r="E209" s="51"/>
      <c r="F209" s="51"/>
      <c r="G209" s="51"/>
      <c r="H209" s="51"/>
      <c r="I209" s="51"/>
      <c r="J209" s="51"/>
      <c r="K209" s="51"/>
    </row>
    <row r="210" spans="2:11">
      <c r="B210" s="51"/>
      <c r="C210" s="51"/>
      <c r="D210" s="51"/>
      <c r="E210" s="51"/>
      <c r="F210" s="51"/>
      <c r="G210" s="51"/>
      <c r="H210" s="51"/>
      <c r="I210" s="51"/>
      <c r="J210" s="51"/>
      <c r="K210" s="51"/>
    </row>
    <row r="211" spans="2:11">
      <c r="B211" s="51"/>
      <c r="C211" s="51"/>
      <c r="D211" s="51"/>
      <c r="E211" s="51"/>
      <c r="F211" s="51"/>
      <c r="G211" s="51"/>
      <c r="H211" s="51"/>
      <c r="I211" s="51"/>
      <c r="J211" s="51"/>
      <c r="K211" s="51"/>
    </row>
    <row r="212" spans="2:11">
      <c r="B212" s="51"/>
      <c r="C212" s="51"/>
      <c r="D212" s="51"/>
      <c r="E212" s="51"/>
      <c r="F212" s="51"/>
      <c r="G212" s="51"/>
      <c r="H212" s="51"/>
      <c r="I212" s="51"/>
      <c r="J212" s="51"/>
      <c r="K212" s="51"/>
    </row>
    <row r="213" spans="2:11">
      <c r="B213" s="51"/>
      <c r="C213" s="51"/>
      <c r="D213" s="51"/>
      <c r="E213" s="51"/>
      <c r="F213" s="51"/>
      <c r="G213" s="51"/>
      <c r="H213" s="51"/>
      <c r="I213" s="51"/>
      <c r="J213" s="51"/>
      <c r="K213" s="51"/>
    </row>
    <row r="214" spans="2:11">
      <c r="B214" s="51"/>
      <c r="C214" s="51"/>
      <c r="D214" s="51"/>
      <c r="E214" s="51"/>
      <c r="F214" s="51"/>
      <c r="G214" s="51"/>
      <c r="H214" s="51"/>
      <c r="I214" s="51"/>
      <c r="J214" s="51"/>
      <c r="K214" s="51"/>
    </row>
    <row r="215" spans="2:11">
      <c r="B215" s="51"/>
      <c r="C215" s="51"/>
      <c r="D215" s="51"/>
      <c r="E215" s="51"/>
      <c r="F215" s="51"/>
      <c r="G215" s="51"/>
      <c r="H215" s="51"/>
      <c r="I215" s="51"/>
      <c r="J215" s="51"/>
      <c r="K215" s="51"/>
    </row>
    <row r="216" spans="2:11">
      <c r="B216" s="51"/>
      <c r="C216" s="51"/>
      <c r="D216" s="51"/>
      <c r="E216" s="51"/>
      <c r="F216" s="51"/>
      <c r="G216" s="51"/>
      <c r="H216" s="51"/>
      <c r="I216" s="51"/>
      <c r="J216" s="51"/>
      <c r="K216" s="51"/>
    </row>
    <row r="217" spans="2:11">
      <c r="B217" s="51"/>
      <c r="C217" s="51"/>
      <c r="D217" s="51"/>
      <c r="E217" s="51"/>
      <c r="F217" s="51"/>
      <c r="G217" s="51"/>
      <c r="H217" s="51"/>
      <c r="I217" s="51"/>
      <c r="J217" s="51"/>
      <c r="K217" s="51"/>
    </row>
    <row r="218" spans="2:11">
      <c r="B218" s="51"/>
      <c r="C218" s="51"/>
      <c r="D218" s="51"/>
      <c r="E218" s="51"/>
      <c r="F218" s="51"/>
      <c r="G218" s="51"/>
      <c r="H218" s="51"/>
      <c r="I218" s="51"/>
      <c r="J218" s="51"/>
      <c r="K218" s="51"/>
    </row>
    <row r="219" spans="2:11">
      <c r="B219" s="51"/>
      <c r="C219" s="51"/>
      <c r="D219" s="51"/>
      <c r="E219" s="51"/>
      <c r="F219" s="51"/>
      <c r="G219" s="51"/>
      <c r="H219" s="51"/>
      <c r="I219" s="51"/>
      <c r="J219" s="51"/>
      <c r="K219" s="51"/>
    </row>
    <row r="220" spans="2:11">
      <c r="B220" s="51"/>
      <c r="C220" s="51"/>
      <c r="D220" s="51"/>
      <c r="E220" s="51"/>
      <c r="F220" s="51"/>
      <c r="G220" s="51"/>
      <c r="H220" s="51"/>
      <c r="I220" s="51"/>
      <c r="J220" s="51"/>
      <c r="K220" s="51"/>
    </row>
    <row r="221" spans="2:11">
      <c r="B221" s="51"/>
      <c r="C221" s="51"/>
      <c r="D221" s="51"/>
      <c r="E221" s="51"/>
      <c r="F221" s="51"/>
      <c r="G221" s="51"/>
      <c r="H221" s="51"/>
      <c r="I221" s="51"/>
      <c r="J221" s="51"/>
      <c r="K221" s="51"/>
    </row>
    <row r="222" spans="2:11">
      <c r="B222" s="51"/>
      <c r="C222" s="51"/>
      <c r="D222" s="51"/>
      <c r="E222" s="51"/>
      <c r="F222" s="51"/>
      <c r="G222" s="51"/>
      <c r="H222" s="51"/>
      <c r="I222" s="51"/>
      <c r="J222" s="51"/>
      <c r="K222" s="51"/>
    </row>
  </sheetData>
  <mergeCells count="23">
    <mergeCell ref="B17:K17"/>
    <mergeCell ref="D73:D76"/>
    <mergeCell ref="G74:J75"/>
    <mergeCell ref="B18:K18"/>
    <mergeCell ref="D38:D39"/>
    <mergeCell ref="B19:K19"/>
    <mergeCell ref="B20:K20"/>
    <mergeCell ref="B21:K21"/>
    <mergeCell ref="B22:K22"/>
    <mergeCell ref="B11:K11"/>
    <mergeCell ref="B12:K12"/>
    <mergeCell ref="B15:K15"/>
    <mergeCell ref="B16:K16"/>
    <mergeCell ref="B13:K13"/>
    <mergeCell ref="B14:K14"/>
    <mergeCell ref="B9:K9"/>
    <mergeCell ref="B10:K10"/>
    <mergeCell ref="B2:K2"/>
    <mergeCell ref="B4:K4"/>
    <mergeCell ref="B5:K5"/>
    <mergeCell ref="B6:K6"/>
    <mergeCell ref="B7:K7"/>
    <mergeCell ref="B8:K8"/>
  </mergeCells>
  <phoneticPr fontId="67" type="noConversion"/>
  <pageMargins left="0.7" right="0.7" top="0.75" bottom="0.75" header="0.3" footer="0.3"/>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32</vt:i4>
      </vt:variant>
      <vt:variant>
        <vt:lpstr>Rangos con nombre</vt:lpstr>
      </vt:variant>
      <vt:variant>
        <vt:i4>19</vt:i4>
      </vt:variant>
    </vt:vector>
  </HeadingPairs>
  <TitlesOfParts>
    <vt:vector size="51" baseType="lpstr">
      <vt:lpstr>Balance general</vt:lpstr>
      <vt:lpstr>Estado de resultados</vt:lpstr>
      <vt:lpstr>Balance</vt:lpstr>
      <vt:lpstr>Resultados</vt:lpstr>
      <vt:lpstr>FCL</vt:lpstr>
      <vt:lpstr>Imptos.</vt:lpstr>
      <vt:lpstr>CapitalFijo</vt:lpstr>
      <vt:lpstr>PasivoFciero.</vt:lpstr>
      <vt:lpstr>Supuestos</vt:lpstr>
      <vt:lpstr>Valoraciones</vt:lpstr>
      <vt:lpstr>VPN Cascada</vt:lpstr>
      <vt:lpstr>Tabla Comparación</vt:lpstr>
      <vt:lpstr>AnalVr.</vt:lpstr>
      <vt:lpstr>AnalVr.Proy.</vt:lpstr>
      <vt:lpstr>Base impuesto</vt:lpstr>
      <vt:lpstr>Indicadores</vt:lpstr>
      <vt:lpstr>KWOp.</vt:lpstr>
      <vt:lpstr>KWOp.%</vt:lpstr>
      <vt:lpstr>Proy.WACC</vt:lpstr>
      <vt:lpstr>Conversión tasas</vt:lpstr>
      <vt:lpstr>Proy.FCL</vt:lpstr>
      <vt:lpstr>CreaciónVr.</vt:lpstr>
      <vt:lpstr>Resultados%</vt:lpstr>
      <vt:lpstr>Deuda nueva</vt:lpstr>
      <vt:lpstr>Deuda actual </vt:lpstr>
      <vt:lpstr>Retornos año</vt:lpstr>
      <vt:lpstr>LIBOR</vt:lpstr>
      <vt:lpstr>Generadores</vt:lpstr>
      <vt:lpstr>DTF</vt:lpstr>
      <vt:lpstr>TRM</vt:lpstr>
      <vt:lpstr>Risk</vt:lpstr>
      <vt:lpstr>Beta Damodarán</vt:lpstr>
      <vt:lpstr>AnalVr.</vt:lpstr>
      <vt:lpstr>AnalVr.Proy.</vt:lpstr>
      <vt:lpstr>Indicadores!Área_de_impresión</vt:lpstr>
      <vt:lpstr>BG</vt:lpstr>
      <vt:lpstr>CapitalFijo</vt:lpstr>
      <vt:lpstr>CreaciónVr.</vt:lpstr>
      <vt:lpstr>ER</vt:lpstr>
      <vt:lpstr>FCL</vt:lpstr>
      <vt:lpstr>Generadores</vt:lpstr>
      <vt:lpstr>Imptos.</vt:lpstr>
      <vt:lpstr>KWOp.</vt:lpstr>
      <vt:lpstr>PASIVOFCIERO</vt:lpstr>
      <vt:lpstr>Proy.Cifras</vt:lpstr>
      <vt:lpstr>Proy.FCL</vt:lpstr>
      <vt:lpstr>FCL!Títulos_a_imprimir</vt:lpstr>
      <vt:lpstr>Proy.FCL!Títulos_a_imprimir</vt:lpstr>
      <vt:lpstr>Valoraciones!Títulos_a_imprimir</vt:lpstr>
      <vt:lpstr>Valoraciones</vt:lpstr>
      <vt:lpstr>Proy.WACC!WACC</vt:lpstr>
    </vt:vector>
  </TitlesOfParts>
  <Company>EAFIT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oema</dc:creator>
  <cp:lastModifiedBy>USER</cp:lastModifiedBy>
  <cp:lastPrinted>2008-08-15T17:55:19Z</cp:lastPrinted>
  <dcterms:created xsi:type="dcterms:W3CDTF">1996-09-02T21:19:22Z</dcterms:created>
  <dcterms:modified xsi:type="dcterms:W3CDTF">2014-07-29T02:19:06Z</dcterms:modified>
</cp:coreProperties>
</file>