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T. LAURA VALDIVIESO\"/>
    </mc:Choice>
  </mc:AlternateContent>
  <bookViews>
    <workbookView xWindow="0" yWindow="0" windowWidth="20490" windowHeight="7755"/>
  </bookViews>
  <sheets>
    <sheet name="INSTRUCCIONES" sheetId="4" r:id="rId1"/>
    <sheet name="CIFRAS" sheetId="1" r:id="rId2"/>
    <sheet name="FC + INDICADORES" sheetId="2" r:id="rId3"/>
  </sheets>
  <externalReferences>
    <externalReference r:id="rId4"/>
  </externalReferences>
  <definedNames>
    <definedName name="______________fcl2">'FC + INDICADORES'!$H$27</definedName>
    <definedName name="_____________fcl2">'FC + INDICADORES'!$H$27</definedName>
    <definedName name="____________fcl2">'FC + INDICADORES'!$H$27</definedName>
    <definedName name="___________fcl2">'FC + INDICADORES'!$H$27</definedName>
    <definedName name="__________fcl2">'FC + INDICADORES'!$H$27</definedName>
    <definedName name="_________fcl2">'FC + INDICADORES'!$H$27</definedName>
    <definedName name="________fcl2">'FC + INDICADORES'!$H$27</definedName>
    <definedName name="_______fcl2">'FC + INDICADORES'!$H$27</definedName>
    <definedName name="______fcl2">'FC + INDICADORES'!$H$27</definedName>
    <definedName name="_____fcl2">'FC + INDICADORES'!$H$27</definedName>
    <definedName name="____fcl2">'FC + INDICADORES'!$H$27</definedName>
    <definedName name="___fcl2">'FC + INDICADORES'!$H$27</definedName>
    <definedName name="__fcl2">'FC + INDICADORES'!$H$27</definedName>
    <definedName name="__IW1">[1]Tablas!$X$1193</definedName>
    <definedName name="__IW2">[1]Tablas!$X$1194</definedName>
    <definedName name="_fcl2">'FC + INDICADORES'!$H$27</definedName>
    <definedName name="_IW1">[1]Tablas!$X$1193</definedName>
    <definedName name="_IW2">[1]Tablas!$X$1194</definedName>
    <definedName name="_xlnm.Print_Area" localSheetId="1">CIFRAS!$A$23:$D$164</definedName>
    <definedName name="_xlnm.Print_Area" localSheetId="0">INSTRUCCIONES!$A$1:$L$53</definedName>
    <definedName name="ColPRU">CIFRAS!$F$5</definedName>
    <definedName name="ebitda2">'FC + INDICADORES'!$H$9</definedName>
    <definedName name="ebitdap">'FC + INDICADORES'!#REF!</definedName>
    <definedName name="fclp">'FC + INDICADORES'!#REF!</definedName>
    <definedName name="IW1_1">[1]Tablas!$Y$1193</definedName>
    <definedName name="IW2_2">[1]Tablas!$Y$1194</definedName>
    <definedName name="Nombre">[1]DECIS!$F$3</definedName>
  </definedNames>
  <calcPr calcId="171026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1" i="2" l="1"/>
  <c r="D38" i="1"/>
  <c r="H4" i="2"/>
  <c r="H7" i="2"/>
  <c r="H8" i="2"/>
  <c r="C74" i="1"/>
  <c r="H9" i="2"/>
  <c r="H10" i="2"/>
  <c r="H11" i="2"/>
  <c r="H13" i="2"/>
  <c r="H15" i="2"/>
  <c r="H17" i="2"/>
  <c r="D78" i="1"/>
  <c r="D77" i="1"/>
  <c r="C78" i="1"/>
  <c r="C77" i="1"/>
  <c r="D143" i="1"/>
  <c r="D144" i="1"/>
  <c r="D145" i="1"/>
  <c r="D154" i="1"/>
  <c r="H19" i="2"/>
  <c r="H22" i="2"/>
  <c r="C83" i="1"/>
  <c r="H25" i="2"/>
  <c r="H26" i="2"/>
  <c r="H27" i="2"/>
  <c r="C100" i="1"/>
  <c r="D100" i="1"/>
  <c r="H28" i="2"/>
  <c r="D52" i="1"/>
  <c r="H29" i="2"/>
  <c r="H30" i="2"/>
  <c r="H32" i="2"/>
  <c r="D42" i="1"/>
  <c r="D41" i="1"/>
  <c r="D46" i="1"/>
  <c r="D49" i="1"/>
  <c r="D45" i="1"/>
  <c r="D44" i="1"/>
  <c r="D57" i="1"/>
  <c r="D61" i="1"/>
  <c r="D106" i="1"/>
  <c r="C38" i="1"/>
  <c r="C42" i="1"/>
  <c r="C41" i="1"/>
  <c r="C46" i="1"/>
  <c r="C49" i="1"/>
  <c r="C45" i="1"/>
  <c r="C52" i="1"/>
  <c r="C44" i="1"/>
  <c r="C57" i="1"/>
  <c r="C61" i="1"/>
  <c r="C106" i="1"/>
  <c r="D110" i="1"/>
  <c r="H33" i="2"/>
  <c r="H35" i="2"/>
  <c r="H37" i="2"/>
  <c r="H52" i="2"/>
  <c r="H59" i="2"/>
  <c r="H62" i="2"/>
  <c r="H63" i="2"/>
  <c r="E71" i="1"/>
  <c r="I61" i="2"/>
  <c r="E26" i="1"/>
  <c r="E25" i="1"/>
  <c r="E28" i="1"/>
  <c r="D34" i="1"/>
  <c r="E34" i="1"/>
  <c r="E33" i="1"/>
  <c r="E35" i="1"/>
  <c r="E38" i="1"/>
  <c r="I4" i="2"/>
  <c r="B116" i="1"/>
  <c r="B131" i="1"/>
  <c r="C116" i="1"/>
  <c r="C131" i="1"/>
  <c r="D116" i="1"/>
  <c r="D131" i="1"/>
  <c r="E131" i="1"/>
  <c r="E116" i="1"/>
  <c r="E72" i="1"/>
  <c r="I7" i="2"/>
  <c r="B117" i="1"/>
  <c r="B132" i="1"/>
  <c r="C117" i="1"/>
  <c r="C132" i="1"/>
  <c r="D117" i="1"/>
  <c r="D132" i="1"/>
  <c r="E132" i="1"/>
  <c r="E117" i="1"/>
  <c r="E73" i="1"/>
  <c r="I8" i="2"/>
  <c r="B118" i="1"/>
  <c r="B133" i="1"/>
  <c r="C118" i="1"/>
  <c r="C133" i="1"/>
  <c r="D118" i="1"/>
  <c r="D133" i="1"/>
  <c r="E133" i="1"/>
  <c r="E118" i="1"/>
  <c r="E74" i="1"/>
  <c r="I9" i="2"/>
  <c r="B120" i="1"/>
  <c r="B135" i="1"/>
  <c r="C120" i="1"/>
  <c r="C135" i="1"/>
  <c r="D120" i="1"/>
  <c r="D135" i="1"/>
  <c r="E135" i="1"/>
  <c r="E120" i="1"/>
  <c r="E92" i="1"/>
  <c r="I10" i="2"/>
  <c r="B121" i="1"/>
  <c r="B136" i="1"/>
  <c r="C121" i="1"/>
  <c r="C136" i="1"/>
  <c r="D121" i="1"/>
  <c r="D136" i="1"/>
  <c r="E136" i="1"/>
  <c r="E121" i="1"/>
  <c r="E93" i="1"/>
  <c r="B122" i="1"/>
  <c r="B137" i="1"/>
  <c r="C122" i="1"/>
  <c r="C137" i="1"/>
  <c r="D122" i="1"/>
  <c r="D137" i="1"/>
  <c r="E137" i="1"/>
  <c r="E122" i="1"/>
  <c r="E94" i="1"/>
  <c r="I11" i="2"/>
  <c r="I13" i="2"/>
  <c r="E42" i="1"/>
  <c r="E41" i="1"/>
  <c r="E46" i="1"/>
  <c r="E49" i="1"/>
  <c r="E45" i="1"/>
  <c r="E52" i="1"/>
  <c r="E44" i="1"/>
  <c r="E57" i="1"/>
  <c r="E59" i="1"/>
  <c r="I15" i="2"/>
  <c r="I17" i="2"/>
  <c r="E79" i="1"/>
  <c r="E80" i="1"/>
  <c r="E78" i="1"/>
  <c r="E81" i="1"/>
  <c r="E77" i="1"/>
  <c r="E143" i="1"/>
  <c r="E144" i="1"/>
  <c r="E145" i="1"/>
  <c r="E154" i="1"/>
  <c r="I19" i="2"/>
  <c r="I22" i="2"/>
  <c r="I25" i="2"/>
  <c r="I26" i="2"/>
  <c r="I27" i="2"/>
  <c r="E100" i="1"/>
  <c r="I28" i="2"/>
  <c r="I29" i="2"/>
  <c r="I30" i="2"/>
  <c r="I32" i="2"/>
  <c r="E106" i="1"/>
  <c r="E61" i="1"/>
  <c r="E110" i="1"/>
  <c r="I33" i="2"/>
  <c r="I35" i="2"/>
  <c r="I37" i="2"/>
  <c r="I52" i="2"/>
  <c r="I59" i="2"/>
  <c r="I62" i="2"/>
  <c r="I63" i="2"/>
  <c r="F71" i="1"/>
  <c r="J61" i="2"/>
  <c r="F26" i="1"/>
  <c r="F25" i="1"/>
  <c r="F28" i="1"/>
  <c r="F33" i="1"/>
  <c r="F35" i="1"/>
  <c r="F38" i="1"/>
  <c r="J4" i="2"/>
  <c r="F116" i="1"/>
  <c r="F72" i="1"/>
  <c r="J7" i="2"/>
  <c r="F132" i="1"/>
  <c r="F117" i="1"/>
  <c r="F73" i="1"/>
  <c r="J8" i="2"/>
  <c r="F118" i="1"/>
  <c r="F74" i="1"/>
  <c r="J9" i="2"/>
  <c r="F135" i="1"/>
  <c r="F120" i="1"/>
  <c r="F92" i="1"/>
  <c r="J10" i="2"/>
  <c r="F136" i="1"/>
  <c r="F121" i="1"/>
  <c r="F93" i="1"/>
  <c r="F122" i="1"/>
  <c r="F94" i="1"/>
  <c r="J11" i="2"/>
  <c r="J13" i="2"/>
  <c r="B42" i="1"/>
  <c r="G78" i="2"/>
  <c r="F42" i="1"/>
  <c r="F41" i="1"/>
  <c r="F46" i="1"/>
  <c r="F49" i="1"/>
  <c r="F45" i="1"/>
  <c r="F52" i="1"/>
  <c r="F44" i="1"/>
  <c r="F57" i="1"/>
  <c r="F59" i="1"/>
  <c r="J15" i="2"/>
  <c r="J17" i="2"/>
  <c r="F79" i="1"/>
  <c r="F80" i="1"/>
  <c r="F78" i="1"/>
  <c r="F81" i="1"/>
  <c r="F77" i="1"/>
  <c r="F143" i="1"/>
  <c r="F144" i="1"/>
  <c r="F145" i="1"/>
  <c r="F154" i="1"/>
  <c r="J19" i="2"/>
  <c r="J22" i="2"/>
  <c r="J25" i="2"/>
  <c r="J26" i="2"/>
  <c r="J27" i="2"/>
  <c r="J28" i="2"/>
  <c r="J29" i="2"/>
  <c r="J30" i="2"/>
  <c r="J32" i="2"/>
  <c r="F61" i="1"/>
  <c r="F106" i="1"/>
  <c r="F110" i="1"/>
  <c r="J33" i="2"/>
  <c r="J35" i="2"/>
  <c r="J37" i="2"/>
  <c r="J52" i="2"/>
  <c r="J59" i="2"/>
  <c r="J62" i="2"/>
  <c r="J63" i="2"/>
  <c r="K61" i="2"/>
  <c r="G26" i="1"/>
  <c r="G25" i="1"/>
  <c r="G28" i="1"/>
  <c r="G33" i="1"/>
  <c r="G35" i="1"/>
  <c r="G38" i="1"/>
  <c r="K4" i="2"/>
  <c r="G116" i="1"/>
  <c r="G72" i="1"/>
  <c r="K7" i="2"/>
  <c r="G132" i="1"/>
  <c r="G117" i="1"/>
  <c r="G73" i="1"/>
  <c r="K8" i="2"/>
  <c r="G118" i="1"/>
  <c r="G74" i="1"/>
  <c r="K9" i="2"/>
  <c r="G135" i="1"/>
  <c r="G120" i="1"/>
  <c r="G92" i="1"/>
  <c r="K10" i="2"/>
  <c r="G136" i="1"/>
  <c r="G121" i="1"/>
  <c r="G93" i="1"/>
  <c r="G122" i="1"/>
  <c r="G94" i="1"/>
  <c r="K11" i="2"/>
  <c r="K13" i="2"/>
  <c r="G42" i="1"/>
  <c r="G41" i="1"/>
  <c r="G46" i="1"/>
  <c r="G49" i="1"/>
  <c r="G45" i="1"/>
  <c r="G52" i="1"/>
  <c r="G44" i="1"/>
  <c r="G57" i="1"/>
  <c r="G59" i="1"/>
  <c r="K15" i="2"/>
  <c r="K17" i="2"/>
  <c r="G80" i="1"/>
  <c r="G78" i="1"/>
  <c r="G81" i="1"/>
  <c r="G77" i="1"/>
  <c r="G143" i="1"/>
  <c r="G144" i="1"/>
  <c r="G145" i="1"/>
  <c r="G154" i="1"/>
  <c r="K19" i="2"/>
  <c r="K22" i="2"/>
  <c r="K25" i="2"/>
  <c r="K26" i="2"/>
  <c r="K27" i="2"/>
  <c r="K28" i="2"/>
  <c r="K29" i="2"/>
  <c r="K30" i="2"/>
  <c r="K32" i="2"/>
  <c r="G61" i="1"/>
  <c r="G106" i="1"/>
  <c r="G110" i="1"/>
  <c r="K33" i="2"/>
  <c r="K35" i="2"/>
  <c r="K37" i="2"/>
  <c r="K52" i="2"/>
  <c r="K59" i="2"/>
  <c r="K62" i="2"/>
  <c r="K63" i="2"/>
  <c r="H71" i="1"/>
  <c r="L61" i="2"/>
  <c r="H26" i="1"/>
  <c r="H25" i="1"/>
  <c r="H28" i="1"/>
  <c r="H33" i="1"/>
  <c r="H35" i="1"/>
  <c r="H38" i="1"/>
  <c r="L4" i="2"/>
  <c r="H116" i="1"/>
  <c r="H72" i="1"/>
  <c r="L7" i="2"/>
  <c r="H132" i="1"/>
  <c r="H117" i="1"/>
  <c r="H73" i="1"/>
  <c r="L8" i="2"/>
  <c r="H118" i="1"/>
  <c r="H74" i="1"/>
  <c r="L9" i="2"/>
  <c r="H135" i="1"/>
  <c r="H120" i="1"/>
  <c r="H92" i="1"/>
  <c r="L10" i="2"/>
  <c r="H136" i="1"/>
  <c r="H121" i="1"/>
  <c r="H93" i="1"/>
  <c r="H122" i="1"/>
  <c r="H94" i="1"/>
  <c r="L11" i="2"/>
  <c r="L13" i="2"/>
  <c r="H42" i="1"/>
  <c r="H41" i="1"/>
  <c r="H46" i="1"/>
  <c r="H49" i="1"/>
  <c r="H45" i="1"/>
  <c r="H52" i="1"/>
  <c r="H44" i="1"/>
  <c r="H57" i="1"/>
  <c r="H59" i="1"/>
  <c r="L15" i="2"/>
  <c r="L17" i="2"/>
  <c r="H80" i="1"/>
  <c r="H78" i="1"/>
  <c r="H81" i="1"/>
  <c r="H77" i="1"/>
  <c r="H143" i="1"/>
  <c r="H144" i="1"/>
  <c r="H145" i="1"/>
  <c r="H154" i="1"/>
  <c r="L19" i="2"/>
  <c r="L22" i="2"/>
  <c r="L25" i="2"/>
  <c r="L26" i="2"/>
  <c r="L27" i="2"/>
  <c r="L28" i="2"/>
  <c r="L29" i="2"/>
  <c r="L30" i="2"/>
  <c r="L32" i="2"/>
  <c r="H61" i="1"/>
  <c r="H110" i="1"/>
  <c r="L33" i="2"/>
  <c r="L35" i="2"/>
  <c r="L37" i="2"/>
  <c r="L52" i="2"/>
  <c r="L59" i="2"/>
  <c r="L62" i="2"/>
  <c r="L63" i="2"/>
  <c r="I71" i="1"/>
  <c r="M61" i="2"/>
  <c r="I26" i="1"/>
  <c r="I25" i="1"/>
  <c r="I28" i="1"/>
  <c r="I33" i="1"/>
  <c r="I35" i="1"/>
  <c r="I38" i="1"/>
  <c r="M4" i="2"/>
  <c r="I116" i="1"/>
  <c r="I72" i="1"/>
  <c r="M7" i="2"/>
  <c r="I132" i="1"/>
  <c r="I117" i="1"/>
  <c r="I73" i="1"/>
  <c r="M8" i="2"/>
  <c r="I118" i="1"/>
  <c r="I74" i="1"/>
  <c r="M9" i="2"/>
  <c r="I135" i="1"/>
  <c r="I120" i="1"/>
  <c r="I92" i="1"/>
  <c r="M10" i="2"/>
  <c r="I136" i="1"/>
  <c r="I121" i="1"/>
  <c r="I93" i="1"/>
  <c r="I122" i="1"/>
  <c r="I94" i="1"/>
  <c r="M11" i="2"/>
  <c r="M13" i="2"/>
  <c r="I98" i="1"/>
  <c r="I42" i="1"/>
  <c r="I41" i="1"/>
  <c r="I46" i="1"/>
  <c r="I49" i="1"/>
  <c r="I45" i="1"/>
  <c r="I52" i="1"/>
  <c r="I44" i="1"/>
  <c r="I57" i="1"/>
  <c r="I59" i="1"/>
  <c r="M15" i="2"/>
  <c r="M17" i="2"/>
  <c r="I80" i="1"/>
  <c r="I78" i="1"/>
  <c r="I81" i="1"/>
  <c r="I77" i="1"/>
  <c r="I143" i="1"/>
  <c r="I144" i="1"/>
  <c r="I145" i="1"/>
  <c r="I154" i="1"/>
  <c r="M19" i="2"/>
  <c r="M22" i="2"/>
  <c r="M25" i="2"/>
  <c r="M26" i="2"/>
  <c r="M27" i="2"/>
  <c r="M28" i="2"/>
  <c r="M29" i="2"/>
  <c r="M30" i="2"/>
  <c r="M32" i="2"/>
  <c r="I61" i="1"/>
  <c r="I110" i="1"/>
  <c r="M33" i="2"/>
  <c r="M35" i="2"/>
  <c r="M37" i="2"/>
  <c r="M52" i="2"/>
  <c r="M59" i="2"/>
  <c r="M62" i="2"/>
  <c r="M63" i="2"/>
  <c r="J71" i="1"/>
  <c r="N61" i="2"/>
  <c r="J26" i="1"/>
  <c r="J25" i="1"/>
  <c r="J28" i="1"/>
  <c r="J33" i="1"/>
  <c r="J35" i="1"/>
  <c r="J38" i="1"/>
  <c r="N4" i="2"/>
  <c r="J116" i="1"/>
  <c r="J72" i="1"/>
  <c r="N7" i="2"/>
  <c r="J132" i="1"/>
  <c r="J117" i="1"/>
  <c r="J73" i="1"/>
  <c r="N8" i="2"/>
  <c r="J118" i="1"/>
  <c r="J74" i="1"/>
  <c r="N9" i="2"/>
  <c r="J135" i="1"/>
  <c r="J120" i="1"/>
  <c r="J92" i="1"/>
  <c r="N10" i="2"/>
  <c r="J136" i="1"/>
  <c r="J121" i="1"/>
  <c r="J93" i="1"/>
  <c r="J122" i="1"/>
  <c r="J94" i="1"/>
  <c r="N11" i="2"/>
  <c r="N13" i="2"/>
  <c r="J42" i="1"/>
  <c r="J41" i="1"/>
  <c r="J46" i="1"/>
  <c r="J49" i="1"/>
  <c r="J45" i="1"/>
  <c r="J52" i="1"/>
  <c r="J44" i="1"/>
  <c r="J57" i="1"/>
  <c r="J59" i="1"/>
  <c r="N15" i="2"/>
  <c r="N17" i="2"/>
  <c r="J80" i="1"/>
  <c r="J78" i="1"/>
  <c r="J81" i="1"/>
  <c r="J77" i="1"/>
  <c r="J143" i="1"/>
  <c r="J144" i="1"/>
  <c r="J145" i="1"/>
  <c r="J154" i="1"/>
  <c r="N19" i="2"/>
  <c r="N22" i="2"/>
  <c r="N25" i="2"/>
  <c r="N26" i="2"/>
  <c r="N27" i="2"/>
  <c r="N28" i="2"/>
  <c r="N29" i="2"/>
  <c r="N30" i="2"/>
  <c r="N32" i="2"/>
  <c r="J61" i="1"/>
  <c r="J110" i="1"/>
  <c r="N33" i="2"/>
  <c r="N35" i="2"/>
  <c r="N37" i="2"/>
  <c r="N52" i="2"/>
  <c r="N59" i="2"/>
  <c r="N62" i="2"/>
  <c r="N63" i="2"/>
  <c r="K71" i="1"/>
  <c r="O61" i="2"/>
  <c r="K26" i="1"/>
  <c r="K25" i="1"/>
  <c r="K28" i="1"/>
  <c r="K33" i="1"/>
  <c r="K35" i="1"/>
  <c r="K38" i="1"/>
  <c r="O4" i="2"/>
  <c r="K116" i="1"/>
  <c r="K72" i="1"/>
  <c r="O7" i="2"/>
  <c r="K132" i="1"/>
  <c r="K117" i="1"/>
  <c r="K73" i="1"/>
  <c r="O8" i="2"/>
  <c r="K118" i="1"/>
  <c r="K74" i="1"/>
  <c r="O9" i="2"/>
  <c r="K135" i="1"/>
  <c r="K120" i="1"/>
  <c r="K92" i="1"/>
  <c r="O10" i="2"/>
  <c r="K136" i="1"/>
  <c r="K121" i="1"/>
  <c r="K93" i="1"/>
  <c r="K122" i="1"/>
  <c r="K94" i="1"/>
  <c r="O11" i="2"/>
  <c r="O13" i="2"/>
  <c r="K42" i="1"/>
  <c r="K41" i="1"/>
  <c r="K46" i="1"/>
  <c r="K49" i="1"/>
  <c r="K45" i="1"/>
  <c r="K52" i="1"/>
  <c r="K44" i="1"/>
  <c r="K57" i="1"/>
  <c r="K59" i="1"/>
  <c r="O15" i="2"/>
  <c r="O17" i="2"/>
  <c r="K80" i="1"/>
  <c r="K78" i="1"/>
  <c r="K81" i="1"/>
  <c r="K77" i="1"/>
  <c r="K143" i="1"/>
  <c r="K144" i="1"/>
  <c r="K145" i="1"/>
  <c r="K154" i="1"/>
  <c r="O19" i="2"/>
  <c r="O22" i="2"/>
  <c r="O25" i="2"/>
  <c r="O26" i="2"/>
  <c r="O27" i="2"/>
  <c r="O28" i="2"/>
  <c r="O29" i="2"/>
  <c r="O30" i="2"/>
  <c r="O32" i="2"/>
  <c r="K61" i="1"/>
  <c r="K110" i="1"/>
  <c r="O33" i="2"/>
  <c r="O35" i="2"/>
  <c r="O37" i="2"/>
  <c r="O52" i="2"/>
  <c r="O59" i="2"/>
  <c r="O62" i="2"/>
  <c r="O63" i="2"/>
  <c r="L71" i="1"/>
  <c r="P61" i="2"/>
  <c r="L26" i="1"/>
  <c r="L25" i="1"/>
  <c r="L28" i="1"/>
  <c r="L33" i="1"/>
  <c r="L35" i="1"/>
  <c r="L38" i="1"/>
  <c r="P4" i="2"/>
  <c r="L116" i="1"/>
  <c r="L72" i="1"/>
  <c r="P7" i="2"/>
  <c r="L132" i="1"/>
  <c r="L117" i="1"/>
  <c r="L73" i="1"/>
  <c r="P8" i="2"/>
  <c r="L118" i="1"/>
  <c r="L74" i="1"/>
  <c r="P9" i="2"/>
  <c r="L135" i="1"/>
  <c r="L120" i="1"/>
  <c r="L92" i="1"/>
  <c r="P10" i="2"/>
  <c r="L136" i="1"/>
  <c r="L121" i="1"/>
  <c r="L93" i="1"/>
  <c r="L122" i="1"/>
  <c r="L94" i="1"/>
  <c r="P11" i="2"/>
  <c r="P13" i="2"/>
  <c r="L42" i="1"/>
  <c r="L41" i="1"/>
  <c r="L46" i="1"/>
  <c r="L49" i="1"/>
  <c r="L45" i="1"/>
  <c r="L52" i="1"/>
  <c r="L44" i="1"/>
  <c r="L57" i="1"/>
  <c r="L59" i="1"/>
  <c r="P15" i="2"/>
  <c r="P17" i="2"/>
  <c r="L80" i="1"/>
  <c r="L78" i="1"/>
  <c r="L81" i="1"/>
  <c r="L77" i="1"/>
  <c r="L143" i="1"/>
  <c r="L144" i="1"/>
  <c r="L145" i="1"/>
  <c r="L154" i="1"/>
  <c r="P19" i="2"/>
  <c r="P22" i="2"/>
  <c r="P25" i="2"/>
  <c r="P26" i="2"/>
  <c r="P27" i="2"/>
  <c r="P28" i="2"/>
  <c r="P29" i="2"/>
  <c r="P30" i="2"/>
  <c r="P32" i="2"/>
  <c r="L61" i="1"/>
  <c r="L110" i="1"/>
  <c r="P33" i="2"/>
  <c r="P35" i="2"/>
  <c r="P37" i="2"/>
  <c r="P52" i="2"/>
  <c r="P59" i="2"/>
  <c r="P62" i="2"/>
  <c r="P63" i="2"/>
  <c r="M71" i="1"/>
  <c r="Q61" i="2"/>
  <c r="M26" i="1"/>
  <c r="M25" i="1"/>
  <c r="M28" i="1"/>
  <c r="M33" i="1"/>
  <c r="M35" i="1"/>
  <c r="M38" i="1"/>
  <c r="Q4" i="2"/>
  <c r="M116" i="1"/>
  <c r="M72" i="1"/>
  <c r="Q7" i="2"/>
  <c r="M132" i="1"/>
  <c r="M117" i="1"/>
  <c r="M73" i="1"/>
  <c r="Q8" i="2"/>
  <c r="M133" i="1"/>
  <c r="M118" i="1"/>
  <c r="M74" i="1"/>
  <c r="Q9" i="2"/>
  <c r="M135" i="1"/>
  <c r="M120" i="1"/>
  <c r="M92" i="1"/>
  <c r="Q10" i="2"/>
  <c r="M136" i="1"/>
  <c r="M121" i="1"/>
  <c r="M93" i="1"/>
  <c r="M137" i="1"/>
  <c r="M122" i="1"/>
  <c r="M94" i="1"/>
  <c r="Q11" i="2"/>
  <c r="Q13" i="2"/>
  <c r="M42" i="1"/>
  <c r="M41" i="1"/>
  <c r="M46" i="1"/>
  <c r="M49" i="1"/>
  <c r="M45" i="1"/>
  <c r="M52" i="1"/>
  <c r="M44" i="1"/>
  <c r="M57" i="1"/>
  <c r="M59" i="1"/>
  <c r="Q15" i="2"/>
  <c r="Q17" i="2"/>
  <c r="M80" i="1"/>
  <c r="M78" i="1"/>
  <c r="M81" i="1"/>
  <c r="M77" i="1"/>
  <c r="M143" i="1"/>
  <c r="M144" i="1"/>
  <c r="M145" i="1"/>
  <c r="M154" i="1"/>
  <c r="Q19" i="2"/>
  <c r="Q22" i="2"/>
  <c r="Q25" i="2"/>
  <c r="Q26" i="2"/>
  <c r="Q27" i="2"/>
  <c r="Q28" i="2"/>
  <c r="Q29" i="2"/>
  <c r="Q30" i="2"/>
  <c r="Q32" i="2"/>
  <c r="M61" i="1"/>
  <c r="M110" i="1"/>
  <c r="Q33" i="2"/>
  <c r="Q35" i="2"/>
  <c r="Q37" i="2"/>
  <c r="Q52" i="2"/>
  <c r="Q59" i="2"/>
  <c r="Q62" i="2"/>
  <c r="Q63" i="2"/>
  <c r="N71" i="1"/>
  <c r="R61" i="2"/>
  <c r="N26" i="1"/>
  <c r="N25" i="1"/>
  <c r="N28" i="1"/>
  <c r="N33" i="1"/>
  <c r="N35" i="1"/>
  <c r="N38" i="1"/>
  <c r="R4" i="2"/>
  <c r="N116" i="1"/>
  <c r="N72" i="1"/>
  <c r="R7" i="2"/>
  <c r="N132" i="1"/>
  <c r="N117" i="1"/>
  <c r="N73" i="1"/>
  <c r="R8" i="2"/>
  <c r="N133" i="1"/>
  <c r="N118" i="1"/>
  <c r="N74" i="1"/>
  <c r="R9" i="2"/>
  <c r="N135" i="1"/>
  <c r="N120" i="1"/>
  <c r="N92" i="1"/>
  <c r="R10" i="2"/>
  <c r="N136" i="1"/>
  <c r="N121" i="1"/>
  <c r="N93" i="1"/>
  <c r="N137" i="1"/>
  <c r="N122" i="1"/>
  <c r="N94" i="1"/>
  <c r="R11" i="2"/>
  <c r="R13" i="2"/>
  <c r="N42" i="1"/>
  <c r="N41" i="1"/>
  <c r="N46" i="1"/>
  <c r="N49" i="1"/>
  <c r="N45" i="1"/>
  <c r="N52" i="1"/>
  <c r="N44" i="1"/>
  <c r="N57" i="1"/>
  <c r="N59" i="1"/>
  <c r="R15" i="2"/>
  <c r="R17" i="2"/>
  <c r="N80" i="1"/>
  <c r="N78" i="1"/>
  <c r="N81" i="1"/>
  <c r="N77" i="1"/>
  <c r="N143" i="1"/>
  <c r="N144" i="1"/>
  <c r="N145" i="1"/>
  <c r="N154" i="1"/>
  <c r="R19" i="2"/>
  <c r="R22" i="2"/>
  <c r="R25" i="2"/>
  <c r="R26" i="2"/>
  <c r="R27" i="2"/>
  <c r="R28" i="2"/>
  <c r="R29" i="2"/>
  <c r="R30" i="2"/>
  <c r="R32" i="2"/>
  <c r="N61" i="1"/>
  <c r="N110" i="1"/>
  <c r="R33" i="2"/>
  <c r="R35" i="2"/>
  <c r="R37" i="2"/>
  <c r="R52" i="2"/>
  <c r="R59" i="2"/>
  <c r="R62" i="2"/>
  <c r="R63" i="2"/>
  <c r="G61" i="2"/>
  <c r="G4" i="2"/>
  <c r="G7" i="2"/>
  <c r="G8" i="2"/>
  <c r="G9" i="2"/>
  <c r="G10" i="2"/>
  <c r="G11" i="2"/>
  <c r="G13" i="2"/>
  <c r="G15" i="2"/>
  <c r="G17" i="2"/>
  <c r="B78" i="1"/>
  <c r="B77" i="1"/>
  <c r="C143" i="1"/>
  <c r="C144" i="1"/>
  <c r="C145" i="1"/>
  <c r="C154" i="1"/>
  <c r="G19" i="2"/>
  <c r="G20" i="2"/>
  <c r="G22" i="2"/>
  <c r="G25" i="2"/>
  <c r="G26" i="2"/>
  <c r="G27" i="2"/>
  <c r="G28" i="2"/>
  <c r="G29" i="2"/>
  <c r="G30" i="2"/>
  <c r="G32" i="2"/>
  <c r="C110" i="1"/>
  <c r="G33" i="2"/>
  <c r="G35" i="2"/>
  <c r="G37" i="2"/>
  <c r="G52" i="2"/>
  <c r="G59" i="2"/>
  <c r="G62" i="2"/>
  <c r="G63" i="2"/>
  <c r="E91" i="1"/>
  <c r="I44" i="2"/>
  <c r="I43" i="2"/>
  <c r="I46" i="2"/>
  <c r="I54" i="2"/>
  <c r="J44" i="2"/>
  <c r="J43" i="2"/>
  <c r="J46" i="2"/>
  <c r="J54" i="2"/>
  <c r="K44" i="2"/>
  <c r="K43" i="2"/>
  <c r="K46" i="2"/>
  <c r="K54" i="2"/>
  <c r="L44" i="2"/>
  <c r="L43" i="2"/>
  <c r="L46" i="2"/>
  <c r="L54" i="2"/>
  <c r="M44" i="2"/>
  <c r="M43" i="2"/>
  <c r="M46" i="2"/>
  <c r="M54" i="2"/>
  <c r="N44" i="2"/>
  <c r="N43" i="2"/>
  <c r="N46" i="2"/>
  <c r="N54" i="2"/>
  <c r="O44" i="2"/>
  <c r="O43" i="2"/>
  <c r="O46" i="2"/>
  <c r="O54" i="2"/>
  <c r="P44" i="2"/>
  <c r="P43" i="2"/>
  <c r="P46" i="2"/>
  <c r="P54" i="2"/>
  <c r="Q44" i="2"/>
  <c r="Q43" i="2"/>
  <c r="Q46" i="2"/>
  <c r="Q54" i="2"/>
  <c r="R44" i="2"/>
  <c r="R43" i="2"/>
  <c r="R46" i="2"/>
  <c r="R54" i="2"/>
  <c r="G43" i="2"/>
  <c r="G44" i="2"/>
  <c r="G46" i="2"/>
  <c r="G54" i="2"/>
  <c r="H48" i="2"/>
  <c r="I48" i="2"/>
  <c r="J48" i="2"/>
  <c r="K48" i="2"/>
  <c r="L48" i="2"/>
  <c r="M48" i="2"/>
  <c r="N48" i="2"/>
  <c r="O48" i="2"/>
  <c r="P48" i="2"/>
  <c r="Q48" i="2"/>
  <c r="R48" i="2"/>
  <c r="G48" i="2"/>
  <c r="H44" i="2"/>
  <c r="H43" i="2"/>
  <c r="H46" i="2"/>
  <c r="H54" i="2"/>
  <c r="B24" i="1"/>
  <c r="B126" i="1"/>
  <c r="F99" i="2"/>
  <c r="F98" i="2"/>
  <c r="H96" i="2"/>
  <c r="G96" i="2"/>
  <c r="F96" i="2"/>
  <c r="H95" i="2"/>
  <c r="G95" i="2"/>
  <c r="F95" i="2"/>
  <c r="H94" i="2"/>
  <c r="G94" i="2"/>
  <c r="F94" i="2"/>
  <c r="H87" i="2"/>
  <c r="H88" i="2"/>
  <c r="G87" i="2"/>
  <c r="G88" i="2"/>
  <c r="H97" i="2"/>
  <c r="G97" i="2"/>
  <c r="F97" i="2"/>
  <c r="E162" i="1"/>
  <c r="D108" i="1"/>
  <c r="E108" i="1"/>
  <c r="E163" i="1"/>
  <c r="E164" i="1"/>
  <c r="F162" i="1"/>
  <c r="F108" i="1"/>
  <c r="F163" i="1"/>
  <c r="F164" i="1"/>
  <c r="G162" i="1"/>
  <c r="G108" i="1"/>
  <c r="G163" i="1"/>
  <c r="G164" i="1"/>
  <c r="H162" i="1"/>
  <c r="H108" i="1"/>
  <c r="H163" i="1"/>
  <c r="H164" i="1"/>
  <c r="I162" i="1"/>
  <c r="I108" i="1"/>
  <c r="I163" i="1"/>
  <c r="I164" i="1"/>
  <c r="J162" i="1"/>
  <c r="J108" i="1"/>
  <c r="J163" i="1"/>
  <c r="J164" i="1"/>
  <c r="K162" i="1"/>
  <c r="K108" i="1"/>
  <c r="K163" i="1"/>
  <c r="K164" i="1"/>
  <c r="L162" i="1"/>
  <c r="L108" i="1"/>
  <c r="L163" i="1"/>
  <c r="L164" i="1"/>
  <c r="M162" i="1"/>
  <c r="M108" i="1"/>
  <c r="M163" i="1"/>
  <c r="M164" i="1"/>
  <c r="N162" i="1"/>
  <c r="N108" i="1"/>
  <c r="N163" i="1"/>
  <c r="N164" i="1"/>
  <c r="K157" i="1"/>
  <c r="K159" i="1"/>
  <c r="E157" i="1"/>
  <c r="E159" i="1"/>
  <c r="F157" i="1"/>
  <c r="F159" i="1"/>
  <c r="G157" i="1"/>
  <c r="G159" i="1"/>
  <c r="H157" i="1"/>
  <c r="H159" i="1"/>
  <c r="I157" i="1"/>
  <c r="I159" i="1"/>
  <c r="J157" i="1"/>
  <c r="J159" i="1"/>
  <c r="L157" i="1"/>
  <c r="L159" i="1"/>
  <c r="M157" i="1"/>
  <c r="M159" i="1"/>
  <c r="N157" i="1"/>
  <c r="N159" i="1"/>
  <c r="E153" i="1"/>
  <c r="F153" i="1"/>
  <c r="G153" i="1"/>
  <c r="H153" i="1"/>
  <c r="I153" i="1"/>
  <c r="J153" i="1"/>
  <c r="K153" i="1"/>
  <c r="L153" i="1"/>
  <c r="M153" i="1"/>
  <c r="N153" i="1"/>
  <c r="D153" i="1"/>
  <c r="E150" i="1"/>
  <c r="F150" i="1"/>
  <c r="G150" i="1"/>
  <c r="H150" i="1"/>
  <c r="I150" i="1"/>
  <c r="J150" i="1"/>
  <c r="K150" i="1"/>
  <c r="L150" i="1"/>
  <c r="M150" i="1"/>
  <c r="N150" i="1"/>
  <c r="E97" i="1"/>
  <c r="F97" i="1"/>
  <c r="G97" i="1"/>
  <c r="H97" i="1"/>
  <c r="I97" i="1"/>
  <c r="J97" i="1"/>
  <c r="K97" i="1"/>
  <c r="L97" i="1"/>
  <c r="M97" i="1"/>
  <c r="N97" i="1"/>
  <c r="E76" i="1"/>
  <c r="J76" i="1"/>
  <c r="I76" i="1"/>
  <c r="M76" i="1"/>
  <c r="L76" i="1"/>
  <c r="H76" i="1"/>
  <c r="N76" i="1"/>
  <c r="K76" i="1"/>
  <c r="G76" i="1"/>
  <c r="I39" i="2"/>
  <c r="J39" i="2"/>
  <c r="M151" i="1"/>
  <c r="H151" i="1"/>
  <c r="K151" i="1"/>
  <c r="G151" i="1"/>
  <c r="E152" i="1"/>
  <c r="E31" i="1"/>
  <c r="K39" i="2"/>
  <c r="D24" i="1"/>
  <c r="C24" i="1"/>
  <c r="I151" i="1"/>
  <c r="L151" i="1"/>
  <c r="N151" i="1"/>
  <c r="J151" i="1"/>
  <c r="F151" i="1"/>
  <c r="F31" i="1"/>
  <c r="F152" i="1"/>
  <c r="L39" i="2"/>
  <c r="C1" i="2"/>
  <c r="H78" i="2"/>
  <c r="G76" i="2"/>
  <c r="H76" i="2"/>
  <c r="F76" i="2"/>
  <c r="G74" i="2"/>
  <c r="H74" i="2"/>
  <c r="F74" i="2"/>
  <c r="B46" i="1"/>
  <c r="H3" i="2"/>
  <c r="H67" i="2"/>
  <c r="G3" i="2"/>
  <c r="G67" i="2"/>
  <c r="F3" i="2"/>
  <c r="F67" i="2"/>
  <c r="C26" i="1"/>
  <c r="D26" i="1"/>
  <c r="B29" i="1"/>
  <c r="C29" i="1"/>
  <c r="D29" i="1"/>
  <c r="B31" i="1"/>
  <c r="C31" i="1"/>
  <c r="D31" i="1"/>
  <c r="C34" i="1"/>
  <c r="B34" i="1"/>
  <c r="D162" i="1"/>
  <c r="C162" i="1"/>
  <c r="D157" i="1"/>
  <c r="D159" i="1"/>
  <c r="C157" i="1"/>
  <c r="C159" i="1"/>
  <c r="D152" i="1"/>
  <c r="C152" i="1"/>
  <c r="B152" i="1"/>
  <c r="D150" i="1"/>
  <c r="C150" i="1"/>
  <c r="B150" i="1"/>
  <c r="B144" i="1"/>
  <c r="B145" i="1"/>
  <c r="A126" i="1"/>
  <c r="A139" i="1"/>
  <c r="A122" i="1"/>
  <c r="A137" i="1"/>
  <c r="A121" i="1"/>
  <c r="A136" i="1"/>
  <c r="A120" i="1"/>
  <c r="A135" i="1"/>
  <c r="A118" i="1"/>
  <c r="A133" i="1"/>
  <c r="A117" i="1"/>
  <c r="A132" i="1"/>
  <c r="A116" i="1"/>
  <c r="A131" i="1"/>
  <c r="C108" i="1"/>
  <c r="B108" i="1"/>
  <c r="B103" i="1"/>
  <c r="D97" i="1"/>
  <c r="C97" i="1"/>
  <c r="B97" i="1"/>
  <c r="B90" i="1"/>
  <c r="B76" i="1"/>
  <c r="D70" i="1"/>
  <c r="C70" i="1"/>
  <c r="B70" i="1"/>
  <c r="B52" i="1"/>
  <c r="B49" i="1"/>
  <c r="H39" i="2"/>
  <c r="B38" i="1"/>
  <c r="F4" i="2"/>
  <c r="F5" i="2"/>
  <c r="G152" i="1"/>
  <c r="G31" i="1"/>
  <c r="M39" i="2"/>
  <c r="G39" i="2"/>
  <c r="B41" i="1"/>
  <c r="F82" i="2"/>
  <c r="G73" i="2"/>
  <c r="F73" i="2"/>
  <c r="C153" i="1"/>
  <c r="G5" i="2"/>
  <c r="C90" i="1"/>
  <c r="C89" i="1"/>
  <c r="D103" i="1"/>
  <c r="C163" i="1"/>
  <c r="C164" i="1"/>
  <c r="B89" i="1"/>
  <c r="F72" i="2"/>
  <c r="B69" i="1"/>
  <c r="B139" i="1"/>
  <c r="B45" i="1"/>
  <c r="B44" i="1"/>
  <c r="B57" i="1"/>
  <c r="C103" i="1"/>
  <c r="B154" i="1"/>
  <c r="B151" i="1"/>
  <c r="D90" i="1"/>
  <c r="D89" i="1"/>
  <c r="D163" i="1"/>
  <c r="D164" i="1"/>
  <c r="I5" i="2"/>
  <c r="H152" i="1"/>
  <c r="H31" i="1"/>
  <c r="N39" i="2"/>
  <c r="G82" i="2"/>
  <c r="G75" i="2"/>
  <c r="G71" i="2"/>
  <c r="H71" i="2"/>
  <c r="H75" i="2"/>
  <c r="F70" i="2"/>
  <c r="F71" i="2"/>
  <c r="F75" i="2"/>
  <c r="G72" i="2"/>
  <c r="H82" i="2"/>
  <c r="C76" i="1"/>
  <c r="C69" i="1"/>
  <c r="C112" i="1"/>
  <c r="C126" i="1"/>
  <c r="D76" i="1"/>
  <c r="D69" i="1"/>
  <c r="B61" i="1"/>
  <c r="D126" i="1"/>
  <c r="B112" i="1"/>
  <c r="E151" i="1"/>
  <c r="E90" i="1"/>
  <c r="E89" i="1"/>
  <c r="E103" i="1"/>
  <c r="G98" i="2"/>
  <c r="G99" i="2"/>
  <c r="H99" i="2"/>
  <c r="H98" i="2"/>
  <c r="B62" i="1"/>
  <c r="F91" i="2"/>
  <c r="J5" i="2"/>
  <c r="D112" i="1"/>
  <c r="I31" i="1"/>
  <c r="I152" i="1"/>
  <c r="E62" i="1"/>
  <c r="O39" i="2"/>
  <c r="H70" i="2"/>
  <c r="G70" i="2"/>
  <c r="H5" i="2"/>
  <c r="H72" i="2"/>
  <c r="H73" i="2"/>
  <c r="C139" i="1"/>
  <c r="C127" i="1"/>
  <c r="D127" i="1"/>
  <c r="D139" i="1"/>
  <c r="D151" i="1"/>
  <c r="C151" i="1"/>
  <c r="K5" i="2"/>
  <c r="E70" i="1"/>
  <c r="E69" i="1"/>
  <c r="E112" i="1"/>
  <c r="G90" i="1"/>
  <c r="G89" i="1"/>
  <c r="G91" i="2"/>
  <c r="E139" i="1"/>
  <c r="J152" i="1"/>
  <c r="P39" i="2"/>
  <c r="C62" i="1"/>
  <c r="H90" i="1"/>
  <c r="H89" i="1"/>
  <c r="H91" i="2"/>
  <c r="L5" i="2"/>
  <c r="F139" i="1"/>
  <c r="J31" i="1"/>
  <c r="K152" i="1"/>
  <c r="K31" i="1"/>
  <c r="R39" i="2"/>
  <c r="Q39" i="2"/>
  <c r="D62" i="1"/>
  <c r="F62" i="1"/>
  <c r="G62" i="1"/>
  <c r="F126" i="1"/>
  <c r="G126" i="1"/>
  <c r="I90" i="1"/>
  <c r="I89" i="1"/>
  <c r="H62" i="1"/>
  <c r="G139" i="1"/>
  <c r="H139" i="1"/>
  <c r="I139" i="1"/>
  <c r="M5" i="2"/>
  <c r="L152" i="1"/>
  <c r="L31" i="1"/>
  <c r="F103" i="1"/>
  <c r="G127" i="1"/>
  <c r="H126" i="1"/>
  <c r="H127" i="1"/>
  <c r="I126" i="1"/>
  <c r="G70" i="1"/>
  <c r="G69" i="1"/>
  <c r="J90" i="1"/>
  <c r="J89" i="1"/>
  <c r="N5" i="2"/>
  <c r="J139" i="1"/>
  <c r="M31" i="1"/>
  <c r="M152" i="1"/>
  <c r="M90" i="1"/>
  <c r="M89" i="1"/>
  <c r="G103" i="1"/>
  <c r="G112" i="1"/>
  <c r="I127" i="1"/>
  <c r="J126" i="1"/>
  <c r="I70" i="1"/>
  <c r="I69" i="1"/>
  <c r="K70" i="1"/>
  <c r="K69" i="1"/>
  <c r="J127" i="1"/>
  <c r="H70" i="1"/>
  <c r="H69" i="1"/>
  <c r="J70" i="1"/>
  <c r="J69" i="1"/>
  <c r="K126" i="1"/>
  <c r="K90" i="1"/>
  <c r="K89" i="1"/>
  <c r="K139" i="1"/>
  <c r="L139" i="1"/>
  <c r="O5" i="2"/>
  <c r="I62" i="1"/>
  <c r="N152" i="1"/>
  <c r="N31" i="1"/>
  <c r="H103" i="1"/>
  <c r="H112" i="1"/>
  <c r="K127" i="1"/>
  <c r="L90" i="1"/>
  <c r="L89" i="1"/>
  <c r="M139" i="1"/>
  <c r="N139" i="1"/>
  <c r="J62" i="1"/>
  <c r="P5" i="2"/>
  <c r="I103" i="1"/>
  <c r="I112" i="1"/>
  <c r="J103" i="1"/>
  <c r="J112" i="1"/>
  <c r="L126" i="1"/>
  <c r="L127" i="1"/>
  <c r="N90" i="1"/>
  <c r="N89" i="1"/>
  <c r="K62" i="1"/>
  <c r="Q5" i="2"/>
  <c r="K103" i="1"/>
  <c r="K112" i="1"/>
  <c r="M126" i="1"/>
  <c r="M127" i="1"/>
  <c r="N126" i="1"/>
  <c r="N70" i="1"/>
  <c r="N69" i="1"/>
  <c r="L70" i="1"/>
  <c r="L69" i="1"/>
  <c r="L62" i="1"/>
  <c r="R5" i="2"/>
  <c r="L103" i="1"/>
  <c r="L112" i="1"/>
  <c r="N127" i="1"/>
  <c r="M70" i="1"/>
  <c r="M69" i="1"/>
  <c r="M62" i="1"/>
  <c r="N103" i="1"/>
  <c r="N112" i="1"/>
  <c r="M103" i="1"/>
  <c r="M112" i="1"/>
  <c r="N62" i="1"/>
  <c r="E126" i="1"/>
  <c r="E127" i="1"/>
  <c r="F127" i="1"/>
  <c r="F70" i="1"/>
  <c r="F90" i="1"/>
  <c r="F89" i="1"/>
  <c r="F76" i="1"/>
  <c r="F69" i="1"/>
  <c r="F112" i="1"/>
</calcChain>
</file>

<file path=xl/comments1.xml><?xml version="1.0" encoding="utf-8"?>
<comments xmlns="http://schemas.openxmlformats.org/spreadsheetml/2006/main">
  <authors>
    <author>bbva</author>
    <author>LAURA MARCELA VALDIVIESO CASTILLO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>Laura V.:</t>
        </r>
        <r>
          <rPr>
            <b/>
            <i/>
            <sz val="8"/>
            <color indexed="81"/>
            <rFont val="Calibri"/>
            <family val="2"/>
            <scheme val="minor"/>
          </rPr>
          <t xml:space="preserve">Estas celdas, son para efectuar proyecciones financieras, que se trasladas al flujo de caja. Esto porque los Bancos lo solicitan cuando se desea tomar deuda de largo plazo. </t>
        </r>
      </text>
    </comment>
    <comment ref="A54" authorId="0" shapeId="0">
      <text>
        <r>
          <rPr>
            <b/>
            <i/>
            <sz val="8"/>
            <color indexed="81"/>
            <rFont val="Calibri"/>
            <family val="2"/>
            <scheme val="minor"/>
          </rPr>
          <t>Laura Valdivieso:</t>
        </r>
        <r>
          <rPr>
            <i/>
            <sz val="8"/>
            <color indexed="81"/>
            <rFont val="Calibri"/>
            <family val="2"/>
            <scheme val="minor"/>
          </rPr>
          <t xml:space="preserve">
Se deben Ingresar con signo positivo los egresos no operacionales</t>
        </r>
      </text>
    </comment>
    <comment ref="A64" authorId="0" shapeId="0">
      <text>
        <r>
          <rPr>
            <b/>
            <sz val="9"/>
            <color indexed="81"/>
            <rFont val="Tahoma"/>
            <family val="2"/>
          </rPr>
          <t xml:space="preserve">Laura V.: </t>
        </r>
        <r>
          <rPr>
            <i/>
            <sz val="8"/>
            <color indexed="81"/>
            <rFont val="Tahoma"/>
            <family val="2"/>
          </rPr>
          <t>Digitar la renta liquida de la declaración de renta mas no la renta liquida gravable</t>
        </r>
      </text>
    </comment>
    <comment ref="A71" authorId="0" shapeId="0">
      <text>
        <r>
          <rPr>
            <b/>
            <i/>
            <sz val="8"/>
            <color indexed="81"/>
            <rFont val="Tahoma"/>
            <family val="2"/>
          </rPr>
          <t>Laura V.:</t>
        </r>
        <r>
          <rPr>
            <i/>
            <sz val="8"/>
            <color indexed="81"/>
            <rFont val="Tahoma"/>
            <family val="2"/>
          </rPr>
          <t>Este valor incluye inversiones temporales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82" authorId="0" shapeId="0">
      <text>
        <r>
          <rPr>
            <b/>
            <i/>
            <sz val="8"/>
            <color indexed="81"/>
            <rFont val="Tahoma"/>
            <family val="2"/>
          </rPr>
          <t xml:space="preserve">Laura V.: </t>
        </r>
        <r>
          <rPr>
            <i/>
            <sz val="8"/>
            <color indexed="81"/>
            <rFont val="Tahoma"/>
            <family val="2"/>
          </rPr>
          <t>Registrar con signo negativo</t>
        </r>
      </text>
    </comment>
    <comment ref="A85" authorId="0" shapeId="0">
      <text>
        <r>
          <rPr>
            <b/>
            <i/>
            <sz val="8"/>
            <color indexed="81"/>
            <rFont val="Tahoma"/>
            <family val="2"/>
          </rPr>
          <t xml:space="preserve">Laura V: </t>
        </r>
        <r>
          <rPr>
            <i/>
            <sz val="8"/>
            <color indexed="81"/>
            <rFont val="Tahoma"/>
            <family val="2"/>
          </rPr>
          <t>Incluir el valor del activo diferido menos la amortizaccion mas la inversion si la hay</t>
        </r>
      </text>
    </comment>
    <comment ref="A106" authorId="0" shapeId="0">
      <text>
        <r>
          <rPr>
            <b/>
            <i/>
            <sz val="8"/>
            <color indexed="81"/>
            <rFont val="Tahoma"/>
            <family val="2"/>
          </rPr>
          <t>Laura V.:</t>
        </r>
        <r>
          <rPr>
            <i/>
            <sz val="8"/>
            <color indexed="81"/>
            <rFont val="Tahoma"/>
            <family val="2"/>
          </rPr>
          <t>Ingresar las utilidades del ejercicio. Las retenidas, la reserva legal y otras reservas.</t>
        </r>
      </text>
    </comment>
    <comment ref="A147" authorId="1" shapeId="0">
      <text>
        <r>
          <rPr>
            <b/>
            <sz val="9"/>
            <color indexed="81"/>
            <rFont val="Tahoma"/>
            <family val="2"/>
          </rPr>
          <t>Laura V:</t>
        </r>
        <r>
          <rPr>
            <sz val="9"/>
            <color indexed="81"/>
            <rFont val="Tahoma"/>
            <family val="2"/>
          </rPr>
          <t>Si es Venta de activos incluir positivo, si es compra/inversión en signo negativo</t>
        </r>
      </text>
    </comment>
    <comment ref="A158" authorId="0" shapeId="0">
      <text>
        <r>
          <rPr>
            <b/>
            <i/>
            <sz val="8"/>
            <color indexed="81"/>
            <rFont val="Tahoma"/>
            <family val="2"/>
          </rPr>
          <t>Laura V:</t>
        </r>
        <r>
          <rPr>
            <i/>
            <sz val="8"/>
            <color indexed="81"/>
            <rFont val="Tahoma"/>
            <family val="2"/>
          </rPr>
          <t xml:space="preserve"> Incluir con signo negativo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<sst xmlns="http://schemas.openxmlformats.org/spreadsheetml/2006/main" count="200" uniqueCount="196">
  <si>
    <t xml:space="preserve">GUÍA PARA UTILIZAR MODELO DE EXCEL </t>
  </si>
  <si>
    <t xml:space="preserve">A continuación, las instrucciones para el debido uso del siguinete modelo, el cual no solo le hará un cálculo de indicadores, sino que también le permitirá realizar proyecciones y obtener su flujo de caja. </t>
  </si>
  <si>
    <t xml:space="preserve">1. En la Hoja "CIFRAS", introduzca el año (periodo) de cifras que desea analizar, inluyendo el periodo de corte. </t>
  </si>
  <si>
    <t>2. En la Hoja "CIFRAS", introduzca las cifras del estado de resustados y Balance general, tenga en cuenta incluir el gasto de depreciación, el cual obtiene del estado de resultados</t>
  </si>
  <si>
    <t>3. En el estado de resultados, no olvide desagregar el gasto por intereses financieros, recuerde que este se refiere netamente al gasto de intereses pagados a Bancos, no incluya otros gastos como Bancarios, o intereses pagados a terceros.  (Celda B42, C42, D42)</t>
  </si>
  <si>
    <t xml:space="preserve">4.  A lo largo del diligenciamiento, encontrará comentarios adicionales, como incluir con signo positivo o negativo, o de como diligenciar los diferidos. </t>
  </si>
  <si>
    <t xml:space="preserve">5. Diligencie la totalidad de las celdas color naranja. </t>
  </si>
  <si>
    <t>6. La celda A112, indica control, esta debe quedar en 000, puesto que evidencia si está correctamente diligenciados los estados financieros, recuerde la regla: ACTIVO=PASIVOS + PATRIMONIO</t>
  </si>
  <si>
    <t>Para las proyecciones</t>
  </si>
  <si>
    <t>1.  En la Hoja "CIFRAS", puede proyectar o incluir supuestos de proyección en las celdas color morado.</t>
  </si>
  <si>
    <r>
      <t xml:space="preserve">2.  Debe comenzar por proyectar los ingresos: </t>
    </r>
    <r>
      <rPr>
        <b/>
        <sz val="11"/>
        <color theme="1"/>
        <rFont val="Calibri"/>
        <family val="2"/>
        <scheme val="minor"/>
      </rPr>
      <t>CELDA 7</t>
    </r>
    <r>
      <rPr>
        <sz val="11"/>
        <color theme="1"/>
        <rFont val="Calibri"/>
        <family val="2"/>
        <scheme val="minor"/>
      </rPr>
      <t xml:space="preserve">, desde la E hasta donde desee proyectar, ejemplo: 3 años, 5 años o 10 años. </t>
    </r>
  </si>
  <si>
    <r>
      <t xml:space="preserve">3. Continue proyectando la tasa de impuestos, usted la conoce, pues es la legal: </t>
    </r>
    <r>
      <rPr>
        <b/>
        <sz val="11"/>
        <color theme="1"/>
        <rFont val="Calibri"/>
        <family val="2"/>
        <scheme val="minor"/>
      </rPr>
      <t>CELDA 18</t>
    </r>
    <r>
      <rPr>
        <sz val="11"/>
        <color theme="1"/>
        <rFont val="Calibri"/>
        <family val="2"/>
        <scheme val="minor"/>
      </rPr>
      <t>, desde la E</t>
    </r>
  </si>
  <si>
    <t xml:space="preserve">PARA EL ESTADO DE RESULTADOS: </t>
  </si>
  <si>
    <t>4. Continue  proyectando las celdas color morado del estado de resultados, hasta que finalmente el modelo le calcule la Utilidad Neta</t>
  </si>
  <si>
    <t xml:space="preserve">PARA EL BALANCE GENERAL </t>
  </si>
  <si>
    <r>
      <t xml:space="preserve">5. Diríjase a las celdas </t>
    </r>
    <r>
      <rPr>
        <b/>
        <sz val="11"/>
        <color theme="1"/>
        <rFont val="Calibri"/>
        <family val="2"/>
        <scheme val="minor"/>
      </rPr>
      <t>E131</t>
    </r>
    <r>
      <rPr>
        <sz val="11"/>
        <color theme="1"/>
        <rFont val="Calibri"/>
        <family val="2"/>
        <scheme val="minor"/>
      </rPr>
      <t xml:space="preserve"> a la</t>
    </r>
    <r>
      <rPr>
        <b/>
        <sz val="11"/>
        <color theme="1"/>
        <rFont val="Calibri"/>
        <family val="2"/>
        <scheme val="minor"/>
      </rPr>
      <t xml:space="preserve"> E137,</t>
    </r>
    <r>
      <rPr>
        <sz val="11"/>
        <color theme="1"/>
        <rFont val="Calibri"/>
        <family val="2"/>
        <scheme val="minor"/>
      </rPr>
      <t xml:space="preserve"> allí va a diligenciar el % de crecimiento en cada uno de los rubros, esto le permitirá proyectar las cuentas del capital de trabajo </t>
    </r>
  </si>
  <si>
    <r>
      <t xml:space="preserve">6.  Proyecte las celdas: </t>
    </r>
    <r>
      <rPr>
        <b/>
        <sz val="11"/>
        <color theme="1"/>
        <rFont val="Calibri"/>
        <family val="2"/>
        <scheme val="minor"/>
      </rPr>
      <t>F147-F149</t>
    </r>
    <r>
      <rPr>
        <sz val="11"/>
        <color theme="1"/>
        <rFont val="Calibri"/>
        <family val="2"/>
        <scheme val="minor"/>
      </rPr>
      <t xml:space="preserve">, sólo si va a realizar inversiones o des inversiones en activos fijos.  Ingrese con signo negativo si es INVERSIÓN. </t>
    </r>
  </si>
  <si>
    <t>7. Proyecte la deuda que desea tomar para financiar estos proyectos (Deuda largo plazo)</t>
  </si>
  <si>
    <t xml:space="preserve">FLUJO DE CAJA + INDICADORES </t>
  </si>
  <si>
    <t>8. El modelo genera el flujo de caja y los indicadores financieros más importantes</t>
  </si>
  <si>
    <t>NOMBRE DE LA EMPRESA</t>
  </si>
  <si>
    <t>INDUSTRIAS 123</t>
  </si>
  <si>
    <t>PROYECCIONES</t>
  </si>
  <si>
    <t>Cifras en Millones</t>
  </si>
  <si>
    <t>($000.000)</t>
  </si>
  <si>
    <t># MESES</t>
  </si>
  <si>
    <t>PARAMETROS DE PROYECCION</t>
  </si>
  <si>
    <t>Año</t>
  </si>
  <si>
    <t>meses</t>
  </si>
  <si>
    <t>Indice de Precios al Consumidor</t>
  </si>
  <si>
    <t xml:space="preserve">Inflación Internacional </t>
  </si>
  <si>
    <t>Devaluación Real</t>
  </si>
  <si>
    <t>Tipo de Cambio Fin de Mes</t>
  </si>
  <si>
    <t>Tipo de Cambio Promedio Año y Mes</t>
  </si>
  <si>
    <t>Crecimiento del PIB</t>
  </si>
  <si>
    <t>LIBOR</t>
  </si>
  <si>
    <t>DTF real</t>
  </si>
  <si>
    <t>DTF E.A.</t>
  </si>
  <si>
    <t>DTF T.V.</t>
  </si>
  <si>
    <t xml:space="preserve">TASA DE IMPUESTOS </t>
  </si>
  <si>
    <t>Enjugue de perdidas</t>
  </si>
  <si>
    <t>ESTADO DE RESULTADOS</t>
  </si>
  <si>
    <t xml:space="preserve">Ventas </t>
  </si>
  <si>
    <t>Crecimiento Nominal Total Ventas</t>
  </si>
  <si>
    <t>Costo de Ventas Total (Sin deprec y amortiz)</t>
  </si>
  <si>
    <t xml:space="preserve">Costo de Ventas / Ventas </t>
  </si>
  <si>
    <t>UTILIDAD BRUTA</t>
  </si>
  <si>
    <t>Gastos de Admon y Ventas (Sin deprec y amortiz)</t>
  </si>
  <si>
    <t xml:space="preserve">Gastos Admon y Ventas / Ventas </t>
  </si>
  <si>
    <t>Depreciación</t>
  </si>
  <si>
    <t>Amortización</t>
  </si>
  <si>
    <t>UTILIDAD OPERACIONAL</t>
  </si>
  <si>
    <t>Diferencia en Cambio Financiera CP</t>
  </si>
  <si>
    <t>Gastos Financieros</t>
  </si>
  <si>
    <t>Intereses</t>
  </si>
  <si>
    <t>Intereses por Socios o Vinculados</t>
  </si>
  <si>
    <t>Total Otros Ingresos y Egresos</t>
  </si>
  <si>
    <t>Total Otros Ingresos y Egresos operacionales</t>
  </si>
  <si>
    <t>Ingresos Operacionales</t>
  </si>
  <si>
    <t>Otros Ingresos Operacionales</t>
  </si>
  <si>
    <t>Egresos Operacionales</t>
  </si>
  <si>
    <t>Otros Egresos Operacionales</t>
  </si>
  <si>
    <t>Total Otros Ingresos y Egresos no operacionales</t>
  </si>
  <si>
    <t>Ingresos No Operacionales</t>
  </si>
  <si>
    <t>Egresos No Operacionales</t>
  </si>
  <si>
    <t>UTILIDAD ANTES DE IMPUESTOS</t>
  </si>
  <si>
    <t>Impuestos</t>
  </si>
  <si>
    <t>UTILIDAD NETA</t>
  </si>
  <si>
    <t>Renta Líquida</t>
  </si>
  <si>
    <t>Patrimonio Líquido</t>
  </si>
  <si>
    <t>BALANCE GENERAL</t>
  </si>
  <si>
    <t>B. G. PROYECTADO</t>
  </si>
  <si>
    <t>ACTIVOS</t>
  </si>
  <si>
    <t>Total Activo Corriente</t>
  </si>
  <si>
    <t>Caja y Bancos</t>
  </si>
  <si>
    <t>Cartera</t>
  </si>
  <si>
    <t>Inventarios</t>
  </si>
  <si>
    <t>Otros Activos Corrientes</t>
  </si>
  <si>
    <t>Total Activo No Corriente</t>
  </si>
  <si>
    <t>Activo Fijo Neto</t>
  </si>
  <si>
    <t xml:space="preserve">Total Bienes Raices </t>
  </si>
  <si>
    <t>Terreno</t>
  </si>
  <si>
    <t>Construcciones</t>
  </si>
  <si>
    <t>Otros Activos Fijos Brutos</t>
  </si>
  <si>
    <t>Depreciación Acumulada</t>
  </si>
  <si>
    <t>Otros Activos No Corrientes</t>
  </si>
  <si>
    <t>Activos diferidos</t>
  </si>
  <si>
    <t>C x C Accionistas</t>
  </si>
  <si>
    <t>Valorizaciones</t>
  </si>
  <si>
    <t>Pasivos</t>
  </si>
  <si>
    <t>Total Pasivo Corriente</t>
  </si>
  <si>
    <t>Obligaciones Financieras CP</t>
  </si>
  <si>
    <t>Proveedores</t>
  </si>
  <si>
    <t>Impuestos x Pagar</t>
  </si>
  <si>
    <t>Otros Pasivos Corrientes</t>
  </si>
  <si>
    <t>Total Pasivo No Corriente</t>
  </si>
  <si>
    <t>Obligaciones Financieras LP</t>
  </si>
  <si>
    <t>Otros Pasivos No Corrientes</t>
  </si>
  <si>
    <t>C x P Socios</t>
  </si>
  <si>
    <t>Patrimonio</t>
  </si>
  <si>
    <t>Capital Pagado y Prima en Colocación de Acciones</t>
  </si>
  <si>
    <t xml:space="preserve">Otros superavit de capital </t>
  </si>
  <si>
    <t>Utilidades y Reservas</t>
  </si>
  <si>
    <t>Revalorizacion del Patrimonio</t>
  </si>
  <si>
    <t>Pago de Dividendos</t>
  </si>
  <si>
    <t>CONTROL (Pasivo+Patrimonio-Activo)</t>
  </si>
  <si>
    <t>CAPITAL DE TRABAJO OPERATIVO</t>
  </si>
  <si>
    <t>Variación Capital de Trabajo Operativo</t>
  </si>
  <si>
    <t>Porcentaje sobre ventas</t>
  </si>
  <si>
    <t>ACTIVOS FIJOS NETOS</t>
  </si>
  <si>
    <t>Diferencia en cuentas de Balance</t>
  </si>
  <si>
    <t>Depreciación del Período</t>
  </si>
  <si>
    <t>Venta activos fijos y otros cambios</t>
  </si>
  <si>
    <t>Inversiones</t>
  </si>
  <si>
    <t>Inversiones Especificas Terrenos</t>
  </si>
  <si>
    <t>Inversiones Específicas construcciones</t>
  </si>
  <si>
    <t>Inversiones EspecíficasOtros Activos Fijos</t>
  </si>
  <si>
    <t>Inversiones Mantenimiento y Mejoras</t>
  </si>
  <si>
    <t>Control</t>
  </si>
  <si>
    <t>Inversion en Activos Fijos / Ventas</t>
  </si>
  <si>
    <t>Indice de Depreciación</t>
  </si>
  <si>
    <t>NETO VENTA E INVERSION</t>
  </si>
  <si>
    <t>CONTROL REVALORIZACIÓN DEL PATRIMONIO</t>
  </si>
  <si>
    <t>Diferencia en Cuentas de Balance</t>
  </si>
  <si>
    <t>Capitalizacion de Revalorizacion de Patrimonio</t>
  </si>
  <si>
    <t>CONTROL SUPERAVIT POR VALORIZACIÓN</t>
  </si>
  <si>
    <t xml:space="preserve"> </t>
  </si>
  <si>
    <t>Diferencia en Activo</t>
  </si>
  <si>
    <t>Diferencia en Patrimonio</t>
  </si>
  <si>
    <t>NOMBRE DE LA EMPRESA:</t>
  </si>
  <si>
    <t xml:space="preserve">FLUJO DE CAJA </t>
  </si>
  <si>
    <t>EBITDA</t>
  </si>
  <si>
    <t>% Margen Ebitda</t>
  </si>
  <si>
    <t xml:space="preserve">   (Aumento) / Disminución Cartera</t>
  </si>
  <si>
    <t xml:space="preserve">   (Aumento) / Disminución Inventario</t>
  </si>
  <si>
    <t xml:space="preserve">   (Aumento) / Disminución Otros Activos Operacionales</t>
  </si>
  <si>
    <t xml:space="preserve">   Aumento / (Disminución) Proveedores</t>
  </si>
  <si>
    <t xml:space="preserve">   Aumento / (Disminución) Otros Pasivos Corrientes</t>
  </si>
  <si>
    <t>(INVERSIÓN) / DESINVERSIÓN EN CAPITAL DE TRABAJO</t>
  </si>
  <si>
    <t xml:space="preserve"> - Impuestos</t>
  </si>
  <si>
    <t xml:space="preserve">EFECTIVO NETO OPERACIONAL </t>
  </si>
  <si>
    <t>+/- Venta o Expansión de activos fijos</t>
  </si>
  <si>
    <t>(Aumento) / Disminución de Activos diferidos</t>
  </si>
  <si>
    <t>FLUJO DE CAJA LIBRE</t>
  </si>
  <si>
    <t>(Aumento) / Disminución de otros Activos</t>
  </si>
  <si>
    <t>Aumento / (Disminución) de otros Pasivos</t>
  </si>
  <si>
    <t>(Aumento) / Disminución Cuentas por Cobrar a Socios</t>
  </si>
  <si>
    <t>Aumento / (Disminución) Cuentas por Pagar a Socios</t>
  </si>
  <si>
    <t>Otros Ingresos / (Egresos) Neto</t>
  </si>
  <si>
    <t>EFECTIVO NETO EN OTROS</t>
  </si>
  <si>
    <t>+ Capitalizaciones</t>
  </si>
  <si>
    <t>- Pago de Dividendos</t>
  </si>
  <si>
    <t xml:space="preserve">EFECTIVO NETO EN CUENTAS DE PATRIMONIO </t>
  </si>
  <si>
    <t xml:space="preserve">FLUJO DISPONIBLE PARA SERVICIO DE DEUDA </t>
  </si>
  <si>
    <t>- Gastos Financieros</t>
  </si>
  <si>
    <t>FLUJO DE EFECTIVO POR AUMENTO / DISMINUCION DE LA DEUDA:</t>
  </si>
  <si>
    <t xml:space="preserve">  (-) Amortización de Obligaciones Financieras CP</t>
  </si>
  <si>
    <t xml:space="preserve">  (+) Desembolso de Obligaciones Financieras CP</t>
  </si>
  <si>
    <t xml:space="preserve">  Aumento / (Disminución) Obligaciones Financieras CP </t>
  </si>
  <si>
    <t xml:space="preserve">  (-) Amortización Obligaciones Financieras LP</t>
  </si>
  <si>
    <t xml:space="preserve">  (+) Desembolsos Obligaciones Financieras LP</t>
  </si>
  <si>
    <t xml:space="preserve">  Aumento / (disminución) Obligaciones Financieras LP </t>
  </si>
  <si>
    <t>AUMENTO/ (DISMINUCION) DEUDA FINANCIERA</t>
  </si>
  <si>
    <t>+/- Otros Cambios en el Patrimonio</t>
  </si>
  <si>
    <t>FLUJO DE CAJA NETO/ AUMENTO / (DISMINUCION) CAJA</t>
  </si>
  <si>
    <t xml:space="preserve">SALDO INICIAL DE DISPONIBLE </t>
  </si>
  <si>
    <t xml:space="preserve">SALDO FINAL DE DISPONIBLE </t>
  </si>
  <si>
    <t xml:space="preserve">(AUMENTO) / DISMINUCIÓN EN DISPONIBLE </t>
  </si>
  <si>
    <t>INDICADORES</t>
  </si>
  <si>
    <t>NIVEL DE ENDEUDAMIENTO</t>
  </si>
  <si>
    <t>Total Pasivo / Total Activo</t>
  </si>
  <si>
    <t>Total Pasivo / Patrimonio</t>
  </si>
  <si>
    <t>Total Pasivo / EBITDA</t>
  </si>
  <si>
    <t>Obligaciones Financieras/ EBITDA</t>
  </si>
  <si>
    <t>Obligaciones Financieras/ Ventas</t>
  </si>
  <si>
    <t>Total Pasivo / Ventas</t>
  </si>
  <si>
    <t>Saldo de Obligaciones Financieras</t>
  </si>
  <si>
    <t>TASA EFECTIVA DE FINANCIACIÓN</t>
  </si>
  <si>
    <t>Gtos deuda Financiera/Obligaciones Financieras (Prom)</t>
  </si>
  <si>
    <t>COBERTURA DE LA DEUDA</t>
  </si>
  <si>
    <t>EBITDA / Gastos Financieros</t>
  </si>
  <si>
    <t>Ebitda / (Gastos Financieros + Amortización de Capital)</t>
  </si>
  <si>
    <t>CRECIMIENTO</t>
  </si>
  <si>
    <t xml:space="preserve">Evolución de Ventas (% Crecimiento ) </t>
  </si>
  <si>
    <t>Evolución Ventas (% Crecimiento Real)</t>
  </si>
  <si>
    <t>RENTABILIDAD</t>
  </si>
  <si>
    <t>ROA</t>
  </si>
  <si>
    <t>ACTIVIDAD</t>
  </si>
  <si>
    <t>Rotación de Cartera (Días Ventas)</t>
  </si>
  <si>
    <t>Rot. de Inventarios (Días Cto. de Vtas)</t>
  </si>
  <si>
    <t>Rot. de Proveedores (Días Cto. de Vtas)</t>
  </si>
  <si>
    <t>Ciclo Operacional</t>
  </si>
  <si>
    <t>Capital de Trabajo Operativo / Ventas</t>
  </si>
  <si>
    <t>Capital de Trabajo Operativo / Obligaciones Fin. C.P</t>
  </si>
  <si>
    <t xml:space="preserve">CLIENTE  </t>
  </si>
  <si>
    <t xml:space="preserve">PROCESADORA DE MATERIAS PRIMAS S.A. PMP S.A.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</si>
</sst>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* #,##0_);_(* \(#,##0\);_(* &quot;-&quot;_);_(@_)"/>
    <numFmt numFmtId="165" formatCode="0.0%"/>
    <numFmt numFmtId="166" formatCode="_(* #,##0_);_(* \(#,##0\);_(* &quot;-&quot;??_);_(@_)"/>
    <numFmt numFmtId="167" formatCode="#,##0.00000"/>
    <numFmt numFmtId="168" formatCode="#,##0.000"/>
    <numFmt numFmtId="169" formatCode="_(* #,##0.0_);_(* \(#,##0.0\);_(* &quot;-&quot;??_);_(@_)"/>
    <numFmt numFmtId="170" formatCode="0.0"/>
    <numFmt numFmtId="171" formatCode="[$-C0A]d\-mmm\-yy;@"/>
    <numFmt numFmtId="172" formatCode="0_);\(0\)"/>
    <numFmt numFmtId="173" formatCode="_-* #,##0\ _€_-;\-* #,##0\ _€_-;_-* &quot;-&quot;??\ _€_-;_-@_-"/>
    <numFmt numFmtId="174" formatCode="[$-C0A]mmm\-yy;@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1"/>
      <color indexed="61"/>
      <name val="Arial"/>
      <family val="2"/>
    </font>
    <font>
      <b/>
      <sz val="10"/>
      <color indexed="61"/>
      <name val="Arial"/>
      <family val="2"/>
    </font>
    <font>
      <i/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sz val="7.5"/>
      <name val="Arial"/>
      <family val="2"/>
    </font>
    <font>
      <b/>
      <u/>
      <sz val="10"/>
      <name val="Arial"/>
      <family val="2"/>
    </font>
    <font>
      <b/>
      <u/>
      <sz val="10"/>
      <color theme="0"/>
      <name val="Arial"/>
      <family val="2"/>
    </font>
    <font>
      <b/>
      <sz val="12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b/>
      <u/>
      <sz val="11"/>
      <name val="Arial"/>
      <family val="2"/>
    </font>
    <font>
      <sz val="10"/>
      <name val="Times New Roman"/>
      <family val="1"/>
    </font>
    <font>
      <sz val="6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rgb="FF000080"/>
      <name val="Arial"/>
      <family val="2"/>
    </font>
    <font>
      <i/>
      <sz val="6"/>
      <color rgb="FFFFFFFF"/>
      <name val="Arial"/>
      <family val="2"/>
    </font>
    <font>
      <b/>
      <sz val="7"/>
      <color rgb="FFFFFFFF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3" tint="-0.499984740745262"/>
      <name val="Arial"/>
      <family val="2"/>
    </font>
    <font>
      <b/>
      <sz val="10"/>
      <color theme="3" tint="-0.499984740745262"/>
      <name val="Arial"/>
      <family val="2"/>
    </font>
    <font>
      <b/>
      <sz val="12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sz val="11"/>
      <color rgb="FFFF0000"/>
      <name val="Calibri"/>
      <family val="2"/>
      <scheme val="minor"/>
    </font>
    <font>
      <i/>
      <sz val="8"/>
      <color indexed="81"/>
      <name val="Tahoma"/>
      <family val="2"/>
    </font>
    <font>
      <b/>
      <i/>
      <sz val="8"/>
      <color indexed="81"/>
      <name val="Calibri"/>
      <family val="2"/>
      <scheme val="minor"/>
    </font>
    <font>
      <i/>
      <sz val="8"/>
      <color indexed="81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8"/>
      <color indexed="81"/>
      <name val="Tahoma"/>
      <family val="2"/>
    </font>
    <font>
      <b/>
      <i/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sz val="8"/>
      <color rgb="FF5F4AF8"/>
      <name val="Arial"/>
      <family val="2"/>
    </font>
    <font>
      <b/>
      <i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4" tint="-0.249977111117893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99FF"/>
        <bgColor indexed="64"/>
      </patternFill>
    </fill>
    <fill>
      <patternFill patternType="solid">
        <fgColor rgb="FF5F4AF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32" fillId="0" borderId="0" applyNumberFormat="0" applyFill="0" applyBorder="0" applyAlignment="0" applyProtection="0"/>
  </cellStyleXfs>
  <cellXfs count="300">
    <xf numFmtId="0" fontId="0" fillId="0" borderId="0" xfId="0"/>
    <xf numFmtId="3" fontId="0" fillId="2" borderId="1" xfId="0" applyNumberFormat="1" applyFill="1" applyBorder="1" applyProtection="1">
      <protection locked="0"/>
    </xf>
    <xf numFmtId="0" fontId="3" fillId="0" borderId="1" xfId="0" applyFont="1" applyFill="1" applyBorder="1" applyProtection="1">
      <protection locked="0"/>
    </xf>
    <xf numFmtId="165" fontId="0" fillId="0" borderId="1" xfId="0" applyNumberFormat="1" applyFill="1" applyBorder="1" applyAlignment="1" applyProtection="1">
      <alignment horizontal="right"/>
    </xf>
    <xf numFmtId="0" fontId="0" fillId="0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3" fillId="0" borderId="1" xfId="0" applyFont="1" applyFill="1" applyBorder="1" applyAlignment="1" applyProtection="1">
      <alignment horizontal="left" wrapText="1" indent="2"/>
      <protection locked="0"/>
    </xf>
    <xf numFmtId="165" fontId="1" fillId="0" borderId="1" xfId="2" applyNumberFormat="1" applyFill="1" applyBorder="1" applyAlignment="1" applyProtection="1">
      <alignment horizontal="right"/>
    </xf>
    <xf numFmtId="0" fontId="5" fillId="0" borderId="0" xfId="0" applyFont="1" applyFill="1" applyAlignment="1" applyProtection="1">
      <alignment horizontal="left" indent="2"/>
      <protection locked="0"/>
    </xf>
    <xf numFmtId="0" fontId="6" fillId="0" borderId="1" xfId="0" applyFont="1" applyFill="1" applyBorder="1" applyAlignment="1" applyProtection="1">
      <alignment horizontal="right"/>
      <protection locked="0"/>
    </xf>
    <xf numFmtId="0" fontId="6" fillId="0" borderId="0" xfId="0" applyFont="1" applyFill="1" applyBorder="1" applyAlignment="1" applyProtection="1">
      <alignment horizontal="right"/>
      <protection locked="0"/>
    </xf>
    <xf numFmtId="166" fontId="7" fillId="0" borderId="0" xfId="1" applyNumberFormat="1" applyFont="1" applyFill="1" applyBorder="1" applyProtection="1">
      <protection locked="0"/>
    </xf>
    <xf numFmtId="166" fontId="7" fillId="0" borderId="0" xfId="1" applyNumberFormat="1" applyFont="1" applyFill="1" applyBorder="1" applyProtection="1"/>
    <xf numFmtId="0" fontId="8" fillId="0" borderId="1" xfId="0" applyFont="1" applyFill="1" applyBorder="1" applyAlignment="1" applyProtection="1">
      <alignment horizontal="left" indent="2"/>
      <protection locked="0"/>
    </xf>
    <xf numFmtId="165" fontId="1" fillId="0" borderId="1" xfId="2" applyNumberFormat="1" applyBorder="1" applyProtection="1"/>
    <xf numFmtId="3" fontId="9" fillId="0" borderId="0" xfId="0" applyNumberFormat="1" applyFont="1" applyFill="1" applyBorder="1" applyProtection="1">
      <protection locked="0"/>
    </xf>
    <xf numFmtId="3" fontId="10" fillId="0" borderId="0" xfId="0" applyNumberFormat="1" applyFont="1" applyProtection="1">
      <protection locked="0"/>
    </xf>
    <xf numFmtId="3" fontId="10" fillId="0" borderId="0" xfId="0" applyNumberFormat="1" applyFont="1" applyProtection="1"/>
    <xf numFmtId="3" fontId="0" fillId="0" borderId="1" xfId="0" applyNumberFormat="1" applyFill="1" applyBorder="1" applyProtection="1"/>
    <xf numFmtId="3" fontId="11" fillId="0" borderId="1" xfId="0" applyNumberFormat="1" applyFont="1" applyFill="1" applyBorder="1" applyAlignment="1" applyProtection="1">
      <alignment horizontal="left" indent="2"/>
      <protection locked="0"/>
    </xf>
    <xf numFmtId="3" fontId="0" fillId="0" borderId="0" xfId="0" applyNumberFormat="1" applyProtection="1"/>
    <xf numFmtId="3" fontId="0" fillId="0" borderId="0" xfId="0" applyNumberFormat="1" applyFill="1" applyProtection="1">
      <protection locked="0"/>
    </xf>
    <xf numFmtId="3" fontId="0" fillId="0" borderId="0" xfId="0" applyNumberFormat="1" applyProtection="1">
      <protection locked="0"/>
    </xf>
    <xf numFmtId="3" fontId="2" fillId="0" borderId="0" xfId="0" applyNumberFormat="1" applyFont="1" applyFill="1" applyProtection="1">
      <protection locked="0"/>
    </xf>
    <xf numFmtId="3" fontId="5" fillId="0" borderId="0" xfId="0" applyNumberFormat="1" applyFont="1" applyFill="1" applyAlignment="1" applyProtection="1">
      <alignment horizontal="left" indent="2"/>
      <protection locked="0"/>
    </xf>
    <xf numFmtId="3" fontId="0" fillId="0" borderId="1" xfId="0" applyNumberFormat="1" applyBorder="1" applyProtection="1"/>
    <xf numFmtId="3" fontId="11" fillId="0" borderId="1" xfId="0" applyNumberFormat="1" applyFont="1" applyFill="1" applyBorder="1" applyAlignment="1" applyProtection="1">
      <protection locked="0"/>
    </xf>
    <xf numFmtId="3" fontId="11" fillId="0" borderId="1" xfId="0" applyNumberFormat="1" applyFont="1" applyFill="1" applyBorder="1" applyAlignment="1" applyProtection="1">
      <alignment horizontal="left" indent="1"/>
      <protection locked="0"/>
    </xf>
    <xf numFmtId="3" fontId="0" fillId="0" borderId="0" xfId="0" applyNumberFormat="1" applyFill="1" applyProtection="1"/>
    <xf numFmtId="3" fontId="11" fillId="0" borderId="6" xfId="0" applyNumberFormat="1" applyFont="1" applyFill="1" applyBorder="1" applyAlignment="1" applyProtection="1">
      <protection locked="0"/>
    </xf>
    <xf numFmtId="3" fontId="4" fillId="0" borderId="6" xfId="0" applyNumberFormat="1" applyFont="1" applyFill="1" applyBorder="1" applyAlignment="1" applyProtection="1">
      <alignment horizontal="left" indent="1"/>
      <protection locked="0"/>
    </xf>
    <xf numFmtId="3" fontId="0" fillId="0" borderId="6" xfId="0" applyNumberFormat="1" applyBorder="1" applyProtection="1">
      <protection locked="0"/>
    </xf>
    <xf numFmtId="3" fontId="0" fillId="0" borderId="6" xfId="0" applyNumberFormat="1" applyBorder="1" applyProtection="1"/>
    <xf numFmtId="3" fontId="0" fillId="0" borderId="1" xfId="0" applyNumberFormat="1" applyBorder="1" applyAlignment="1" applyProtection="1">
      <alignment horizontal="right"/>
    </xf>
    <xf numFmtId="3" fontId="11" fillId="0" borderId="1" xfId="0" applyNumberFormat="1" applyFont="1" applyFill="1" applyBorder="1" applyProtection="1">
      <protection locked="0"/>
    </xf>
    <xf numFmtId="3" fontId="0" fillId="0" borderId="1" xfId="0" applyNumberFormat="1" applyFill="1" applyBorder="1" applyProtection="1">
      <protection locked="0"/>
    </xf>
    <xf numFmtId="3" fontId="11" fillId="0" borderId="1" xfId="0" applyNumberFormat="1" applyFont="1" applyBorder="1" applyProtection="1">
      <protection locked="0"/>
    </xf>
    <xf numFmtId="3" fontId="11" fillId="0" borderId="7" xfId="0" applyNumberFormat="1" applyFont="1" applyBorder="1" applyProtection="1">
      <protection locked="0"/>
    </xf>
    <xf numFmtId="3" fontId="0" fillId="0" borderId="7" xfId="0" applyNumberFormat="1" applyBorder="1" applyProtection="1">
      <protection locked="0"/>
    </xf>
    <xf numFmtId="3" fontId="0" fillId="0" borderId="7" xfId="0" applyNumberFormat="1" applyBorder="1" applyProtection="1"/>
    <xf numFmtId="0" fontId="11" fillId="0" borderId="1" xfId="0" applyFont="1" applyBorder="1" applyProtection="1">
      <protection locked="0"/>
    </xf>
    <xf numFmtId="9" fontId="1" fillId="0" borderId="1" xfId="2" applyBorder="1" applyProtection="1"/>
    <xf numFmtId="3" fontId="0" fillId="0" borderId="1" xfId="0" applyNumberFormat="1" applyBorder="1" applyProtection="1">
      <protection locked="0"/>
    </xf>
    <xf numFmtId="3" fontId="0" fillId="0" borderId="1" xfId="0" applyNumberFormat="1" applyBorder="1" applyAlignment="1" applyProtection="1">
      <alignment horizontal="left" indent="1"/>
      <protection locked="0"/>
    </xf>
    <xf numFmtId="3" fontId="0" fillId="0" borderId="1" xfId="0" applyNumberFormat="1" applyBorder="1" applyAlignment="1" applyProtection="1">
      <alignment horizontal="left"/>
      <protection locked="0"/>
    </xf>
    <xf numFmtId="165" fontId="0" fillId="0" borderId="1" xfId="0" applyNumberFormat="1" applyBorder="1" applyProtection="1"/>
    <xf numFmtId="0" fontId="0" fillId="0" borderId="1" xfId="0" applyBorder="1" applyAlignment="1" applyProtection="1">
      <alignment horizontal="left"/>
      <protection locked="0"/>
    </xf>
    <xf numFmtId="165" fontId="0" fillId="3" borderId="1" xfId="0" applyNumberFormat="1" applyFill="1" applyBorder="1" applyProtection="1"/>
    <xf numFmtId="3" fontId="0" fillId="0" borderId="1" xfId="0" applyNumberFormat="1" applyFill="1" applyBorder="1" applyAlignment="1" applyProtection="1">
      <alignment horizontal="left"/>
      <protection locked="0"/>
    </xf>
    <xf numFmtId="3" fontId="0" fillId="0" borderId="0" xfId="0" applyNumberFormat="1" applyAlignment="1" applyProtection="1">
      <alignment horizontal="left" indent="1"/>
      <protection locked="0"/>
    </xf>
    <xf numFmtId="0" fontId="0" fillId="0" borderId="1" xfId="0" applyBorder="1" applyProtection="1">
      <protection locked="0"/>
    </xf>
    <xf numFmtId="0" fontId="13" fillId="0" borderId="0" xfId="0" applyFont="1" applyAlignment="1" applyProtection="1">
      <alignment horizontal="center" wrapText="1"/>
    </xf>
    <xf numFmtId="0" fontId="10" fillId="4" borderId="0" xfId="0" applyFont="1" applyFill="1" applyAlignment="1" applyProtection="1">
      <alignment horizontal="center"/>
      <protection locked="0"/>
    </xf>
    <xf numFmtId="166" fontId="0" fillId="0" borderId="1" xfId="1" applyNumberFormat="1" applyFont="1" applyFill="1" applyBorder="1" applyProtection="1"/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Protection="1"/>
    <xf numFmtId="165" fontId="4" fillId="0" borderId="1" xfId="2" applyNumberFormat="1" applyFont="1" applyFill="1" applyBorder="1" applyProtection="1">
      <protection locked="0"/>
    </xf>
    <xf numFmtId="165" fontId="4" fillId="0" borderId="1" xfId="2" applyNumberFormat="1" applyFont="1" applyFill="1" applyBorder="1" applyProtection="1"/>
    <xf numFmtId="10" fontId="4" fillId="0" borderId="1" xfId="2" applyNumberFormat="1" applyFont="1" applyFill="1" applyBorder="1" applyProtection="1">
      <protection locked="0"/>
    </xf>
    <xf numFmtId="166" fontId="4" fillId="0" borderId="1" xfId="1" applyNumberFormat="1" applyFont="1" applyFill="1" applyBorder="1" applyProtection="1">
      <protection locked="0"/>
    </xf>
    <xf numFmtId="169" fontId="4" fillId="0" borderId="1" xfId="1" applyNumberFormat="1" applyFont="1" applyFill="1" applyBorder="1" applyProtection="1">
      <protection locked="0"/>
    </xf>
    <xf numFmtId="169" fontId="4" fillId="0" borderId="1" xfId="1" applyNumberFormat="1" applyFont="1" applyFill="1" applyBorder="1" applyAlignment="1" applyProtection="1">
      <alignment horizontal="right" indent="1"/>
    </xf>
    <xf numFmtId="0" fontId="0" fillId="0" borderId="1" xfId="0" applyFill="1" applyBorder="1" applyProtection="1">
      <protection locked="0"/>
    </xf>
    <xf numFmtId="0" fontId="0" fillId="6" borderId="0" xfId="0" applyFill="1"/>
    <xf numFmtId="166" fontId="7" fillId="8" borderId="1" xfId="1" applyNumberFormat="1" applyFont="1" applyFill="1" applyBorder="1" applyProtection="1"/>
    <xf numFmtId="3" fontId="4" fillId="7" borderId="1" xfId="0" applyNumberFormat="1" applyFont="1" applyFill="1" applyBorder="1" applyProtection="1">
      <protection locked="0"/>
    </xf>
    <xf numFmtId="3" fontId="4" fillId="7" borderId="2" xfId="0" applyNumberFormat="1" applyFont="1" applyFill="1" applyBorder="1" applyProtection="1">
      <protection locked="0"/>
    </xf>
    <xf numFmtId="3" fontId="0" fillId="7" borderId="1" xfId="0" applyNumberFormat="1" applyFill="1" applyBorder="1" applyProtection="1">
      <protection locked="0"/>
    </xf>
    <xf numFmtId="3" fontId="4" fillId="7" borderId="3" xfId="0" applyNumberFormat="1" applyFont="1" applyFill="1" applyBorder="1" applyProtection="1">
      <protection locked="0"/>
    </xf>
    <xf numFmtId="3" fontId="0" fillId="7" borderId="5" xfId="0" applyNumberFormat="1" applyFill="1" applyBorder="1" applyProtection="1">
      <protection locked="0"/>
    </xf>
    <xf numFmtId="1" fontId="18" fillId="0" borderId="10" xfId="3" applyNumberFormat="1" applyFont="1" applyFill="1" applyBorder="1" applyProtection="1"/>
    <xf numFmtId="1" fontId="18" fillId="0" borderId="0" xfId="3" applyNumberFormat="1" applyFont="1" applyFill="1" applyBorder="1" applyProtection="1"/>
    <xf numFmtId="1" fontId="17" fillId="0" borderId="0" xfId="3" applyNumberFormat="1" applyFont="1" applyFill="1" applyBorder="1" applyAlignment="1" applyProtection="1">
      <alignment horizontal="centerContinuous"/>
    </xf>
    <xf numFmtId="1" fontId="19" fillId="0" borderId="0" xfId="3" applyNumberFormat="1" applyFont="1" applyFill="1" applyBorder="1" applyAlignment="1" applyProtection="1">
      <alignment horizontal="centerContinuous"/>
    </xf>
    <xf numFmtId="1" fontId="19" fillId="0" borderId="0" xfId="3" applyNumberFormat="1" applyFont="1" applyBorder="1" applyAlignment="1" applyProtection="1">
      <alignment horizontal="centerContinuous"/>
    </xf>
    <xf numFmtId="1" fontId="22" fillId="0" borderId="0" xfId="0" applyNumberFormat="1" applyFont="1" applyFill="1" applyBorder="1" applyProtection="1"/>
    <xf numFmtId="1" fontId="12" fillId="0" borderId="0" xfId="0" applyNumberFormat="1" applyFont="1" applyFill="1" applyBorder="1" applyAlignment="1" applyProtection="1">
      <alignment horizontal="center"/>
    </xf>
    <xf numFmtId="1" fontId="4" fillId="0" borderId="10" xfId="0" applyNumberFormat="1" applyFont="1" applyFill="1" applyBorder="1" applyProtection="1"/>
    <xf numFmtId="1" fontId="4" fillId="0" borderId="0" xfId="0" applyNumberFormat="1" applyFont="1" applyFill="1" applyBorder="1" applyProtection="1"/>
    <xf numFmtId="1" fontId="12" fillId="0" borderId="10" xfId="0" applyNumberFormat="1" applyFont="1" applyFill="1" applyBorder="1" applyProtection="1"/>
    <xf numFmtId="1" fontId="12" fillId="0" borderId="0" xfId="0" applyNumberFormat="1" applyFont="1" applyFill="1" applyBorder="1" applyProtection="1"/>
    <xf numFmtId="1" fontId="4" fillId="0" borderId="0" xfId="0" applyNumberFormat="1" applyFont="1" applyFill="1" applyBorder="1" applyAlignment="1" applyProtection="1">
      <alignment horizontal="left" indent="1"/>
    </xf>
    <xf numFmtId="165" fontId="8" fillId="0" borderId="0" xfId="2" applyNumberFormat="1" applyFont="1" applyFill="1" applyBorder="1" applyAlignment="1" applyProtection="1">
      <alignment horizontal="right" vertical="center" wrapText="1"/>
    </xf>
    <xf numFmtId="1" fontId="4" fillId="0" borderId="10" xfId="0" applyNumberFormat="1" applyFont="1" applyFill="1" applyBorder="1" applyProtection="1">
      <protection locked="0"/>
    </xf>
    <xf numFmtId="1" fontId="4" fillId="0" borderId="0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" fontId="4" fillId="0" borderId="14" xfId="0" applyNumberFormat="1" applyFont="1" applyFill="1" applyBorder="1" applyProtection="1"/>
    <xf numFmtId="1" fontId="12" fillId="0" borderId="10" xfId="0" applyNumberFormat="1" applyFont="1" applyFill="1" applyBorder="1" applyProtection="1">
      <protection locked="0"/>
    </xf>
    <xf numFmtId="1" fontId="23" fillId="0" borderId="10" xfId="0" applyNumberFormat="1" applyFont="1" applyFill="1" applyBorder="1" applyAlignment="1" applyProtection="1">
      <alignment horizontal="left"/>
    </xf>
    <xf numFmtId="170" fontId="4" fillId="0" borderId="0" xfId="0" applyNumberFormat="1" applyFont="1" applyFill="1" applyBorder="1" applyProtection="1"/>
    <xf numFmtId="165" fontId="14" fillId="0" borderId="10" xfId="0" applyNumberFormat="1" applyFont="1" applyFill="1" applyBorder="1" applyProtection="1"/>
    <xf numFmtId="165" fontId="14" fillId="0" borderId="10" xfId="3" applyNumberFormat="1" applyFont="1" applyFill="1" applyBorder="1" applyProtection="1"/>
    <xf numFmtId="165" fontId="14" fillId="0" borderId="10" xfId="3" applyNumberFormat="1" applyFont="1" applyFill="1" applyBorder="1" applyAlignment="1" applyProtection="1"/>
    <xf numFmtId="170" fontId="17" fillId="0" borderId="11" xfId="2" applyNumberFormat="1" applyFont="1" applyFill="1" applyBorder="1" applyProtection="1"/>
    <xf numFmtId="1" fontId="27" fillId="0" borderId="0" xfId="0" applyNumberFormat="1" applyFont="1" applyFill="1" applyBorder="1" applyProtection="1"/>
    <xf numFmtId="1" fontId="26" fillId="0" borderId="0" xfId="0" applyNumberFormat="1" applyFont="1" applyFill="1" applyBorder="1" applyProtection="1"/>
    <xf numFmtId="1" fontId="28" fillId="0" borderId="10" xfId="0" applyNumberFormat="1" applyFont="1" applyFill="1" applyBorder="1" applyProtection="1"/>
    <xf numFmtId="165" fontId="4" fillId="0" borderId="0" xfId="0" applyNumberFormat="1" applyFont="1" applyFill="1" applyBorder="1" applyProtection="1"/>
    <xf numFmtId="165" fontId="4" fillId="9" borderId="10" xfId="0" applyNumberFormat="1" applyFont="1" applyFill="1" applyBorder="1" applyProtection="1"/>
    <xf numFmtId="165" fontId="14" fillId="9" borderId="10" xfId="3" applyNumberFormat="1" applyFont="1" applyFill="1" applyBorder="1" applyProtection="1"/>
    <xf numFmtId="165" fontId="4" fillId="9" borderId="10" xfId="3" applyNumberFormat="1" applyFont="1" applyFill="1" applyBorder="1" applyAlignment="1" applyProtection="1"/>
    <xf numFmtId="165" fontId="4" fillId="0" borderId="0" xfId="2" applyNumberFormat="1" applyFont="1" applyFill="1" applyBorder="1" applyAlignment="1" applyProtection="1"/>
    <xf numFmtId="170" fontId="14" fillId="9" borderId="10" xfId="3" applyNumberFormat="1" applyFont="1" applyFill="1" applyBorder="1" applyAlignment="1" applyProtection="1">
      <alignment horizontal="left"/>
    </xf>
    <xf numFmtId="165" fontId="4" fillId="0" borderId="0" xfId="2" applyNumberFormat="1" applyFont="1" applyFill="1" applyBorder="1" applyProtection="1"/>
    <xf numFmtId="170" fontId="4" fillId="0" borderId="12" xfId="0" applyNumberFormat="1" applyFont="1" applyFill="1" applyBorder="1" applyProtection="1"/>
    <xf numFmtId="170" fontId="25" fillId="0" borderId="12" xfId="0" applyNumberFormat="1" applyFont="1" applyFill="1" applyBorder="1" applyAlignment="1" applyProtection="1">
      <alignment horizontal="centerContinuous"/>
    </xf>
    <xf numFmtId="170" fontId="18" fillId="0" borderId="0" xfId="0" applyNumberFormat="1" applyFont="1" applyFill="1" applyBorder="1" applyAlignment="1" applyProtection="1"/>
    <xf numFmtId="170" fontId="21" fillId="0" borderId="0" xfId="0" applyNumberFormat="1" applyFont="1" applyFill="1" applyBorder="1" applyAlignment="1" applyProtection="1"/>
    <xf numFmtId="170" fontId="29" fillId="0" borderId="0" xfId="0" applyNumberFormat="1" applyFont="1" applyFill="1" applyBorder="1" applyAlignment="1" applyProtection="1">
      <alignment horizontal="right"/>
    </xf>
    <xf numFmtId="170" fontId="30" fillId="0" borderId="0" xfId="0" applyNumberFormat="1" applyFont="1" applyFill="1" applyBorder="1" applyAlignment="1" applyProtection="1"/>
    <xf numFmtId="170" fontId="27" fillId="0" borderId="0" xfId="0" applyNumberFormat="1" applyFont="1" applyFill="1" applyBorder="1" applyProtection="1"/>
    <xf numFmtId="166" fontId="4" fillId="0" borderId="0" xfId="0" applyNumberFormat="1" applyFont="1" applyFill="1" applyBorder="1" applyProtection="1"/>
    <xf numFmtId="1" fontId="8" fillId="0" borderId="0" xfId="0" applyNumberFormat="1" applyFont="1" applyFill="1" applyBorder="1" applyAlignment="1" applyProtection="1">
      <alignment horizontal="right"/>
    </xf>
    <xf numFmtId="166" fontId="12" fillId="0" borderId="0" xfId="0" applyNumberFormat="1" applyFont="1" applyFill="1" applyBorder="1" applyProtection="1"/>
    <xf numFmtId="1" fontId="12" fillId="0" borderId="0" xfId="0" applyNumberFormat="1" applyFont="1" applyFill="1" applyBorder="1" applyAlignment="1" applyProtection="1">
      <alignment horizontal="left" indent="1"/>
    </xf>
    <xf numFmtId="1" fontId="4" fillId="0" borderId="0" xfId="0" applyNumberFormat="1" applyFont="1" applyFill="1" applyBorder="1" applyAlignment="1" applyProtection="1">
      <alignment horizontal="left" indent="4"/>
    </xf>
    <xf numFmtId="1" fontId="12" fillId="0" borderId="0" xfId="0" applyNumberFormat="1" applyFont="1" applyFill="1" applyBorder="1" applyAlignment="1" applyProtection="1"/>
    <xf numFmtId="1" fontId="18" fillId="0" borderId="0" xfId="3" applyNumberFormat="1" applyFont="1" applyFill="1" applyBorder="1" applyAlignment="1" applyProtection="1">
      <alignment horizontal="left"/>
    </xf>
    <xf numFmtId="0" fontId="0" fillId="0" borderId="9" xfId="0" applyBorder="1"/>
    <xf numFmtId="0" fontId="0" fillId="0" borderId="0" xfId="0" applyBorder="1"/>
    <xf numFmtId="165" fontId="8" fillId="0" borderId="15" xfId="2" applyNumberFormat="1" applyFont="1" applyFill="1" applyBorder="1" applyAlignment="1" applyProtection="1">
      <alignment horizontal="right" vertical="center" wrapText="1"/>
    </xf>
    <xf numFmtId="1" fontId="4" fillId="0" borderId="15" xfId="0" applyNumberFormat="1" applyFont="1" applyFill="1" applyBorder="1" applyAlignment="1" applyProtection="1">
      <alignment vertical="center" wrapText="1"/>
    </xf>
    <xf numFmtId="1" fontId="4" fillId="0" borderId="15" xfId="0" applyNumberFormat="1" applyFont="1" applyFill="1" applyBorder="1" applyProtection="1"/>
    <xf numFmtId="164" fontId="4" fillId="0" borderId="15" xfId="0" applyNumberFormat="1" applyFont="1" applyFill="1" applyBorder="1" applyProtection="1"/>
    <xf numFmtId="165" fontId="4" fillId="0" borderId="15" xfId="0" applyNumberFormat="1" applyFont="1" applyFill="1" applyBorder="1" applyProtection="1"/>
    <xf numFmtId="0" fontId="0" fillId="0" borderId="12" xfId="0" applyBorder="1"/>
    <xf numFmtId="170" fontId="4" fillId="0" borderId="16" xfId="0" applyNumberFormat="1" applyFont="1" applyFill="1" applyBorder="1" applyProtection="1"/>
    <xf numFmtId="1" fontId="28" fillId="0" borderId="0" xfId="0" applyNumberFormat="1" applyFont="1" applyFill="1" applyBorder="1" applyProtection="1"/>
    <xf numFmtId="170" fontId="4" fillId="9" borderId="0" xfId="3" applyNumberFormat="1" applyFont="1" applyFill="1" applyBorder="1" applyAlignment="1" applyProtection="1">
      <alignment horizontal="left"/>
    </xf>
    <xf numFmtId="170" fontId="24" fillId="0" borderId="0" xfId="0" applyNumberFormat="1" applyFont="1" applyFill="1" applyBorder="1" applyProtection="1"/>
    <xf numFmtId="165" fontId="24" fillId="0" borderId="0" xfId="0" applyNumberFormat="1" applyFont="1" applyFill="1" applyBorder="1" applyProtection="1"/>
    <xf numFmtId="165" fontId="4" fillId="0" borderId="0" xfId="0" applyNumberFormat="1" applyFont="1" applyFill="1" applyBorder="1" applyAlignment="1" applyProtection="1">
      <alignment vertical="center"/>
    </xf>
    <xf numFmtId="170" fontId="4" fillId="0" borderId="0" xfId="0" applyNumberFormat="1" applyFont="1" applyFill="1" applyBorder="1" applyAlignment="1" applyProtection="1">
      <alignment horizontal="center"/>
    </xf>
    <xf numFmtId="165" fontId="4" fillId="0" borderId="0" xfId="0" applyNumberFormat="1" applyFont="1" applyFill="1" applyBorder="1" applyAlignment="1" applyProtection="1"/>
    <xf numFmtId="1" fontId="12" fillId="0" borderId="8" xfId="0" applyNumberFormat="1" applyFont="1" applyFill="1" applyBorder="1" applyAlignment="1" applyProtection="1">
      <alignment horizontal="left"/>
      <protection locked="0"/>
    </xf>
    <xf numFmtId="1" fontId="12" fillId="0" borderId="9" xfId="0" applyNumberFormat="1" applyFont="1" applyFill="1" applyBorder="1" applyProtection="1"/>
    <xf numFmtId="166" fontId="12" fillId="9" borderId="9" xfId="0" applyNumberFormat="1" applyFont="1" applyFill="1" applyBorder="1" applyProtection="1"/>
    <xf numFmtId="1" fontId="4" fillId="0" borderId="10" xfId="0" applyNumberFormat="1" applyFont="1" applyFill="1" applyBorder="1" applyAlignment="1" applyProtection="1">
      <alignment horizontal="left" indent="1"/>
      <protection locked="0"/>
    </xf>
    <xf numFmtId="166" fontId="4" fillId="0" borderId="15" xfId="0" applyNumberFormat="1" applyFont="1" applyFill="1" applyBorder="1" applyProtection="1"/>
    <xf numFmtId="1" fontId="12" fillId="0" borderId="10" xfId="0" applyNumberFormat="1" applyFont="1" applyFill="1" applyBorder="1" applyAlignment="1" applyProtection="1">
      <protection locked="0"/>
    </xf>
    <xf numFmtId="166" fontId="12" fillId="0" borderId="15" xfId="0" applyNumberFormat="1" applyFont="1" applyFill="1" applyBorder="1" applyProtection="1"/>
    <xf numFmtId="1" fontId="22" fillId="0" borderId="10" xfId="0" applyNumberFormat="1" applyFont="1" applyFill="1" applyBorder="1" applyProtection="1">
      <protection locked="0"/>
    </xf>
    <xf numFmtId="49" fontId="4" fillId="0" borderId="10" xfId="0" applyNumberFormat="1" applyFont="1" applyFill="1" applyBorder="1" applyAlignment="1" applyProtection="1">
      <alignment horizontal="left" indent="1"/>
      <protection locked="0"/>
    </xf>
    <xf numFmtId="1" fontId="4" fillId="0" borderId="10" xfId="0" applyNumberFormat="1" applyFont="1" applyFill="1" applyBorder="1" applyAlignment="1" applyProtection="1">
      <protection locked="0"/>
    </xf>
    <xf numFmtId="1" fontId="4" fillId="0" borderId="10" xfId="0" applyNumberFormat="1" applyFont="1" applyFill="1" applyBorder="1" applyAlignment="1" applyProtection="1">
      <alignment horizontal="left" indent="4"/>
      <protection locked="0"/>
    </xf>
    <xf numFmtId="17" fontId="12" fillId="0" borderId="15" xfId="1" applyNumberFormat="1" applyFont="1" applyFill="1" applyBorder="1" applyProtection="1">
      <protection locked="0"/>
    </xf>
    <xf numFmtId="170" fontId="4" fillId="9" borderId="10" xfId="3" applyNumberFormat="1" applyFont="1" applyFill="1" applyBorder="1" applyAlignment="1" applyProtection="1">
      <alignment horizontal="left"/>
    </xf>
    <xf numFmtId="170" fontId="4" fillId="0" borderId="15" xfId="0" applyNumberFormat="1" applyFont="1" applyFill="1" applyBorder="1" applyProtection="1"/>
    <xf numFmtId="165" fontId="4" fillId="9" borderId="10" xfId="3" applyNumberFormat="1" applyFont="1" applyFill="1" applyBorder="1" applyAlignment="1" applyProtection="1">
      <alignment horizontal="left"/>
    </xf>
    <xf numFmtId="165" fontId="4" fillId="9" borderId="10" xfId="0" applyNumberFormat="1" applyFont="1" applyFill="1" applyBorder="1" applyAlignment="1" applyProtection="1">
      <alignment horizontal="left"/>
    </xf>
    <xf numFmtId="165" fontId="4" fillId="0" borderId="15" xfId="0" applyNumberFormat="1" applyFont="1" applyFill="1" applyBorder="1" applyAlignment="1" applyProtection="1">
      <alignment vertical="center"/>
    </xf>
    <xf numFmtId="170" fontId="4" fillId="0" borderId="15" xfId="0" applyNumberFormat="1" applyFont="1" applyFill="1" applyBorder="1" applyAlignment="1" applyProtection="1">
      <alignment horizontal="center"/>
    </xf>
    <xf numFmtId="165" fontId="4" fillId="0" borderId="15" xfId="0" applyNumberFormat="1" applyFont="1" applyFill="1" applyBorder="1" applyAlignment="1" applyProtection="1"/>
    <xf numFmtId="165" fontId="4" fillId="9" borderId="10" xfId="3" applyNumberFormat="1" applyFont="1" applyFill="1" applyBorder="1" applyProtection="1"/>
    <xf numFmtId="165" fontId="4" fillId="0" borderId="15" xfId="2" applyNumberFormat="1" applyFont="1" applyFill="1" applyBorder="1" applyProtection="1"/>
    <xf numFmtId="166" fontId="12" fillId="9" borderId="17" xfId="0" applyNumberFormat="1" applyFont="1" applyFill="1" applyBorder="1" applyProtection="1"/>
    <xf numFmtId="1" fontId="31" fillId="0" borderId="0" xfId="3" applyNumberFormat="1" applyFont="1" applyBorder="1" applyAlignment="1" applyProtection="1">
      <alignment horizontal="centerContinuous"/>
    </xf>
    <xf numFmtId="9" fontId="0" fillId="0" borderId="0" xfId="2" applyFont="1" applyProtection="1">
      <protection locked="0"/>
    </xf>
    <xf numFmtId="1" fontId="12" fillId="0" borderId="1" xfId="0" applyNumberFormat="1" applyFont="1" applyFill="1" applyBorder="1" applyAlignment="1" applyProtection="1">
      <alignment horizontal="center"/>
    </xf>
    <xf numFmtId="171" fontId="12" fillId="0" borderId="21" xfId="0" applyNumberFormat="1" applyFont="1" applyFill="1" applyBorder="1" applyAlignment="1" applyProtection="1">
      <alignment horizontal="center"/>
    </xf>
    <xf numFmtId="0" fontId="0" fillId="0" borderId="14" xfId="0" applyBorder="1"/>
    <xf numFmtId="166" fontId="4" fillId="0" borderId="1" xfId="0" applyNumberFormat="1" applyFont="1" applyFill="1" applyBorder="1" applyProtection="1"/>
    <xf numFmtId="1" fontId="4" fillId="0" borderId="1" xfId="0" applyNumberFormat="1" applyFont="1" applyFill="1" applyBorder="1" applyProtection="1"/>
    <xf numFmtId="166" fontId="12" fillId="0" borderId="1" xfId="0" applyNumberFormat="1" applyFont="1" applyFill="1" applyBorder="1" applyProtection="1"/>
    <xf numFmtId="1" fontId="4" fillId="0" borderId="25" xfId="0" applyNumberFormat="1" applyFont="1" applyFill="1" applyBorder="1" applyProtection="1">
      <protection locked="0"/>
    </xf>
    <xf numFmtId="164" fontId="4" fillId="0" borderId="14" xfId="0" applyNumberFormat="1" applyFont="1" applyFill="1" applyBorder="1" applyAlignment="1" applyProtection="1"/>
    <xf numFmtId="164" fontId="4" fillId="0" borderId="26" xfId="0" applyNumberFormat="1" applyFont="1" applyFill="1" applyBorder="1" applyProtection="1"/>
    <xf numFmtId="1" fontId="22" fillId="0" borderId="25" xfId="0" applyNumberFormat="1" applyFont="1" applyFill="1" applyBorder="1" applyProtection="1">
      <protection locked="0"/>
    </xf>
    <xf numFmtId="1" fontId="22" fillId="0" borderId="14" xfId="0" applyNumberFormat="1" applyFont="1" applyFill="1" applyBorder="1" applyProtection="1"/>
    <xf numFmtId="1" fontId="4" fillId="0" borderId="25" xfId="0" applyNumberFormat="1" applyFont="1" applyFill="1" applyBorder="1" applyAlignment="1" applyProtection="1">
      <alignment horizontal="left" indent="1"/>
      <protection locked="0"/>
    </xf>
    <xf numFmtId="1" fontId="4" fillId="0" borderId="14" xfId="0" applyNumberFormat="1" applyFont="1" applyFill="1" applyBorder="1" applyAlignment="1" applyProtection="1">
      <alignment horizontal="left" indent="1"/>
    </xf>
    <xf numFmtId="0" fontId="0" fillId="0" borderId="1" xfId="0" applyBorder="1"/>
    <xf numFmtId="0" fontId="0" fillId="0" borderId="15" xfId="0" applyBorder="1"/>
    <xf numFmtId="171" fontId="31" fillId="0" borderId="15" xfId="3" applyNumberFormat="1" applyFont="1" applyBorder="1" applyAlignment="1" applyProtection="1">
      <alignment horizontal="centerContinuous"/>
    </xf>
    <xf numFmtId="166" fontId="4" fillId="0" borderId="21" xfId="0" applyNumberFormat="1" applyFont="1" applyFill="1" applyBorder="1" applyProtection="1"/>
    <xf numFmtId="166" fontId="12" fillId="0" borderId="21" xfId="0" applyNumberFormat="1" applyFont="1" applyFill="1" applyBorder="1" applyProtection="1"/>
    <xf numFmtId="172" fontId="0" fillId="5" borderId="1" xfId="0" applyNumberFormat="1" applyFill="1" applyBorder="1" applyProtection="1">
      <protection locked="0"/>
    </xf>
    <xf numFmtId="3" fontId="33" fillId="0" borderId="1" xfId="0" applyNumberFormat="1" applyFont="1" applyFill="1" applyBorder="1" applyProtection="1">
      <protection locked="0"/>
    </xf>
    <xf numFmtId="167" fontId="34" fillId="0" borderId="1" xfId="0" applyNumberFormat="1" applyFont="1" applyFill="1" applyBorder="1" applyAlignment="1" applyProtection="1">
      <protection locked="0"/>
    </xf>
    <xf numFmtId="3" fontId="33" fillId="0" borderId="1" xfId="0" applyNumberFormat="1" applyFont="1" applyFill="1" applyBorder="1" applyAlignment="1" applyProtection="1">
      <protection locked="0"/>
    </xf>
    <xf numFmtId="3" fontId="34" fillId="0" borderId="1" xfId="0" applyNumberFormat="1" applyFont="1" applyFill="1" applyBorder="1" applyAlignment="1" applyProtection="1">
      <alignment horizontal="left"/>
      <protection locked="0"/>
    </xf>
    <xf numFmtId="3" fontId="34" fillId="0" borderId="1" xfId="0" applyNumberFormat="1" applyFont="1" applyFill="1" applyBorder="1" applyAlignment="1" applyProtection="1">
      <alignment horizontal="left"/>
    </xf>
    <xf numFmtId="3" fontId="35" fillId="0" borderId="1" xfId="0" applyNumberFormat="1" applyFont="1" applyFill="1" applyBorder="1" applyProtection="1">
      <protection locked="0"/>
    </xf>
    <xf numFmtId="3" fontId="36" fillId="0" borderId="1" xfId="0" applyNumberFormat="1" applyFont="1" applyFill="1" applyBorder="1" applyAlignment="1" applyProtection="1">
      <protection locked="0"/>
    </xf>
    <xf numFmtId="3" fontId="33" fillId="0" borderId="1" xfId="0" applyNumberFormat="1" applyFont="1" applyFill="1" applyBorder="1" applyAlignment="1" applyProtection="1">
      <alignment horizontal="left"/>
      <protection locked="0"/>
    </xf>
    <xf numFmtId="3" fontId="34" fillId="0" borderId="0" xfId="0" applyNumberFormat="1" applyFont="1" applyFill="1" applyBorder="1" applyAlignment="1" applyProtection="1">
      <alignment horizontal="left"/>
      <protection locked="0"/>
    </xf>
    <xf numFmtId="173" fontId="0" fillId="0" borderId="1" xfId="1" applyNumberFormat="1" applyFont="1" applyFill="1" applyBorder="1"/>
    <xf numFmtId="165" fontId="0" fillId="10" borderId="1" xfId="0" applyNumberFormat="1" applyFill="1" applyBorder="1" applyAlignment="1" applyProtection="1">
      <alignment horizontal="right"/>
    </xf>
    <xf numFmtId="3" fontId="4" fillId="0" borderId="1" xfId="0" applyNumberFormat="1" applyFont="1" applyFill="1" applyBorder="1" applyProtection="1">
      <protection locked="0"/>
    </xf>
    <xf numFmtId="165" fontId="1" fillId="10" borderId="1" xfId="2" applyNumberFormat="1" applyFill="1" applyBorder="1" applyProtection="1"/>
    <xf numFmtId="165" fontId="0" fillId="0" borderId="4" xfId="0" applyNumberFormat="1" applyFill="1" applyBorder="1" applyAlignment="1" applyProtection="1">
      <alignment horizontal="right"/>
    </xf>
    <xf numFmtId="165" fontId="1" fillId="0" borderId="4" xfId="2" applyNumberFormat="1" applyFill="1" applyBorder="1" applyAlignment="1" applyProtection="1">
      <alignment horizontal="right"/>
    </xf>
    <xf numFmtId="166" fontId="7" fillId="8" borderId="4" xfId="1" applyNumberFormat="1" applyFont="1" applyFill="1" applyBorder="1" applyProtection="1"/>
    <xf numFmtId="3" fontId="4" fillId="7" borderId="4" xfId="0" applyNumberFormat="1" applyFont="1" applyFill="1" applyBorder="1" applyProtection="1">
      <protection locked="0"/>
    </xf>
    <xf numFmtId="165" fontId="1" fillId="0" borderId="4" xfId="2" applyNumberFormat="1" applyBorder="1" applyProtection="1"/>
    <xf numFmtId="3" fontId="4" fillId="7" borderId="28" xfId="0" applyNumberFormat="1" applyFont="1" applyFill="1" applyBorder="1" applyProtection="1">
      <protection locked="0"/>
    </xf>
    <xf numFmtId="3" fontId="0" fillId="0" borderId="4" xfId="0" applyNumberFormat="1" applyFill="1" applyBorder="1" applyProtection="1"/>
    <xf numFmtId="3" fontId="0" fillId="7" borderId="4" xfId="0" applyNumberFormat="1" applyFill="1" applyBorder="1" applyProtection="1">
      <protection locked="0"/>
    </xf>
    <xf numFmtId="3" fontId="0" fillId="7" borderId="4" xfId="0" applyNumberFormat="1" applyFill="1" applyBorder="1" applyProtection="1"/>
    <xf numFmtId="3" fontId="0" fillId="0" borderId="4" xfId="0" applyNumberFormat="1" applyBorder="1" applyProtection="1"/>
    <xf numFmtId="3" fontId="0" fillId="0" borderId="4" xfId="0" applyNumberFormat="1" applyBorder="1" applyAlignment="1" applyProtection="1">
      <alignment horizontal="right"/>
    </xf>
    <xf numFmtId="9" fontId="1" fillId="0" borderId="4" xfId="2" applyBorder="1" applyProtection="1"/>
    <xf numFmtId="3" fontId="0" fillId="2" borderId="4" xfId="0" applyNumberFormat="1" applyFill="1" applyBorder="1" applyProtection="1">
      <protection locked="0"/>
    </xf>
    <xf numFmtId="165" fontId="0" fillId="0" borderId="4" xfId="0" applyNumberFormat="1" applyBorder="1" applyProtection="1"/>
    <xf numFmtId="0" fontId="0" fillId="0" borderId="29" xfId="0" applyBorder="1"/>
    <xf numFmtId="3" fontId="4" fillId="10" borderId="28" xfId="0" applyNumberFormat="1" applyFont="1" applyFill="1" applyBorder="1" applyProtection="1">
      <protection locked="0"/>
    </xf>
    <xf numFmtId="173" fontId="0" fillId="10" borderId="1" xfId="1" applyNumberFormat="1" applyFont="1" applyFill="1" applyBorder="1"/>
    <xf numFmtId="3" fontId="0" fillId="10" borderId="4" xfId="0" applyNumberFormat="1" applyFill="1" applyBorder="1" applyProtection="1">
      <protection locked="0"/>
    </xf>
    <xf numFmtId="165" fontId="12" fillId="0" borderId="1" xfId="2" applyNumberFormat="1" applyFont="1" applyFill="1" applyBorder="1" applyProtection="1">
      <protection locked="0"/>
    </xf>
    <xf numFmtId="3" fontId="0" fillId="10" borderId="4" xfId="0" applyNumberFormat="1" applyFill="1" applyBorder="1" applyProtection="1"/>
    <xf numFmtId="3" fontId="37" fillId="7" borderId="1" xfId="0" applyNumberFormat="1" applyFont="1" applyFill="1" applyBorder="1" applyProtection="1">
      <protection locked="0"/>
    </xf>
    <xf numFmtId="3" fontId="37" fillId="7" borderId="4" xfId="0" applyNumberFormat="1" applyFont="1" applyFill="1" applyBorder="1" applyProtection="1">
      <protection locked="0"/>
    </xf>
    <xf numFmtId="3" fontId="37" fillId="10" borderId="4" xfId="0" applyNumberFormat="1" applyFont="1" applyFill="1" applyBorder="1" applyProtection="1">
      <protection locked="0"/>
    </xf>
    <xf numFmtId="165" fontId="45" fillId="10" borderId="1" xfId="2" applyNumberFormat="1" applyFont="1" applyFill="1" applyBorder="1" applyProtection="1">
      <protection locked="0"/>
    </xf>
    <xf numFmtId="165" fontId="46" fillId="10" borderId="0" xfId="2" applyNumberFormat="1" applyFont="1" applyFill="1"/>
    <xf numFmtId="0" fontId="16" fillId="11" borderId="1" xfId="0" applyFont="1" applyFill="1" applyBorder="1" applyAlignment="1" applyProtection="1">
      <alignment horizontal="center"/>
      <protection locked="0"/>
    </xf>
    <xf numFmtId="172" fontId="48" fillId="11" borderId="1" xfId="0" applyNumberFormat="1" applyFont="1" applyFill="1" applyBorder="1" applyAlignment="1" applyProtection="1">
      <alignment horizontal="center"/>
      <protection locked="0"/>
    </xf>
    <xf numFmtId="174" fontId="48" fillId="11" borderId="4" xfId="0" applyNumberFormat="1" applyFont="1" applyFill="1" applyBorder="1" applyAlignment="1" applyProtection="1">
      <alignment horizontal="center"/>
      <protection locked="0"/>
    </xf>
    <xf numFmtId="174" fontId="4" fillId="2" borderId="1" xfId="1" applyNumberFormat="1" applyFont="1" applyFill="1" applyBorder="1" applyProtection="1">
      <protection locked="0"/>
    </xf>
    <xf numFmtId="3" fontId="49" fillId="11" borderId="1" xfId="0" applyNumberFormat="1" applyFont="1" applyFill="1" applyBorder="1" applyProtection="1">
      <protection locked="0"/>
    </xf>
    <xf numFmtId="168" fontId="49" fillId="11" borderId="1" xfId="0" applyNumberFormat="1" applyFont="1" applyFill="1" applyBorder="1" applyProtection="1"/>
    <xf numFmtId="168" fontId="49" fillId="11" borderId="4" xfId="0" applyNumberFormat="1" applyFont="1" applyFill="1" applyBorder="1" applyProtection="1"/>
    <xf numFmtId="3" fontId="50" fillId="11" borderId="1" xfId="0" applyNumberFormat="1" applyFont="1" applyFill="1" applyBorder="1" applyProtection="1"/>
    <xf numFmtId="3" fontId="50" fillId="11" borderId="4" xfId="0" applyNumberFormat="1" applyFont="1" applyFill="1" applyBorder="1" applyProtection="1"/>
    <xf numFmtId="0" fontId="51" fillId="11" borderId="1" xfId="0" applyFont="1" applyFill="1" applyBorder="1" applyProtection="1">
      <protection locked="0"/>
    </xf>
    <xf numFmtId="165" fontId="49" fillId="11" borderId="1" xfId="2" applyNumberFormat="1" applyFont="1" applyFill="1" applyBorder="1" applyProtection="1">
      <protection locked="0"/>
    </xf>
    <xf numFmtId="165" fontId="50" fillId="11" borderId="1" xfId="2" applyNumberFormat="1" applyFont="1" applyFill="1" applyBorder="1" applyProtection="1"/>
    <xf numFmtId="165" fontId="50" fillId="11" borderId="4" xfId="2" applyNumberFormat="1" applyFont="1" applyFill="1" applyBorder="1" applyProtection="1"/>
    <xf numFmtId="3" fontId="50" fillId="11" borderId="1" xfId="0" applyNumberFormat="1" applyFont="1" applyFill="1" applyBorder="1" applyProtection="1">
      <protection locked="0"/>
    </xf>
    <xf numFmtId="0" fontId="15" fillId="11" borderId="1" xfId="0" applyFont="1" applyFill="1" applyBorder="1" applyProtection="1">
      <protection locked="0"/>
    </xf>
    <xf numFmtId="0" fontId="52" fillId="0" borderId="0" xfId="0" applyFont="1" applyAlignment="1" applyProtection="1">
      <alignment horizontal="center"/>
    </xf>
    <xf numFmtId="0" fontId="0" fillId="12" borderId="0" xfId="0" applyFill="1"/>
    <xf numFmtId="1" fontId="31" fillId="12" borderId="0" xfId="3" applyNumberFormat="1" applyFont="1" applyFill="1" applyBorder="1" applyAlignment="1" applyProtection="1">
      <alignment horizontal="centerContinuous"/>
    </xf>
    <xf numFmtId="166" fontId="12" fillId="13" borderId="17" xfId="0" applyNumberFormat="1" applyFont="1" applyFill="1" applyBorder="1" applyProtection="1"/>
    <xf numFmtId="165" fontId="8" fillId="12" borderId="15" xfId="2" applyNumberFormat="1" applyFont="1" applyFill="1" applyBorder="1" applyAlignment="1" applyProtection="1">
      <alignment horizontal="right" vertical="center" wrapText="1"/>
    </xf>
    <xf numFmtId="0" fontId="0" fillId="12" borderId="0" xfId="0" applyFill="1" applyBorder="1"/>
    <xf numFmtId="166" fontId="4" fillId="12" borderId="21" xfId="0" applyNumberFormat="1" applyFont="1" applyFill="1" applyBorder="1" applyProtection="1"/>
    <xf numFmtId="166" fontId="12" fillId="12" borderId="21" xfId="0" applyNumberFormat="1" applyFont="1" applyFill="1" applyBorder="1" applyProtection="1"/>
    <xf numFmtId="166" fontId="4" fillId="12" borderId="15" xfId="0" applyNumberFormat="1" applyFont="1" applyFill="1" applyBorder="1" applyProtection="1"/>
    <xf numFmtId="166" fontId="12" fillId="12" borderId="15" xfId="0" applyNumberFormat="1" applyFont="1" applyFill="1" applyBorder="1" applyProtection="1"/>
    <xf numFmtId="170" fontId="47" fillId="11" borderId="22" xfId="3" applyNumberFormat="1" applyFont="1" applyFill="1" applyBorder="1" applyProtection="1"/>
    <xf numFmtId="170" fontId="47" fillId="11" borderId="23" xfId="0" applyNumberFormat="1" applyFont="1" applyFill="1" applyBorder="1" applyProtection="1"/>
    <xf numFmtId="0" fontId="53" fillId="0" borderId="1" xfId="0" applyFont="1" applyBorder="1"/>
    <xf numFmtId="174" fontId="32" fillId="0" borderId="0" xfId="4" applyNumberFormat="1"/>
    <xf numFmtId="9" fontId="0" fillId="0" borderId="0" xfId="2" applyFont="1" applyProtection="1"/>
    <xf numFmtId="9" fontId="1" fillId="10" borderId="4" xfId="2" applyFill="1" applyBorder="1" applyProtection="1"/>
    <xf numFmtId="0" fontId="0" fillId="0" borderId="0" xfId="0" applyFill="1" applyBorder="1"/>
    <xf numFmtId="165" fontId="0" fillId="0" borderId="0" xfId="0" applyNumberFormat="1" applyFill="1" applyBorder="1"/>
    <xf numFmtId="1" fontId="0" fillId="0" borderId="0" xfId="0" applyNumberFormat="1" applyFill="1" applyBorder="1"/>
    <xf numFmtId="0" fontId="0" fillId="0" borderId="0" xfId="0" applyFill="1"/>
    <xf numFmtId="166" fontId="4" fillId="12" borderId="31" xfId="0" applyNumberFormat="1" applyFont="1" applyFill="1" applyBorder="1" applyProtection="1"/>
    <xf numFmtId="166" fontId="12" fillId="12" borderId="31" xfId="0" applyNumberFormat="1" applyFont="1" applyFill="1" applyBorder="1" applyProtection="1"/>
    <xf numFmtId="3" fontId="0" fillId="0" borderId="4" xfId="0" applyNumberFormat="1" applyFill="1" applyBorder="1" applyProtection="1">
      <protection locked="0"/>
    </xf>
    <xf numFmtId="166" fontId="4" fillId="12" borderId="0" xfId="0" applyNumberFormat="1" applyFont="1" applyFill="1" applyBorder="1" applyProtection="1"/>
    <xf numFmtId="166" fontId="4" fillId="0" borderId="32" xfId="0" applyNumberFormat="1" applyFont="1" applyFill="1" applyBorder="1" applyProtection="1"/>
    <xf numFmtId="0" fontId="0" fillId="0" borderId="10" xfId="0" applyBorder="1"/>
    <xf numFmtId="0" fontId="46" fillId="0" borderId="10" xfId="0" applyFont="1" applyBorder="1"/>
    <xf numFmtId="0" fontId="55" fillId="0" borderId="10" xfId="0" applyFont="1" applyBorder="1"/>
    <xf numFmtId="0" fontId="0" fillId="0" borderId="11" xfId="0" applyBorder="1"/>
    <xf numFmtId="0" fontId="0" fillId="0" borderId="16" xfId="0" applyBorder="1"/>
    <xf numFmtId="0" fontId="0" fillId="0" borderId="20" xfId="0" applyBorder="1"/>
    <xf numFmtId="0" fontId="0" fillId="0" borderId="33" xfId="0" applyBorder="1"/>
    <xf numFmtId="0" fontId="0" fillId="0" borderId="10" xfId="0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0" fillId="0" borderId="15" xfId="0" applyBorder="1" applyAlignment="1">
      <alignment horizontal="justify" vertical="center" wrapText="1"/>
    </xf>
    <xf numFmtId="0" fontId="56" fillId="0" borderId="0" xfId="0" applyFont="1" applyBorder="1" applyAlignment="1">
      <alignment horizontal="justify" vertical="center" wrapText="1"/>
    </xf>
    <xf numFmtId="0" fontId="57" fillId="0" borderId="8" xfId="0" applyFont="1" applyBorder="1" applyAlignment="1">
      <alignment horizontal="center" vertical="center" wrapText="1"/>
    </xf>
    <xf numFmtId="0" fontId="57" fillId="0" borderId="9" xfId="0" applyFont="1" applyBorder="1" applyAlignment="1">
      <alignment horizontal="center" vertical="center" wrapText="1"/>
    </xf>
    <xf numFmtId="0" fontId="57" fillId="0" borderId="17" xfId="0" applyFont="1" applyBorder="1" applyAlignment="1">
      <alignment horizontal="center" vertical="center" wrapText="1"/>
    </xf>
    <xf numFmtId="0" fontId="57" fillId="0" borderId="10" xfId="0" applyFont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 wrapText="1"/>
    </xf>
    <xf numFmtId="0" fontId="57" fillId="0" borderId="15" xfId="0" applyFont="1" applyBorder="1" applyAlignment="1">
      <alignment horizontal="center" vertical="center" wrapText="1"/>
    </xf>
    <xf numFmtId="0" fontId="0" fillId="0" borderId="10" xfId="0" applyBorder="1" applyAlignment="1">
      <alignment horizontal="justify" wrapText="1"/>
    </xf>
    <xf numFmtId="0" fontId="0" fillId="0" borderId="0" xfId="0" applyBorder="1" applyAlignment="1">
      <alignment horizontal="justify" wrapText="1"/>
    </xf>
    <xf numFmtId="0" fontId="0" fillId="0" borderId="15" xfId="0" applyBorder="1" applyAlignment="1">
      <alignment horizontal="justify" wrapText="1"/>
    </xf>
    <xf numFmtId="0" fontId="16" fillId="11" borderId="4" xfId="0" applyFont="1" applyFill="1" applyBorder="1" applyAlignment="1" applyProtection="1">
      <alignment horizontal="center"/>
      <protection locked="0"/>
    </xf>
    <xf numFmtId="0" fontId="16" fillId="11" borderId="6" xfId="0" applyFont="1" applyFill="1" applyBorder="1" applyAlignment="1" applyProtection="1">
      <alignment horizontal="center"/>
      <protection locked="0"/>
    </xf>
    <xf numFmtId="0" fontId="53" fillId="0" borderId="1" xfId="0" applyFont="1" applyBorder="1" applyAlignment="1">
      <alignment horizontal="center"/>
    </xf>
    <xf numFmtId="0" fontId="41" fillId="10" borderId="0" xfId="0" applyFont="1" applyFill="1" applyAlignment="1">
      <alignment horizontal="center"/>
    </xf>
    <xf numFmtId="0" fontId="16" fillId="11" borderId="30" xfId="0" applyFont="1" applyFill="1" applyBorder="1" applyAlignment="1" applyProtection="1">
      <alignment horizontal="center"/>
      <protection locked="0"/>
    </xf>
    <xf numFmtId="0" fontId="16" fillId="11" borderId="7" xfId="0" applyFont="1" applyFill="1" applyBorder="1" applyAlignment="1" applyProtection="1">
      <alignment horizontal="center"/>
      <protection locked="0"/>
    </xf>
    <xf numFmtId="0" fontId="54" fillId="11" borderId="0" xfId="0" applyFont="1" applyFill="1" applyBorder="1" applyAlignment="1">
      <alignment horizontal="center"/>
    </xf>
    <xf numFmtId="0" fontId="54" fillId="11" borderId="0" xfId="0" applyFont="1" applyFill="1" applyAlignment="1">
      <alignment horizontal="center"/>
    </xf>
    <xf numFmtId="1" fontId="21" fillId="0" borderId="10" xfId="0" applyNumberFormat="1" applyFont="1" applyFill="1" applyBorder="1" applyAlignment="1" applyProtection="1">
      <alignment horizontal="center"/>
    </xf>
    <xf numFmtId="1" fontId="21" fillId="0" borderId="0" xfId="0" applyNumberFormat="1" applyFont="1" applyFill="1" applyBorder="1" applyAlignment="1" applyProtection="1">
      <alignment horizontal="center"/>
    </xf>
    <xf numFmtId="1" fontId="18" fillId="0" borderId="19" xfId="0" applyNumberFormat="1" applyFont="1" applyFill="1" applyBorder="1" applyAlignment="1" applyProtection="1">
      <alignment horizontal="left"/>
    </xf>
    <xf numFmtId="1" fontId="18" fillId="0" borderId="20" xfId="0" applyNumberFormat="1" applyFont="1" applyFill="1" applyBorder="1" applyAlignment="1" applyProtection="1">
      <alignment horizontal="left"/>
    </xf>
    <xf numFmtId="170" fontId="4" fillId="9" borderId="10" xfId="3" applyNumberFormat="1" applyFont="1" applyFill="1" applyBorder="1" applyAlignment="1" applyProtection="1">
      <alignment horizontal="center" wrapText="1"/>
    </xf>
    <xf numFmtId="170" fontId="4" fillId="9" borderId="0" xfId="3" applyNumberFormat="1" applyFont="1" applyFill="1" applyBorder="1" applyAlignment="1" applyProtection="1">
      <alignment horizontal="center" wrapText="1"/>
    </xf>
    <xf numFmtId="0" fontId="0" fillId="0" borderId="27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4" xfId="0" applyBorder="1" applyAlignment="1">
      <alignment horizontal="left"/>
    </xf>
    <xf numFmtId="170" fontId="47" fillId="11" borderId="13" xfId="0" applyNumberFormat="1" applyFont="1" applyFill="1" applyBorder="1" applyAlignment="1" applyProtection="1">
      <alignment horizontal="center"/>
    </xf>
    <xf numFmtId="170" fontId="47" fillId="11" borderId="18" xfId="0" applyNumberFormat="1" applyFont="1" applyFill="1" applyBorder="1" applyAlignment="1" applyProtection="1">
      <alignment horizontal="center"/>
    </xf>
    <xf numFmtId="1" fontId="20" fillId="0" borderId="0" xfId="3" applyNumberFormat="1" applyFont="1" applyFill="1" applyBorder="1" applyAlignment="1" applyProtection="1">
      <alignment horizontal="left"/>
    </xf>
    <xf numFmtId="1" fontId="8" fillId="0" borderId="10" xfId="0" applyNumberFormat="1" applyFont="1" applyFill="1" applyBorder="1" applyAlignment="1" applyProtection="1">
      <alignment horizontal="center"/>
      <protection locked="0"/>
    </xf>
    <xf numFmtId="1" fontId="8" fillId="0" borderId="0" xfId="0" applyNumberFormat="1" applyFont="1" applyFill="1" applyBorder="1" applyAlignment="1" applyProtection="1">
      <alignment horizontal="center"/>
      <protection locked="0"/>
    </xf>
  </cellXfs>
  <cellStyles count="5">
    <cellStyle name="Hipervínculo" xfId="4" builtinId="8"/>
    <cellStyle name="Millares" xfId="1" builtinId="3"/>
    <cellStyle name="Normal" xfId="0" builtinId="0"/>
    <cellStyle name="Normal_TEMPLATE-FINAL" xfId="3"/>
    <cellStyle name="Porcentaje" xfId="2" builtinId="5"/>
  </cellStyles>
  <dxfs count="0"/>
  <tableStyles count="0" defaultTableStyle="TableStyleMedium2" defaultPivotStyle="PivotStyleLight16"/>
  <colors>
    <mruColors>
      <color rgb="FFCC99FF"/>
      <color rgb="FF5F4AF8"/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</xdr:row>
      <xdr:rowOff>114300</xdr:rowOff>
    </xdr:from>
    <xdr:to>
      <xdr:col>2</xdr:col>
      <xdr:colOff>514350</xdr:colOff>
      <xdr:row>10</xdr:row>
      <xdr:rowOff>114300</xdr:rowOff>
    </xdr:to>
    <xdr:pic>
      <xdr:nvPicPr>
        <xdr:cNvPr id="3" name="2 Imagen" descr="Imagen relacionada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04800"/>
          <a:ext cx="1724025" cy="172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339944\Downloads\masca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2"/>
      <sheetName val="Alerta"/>
      <sheetName val="GtiasSARC"/>
      <sheetName val="BASEHIST"/>
      <sheetName val="Leasing Proye"/>
      <sheetName val="Liquidador Tasas"/>
      <sheetName val="DECIS"/>
      <sheetName val="BALANCES"/>
      <sheetName val="ANEXO"/>
      <sheetName val="GARANTIAS"/>
      <sheetName val="CODEUDORES"/>
      <sheetName val="INFORMACION BASICA"/>
      <sheetName val="GRUPO"/>
      <sheetName val="APRECIACION FORMATO"/>
      <sheetName val="SUPUEST PROY"/>
      <sheetName val="DATACREDITO"/>
      <sheetName val="Leasing Anexo"/>
      <sheetName val="Tablas"/>
      <sheetName val="CEDULA_CONS"/>
      <sheetName val="RESPONSABILIDADES"/>
      <sheetName val="RECIPROCIDADES"/>
      <sheetName val="CONS_GARANTIAS"/>
      <sheetName val="EJEC PROY"/>
      <sheetName val="RESP_DEUDOR"/>
      <sheetName val="RECIP_DEUDOR"/>
      <sheetName val="UTIL_DEUDOR"/>
      <sheetName val="GARANTIAS_DEUDOR"/>
      <sheetName val="PEGAR_DATOS"/>
      <sheetName val="mascara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F3" t="str">
            <v xml:space="preserve">PROCESADORA DE MATERIAS PRIMAS S.A. PMP S.A. 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193">
          <cell r="X1193">
            <v>-6.5252010440142616E-2</v>
          </cell>
          <cell r="Y1193">
            <v>-0.17728989851288512</v>
          </cell>
        </row>
        <row r="1194">
          <cell r="X1194">
            <v>-6.2502751647319554E-2</v>
          </cell>
          <cell r="Y1194">
            <v>-0.14580653108437525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tabSelected="1" zoomScaleNormal="100" workbookViewId="0">
      <selection activeCell="D22" sqref="D22"/>
    </sheetView>
  </sheetViews>
  <sheetFormatPr baseColWidth="10" defaultColWidth="11.42578125" defaultRowHeight="15" x14ac:dyDescent="0.25"/>
  <sheetData>
    <row r="1" spans="1:12" x14ac:dyDescent="0.25">
      <c r="A1" s="269" t="s">
        <v>0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1"/>
    </row>
    <row r="2" spans="1:12" x14ac:dyDescent="0.25">
      <c r="A2" s="272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</row>
    <row r="3" spans="1:12" x14ac:dyDescent="0.25">
      <c r="A3" s="258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75"/>
    </row>
    <row r="4" spans="1:12" x14ac:dyDescent="0.25">
      <c r="A4" s="258"/>
      <c r="B4" s="122"/>
      <c r="C4" s="122"/>
      <c r="D4" s="268" t="s">
        <v>1</v>
      </c>
      <c r="E4" s="268"/>
      <c r="F4" s="268"/>
      <c r="G4" s="268"/>
      <c r="H4" s="268"/>
      <c r="I4" s="268"/>
      <c r="J4" s="268"/>
      <c r="K4" s="268"/>
      <c r="L4" s="175"/>
    </row>
    <row r="5" spans="1:12" x14ac:dyDescent="0.25">
      <c r="A5" s="258"/>
      <c r="B5" s="122"/>
      <c r="C5" s="122"/>
      <c r="D5" s="268"/>
      <c r="E5" s="268"/>
      <c r="F5" s="268"/>
      <c r="G5" s="268"/>
      <c r="H5" s="268"/>
      <c r="I5" s="268"/>
      <c r="J5" s="268"/>
      <c r="K5" s="268"/>
      <c r="L5" s="175"/>
    </row>
    <row r="6" spans="1:12" x14ac:dyDescent="0.25">
      <c r="A6" s="258"/>
      <c r="B6" s="122"/>
      <c r="C6" s="122"/>
      <c r="D6" s="268"/>
      <c r="E6" s="268"/>
      <c r="F6" s="268"/>
      <c r="G6" s="268"/>
      <c r="H6" s="268"/>
      <c r="I6" s="268"/>
      <c r="J6" s="268"/>
      <c r="K6" s="268"/>
      <c r="L6" s="175"/>
    </row>
    <row r="7" spans="1:12" x14ac:dyDescent="0.25">
      <c r="A7" s="258"/>
      <c r="B7" s="122"/>
      <c r="C7" s="122"/>
      <c r="D7" s="268"/>
      <c r="E7" s="268"/>
      <c r="F7" s="268"/>
      <c r="G7" s="268"/>
      <c r="H7" s="268"/>
      <c r="I7" s="268"/>
      <c r="J7" s="268"/>
      <c r="K7" s="268"/>
      <c r="L7" s="175"/>
    </row>
    <row r="8" spans="1:12" x14ac:dyDescent="0.25">
      <c r="A8" s="258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75"/>
    </row>
    <row r="9" spans="1:12" x14ac:dyDescent="0.25">
      <c r="A9" s="258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75"/>
    </row>
    <row r="10" spans="1:12" ht="15.75" thickBot="1" x14ac:dyDescent="0.3">
      <c r="A10" s="258"/>
      <c r="B10" s="122"/>
      <c r="C10" s="122"/>
      <c r="D10" s="263"/>
      <c r="E10" s="263"/>
      <c r="F10" s="263"/>
      <c r="G10" s="263"/>
      <c r="H10" s="263"/>
      <c r="I10" s="263"/>
      <c r="J10" s="263"/>
      <c r="K10" s="263"/>
      <c r="L10" s="264"/>
    </row>
    <row r="11" spans="1:12" ht="15.75" thickTop="1" x14ac:dyDescent="0.25">
      <c r="A11" s="258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75"/>
    </row>
    <row r="12" spans="1:12" ht="15" customHeight="1" x14ac:dyDescent="0.25">
      <c r="A12" s="275" t="s">
        <v>2</v>
      </c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7"/>
    </row>
    <row r="13" spans="1:12" x14ac:dyDescent="0.25">
      <c r="A13" s="265" t="s">
        <v>3</v>
      </c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7"/>
    </row>
    <row r="14" spans="1:12" x14ac:dyDescent="0.25">
      <c r="A14" s="265"/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7"/>
    </row>
    <row r="15" spans="1:12" x14ac:dyDescent="0.25">
      <c r="A15" s="265" t="s">
        <v>4</v>
      </c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7"/>
    </row>
    <row r="16" spans="1:12" x14ac:dyDescent="0.25">
      <c r="A16" s="265"/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7"/>
    </row>
    <row r="17" spans="1:12" x14ac:dyDescent="0.25">
      <c r="A17" s="258" t="s">
        <v>5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75"/>
    </row>
    <row r="18" spans="1:12" x14ac:dyDescent="0.25">
      <c r="A18" s="258" t="s">
        <v>6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75"/>
    </row>
    <row r="19" spans="1:12" x14ac:dyDescent="0.25">
      <c r="A19" s="265" t="s">
        <v>7</v>
      </c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7"/>
    </row>
    <row r="20" spans="1:12" x14ac:dyDescent="0.25">
      <c r="A20" s="265"/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7"/>
    </row>
    <row r="21" spans="1:12" x14ac:dyDescent="0.25">
      <c r="A21" s="258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75"/>
    </row>
    <row r="22" spans="1:12" x14ac:dyDescent="0.25">
      <c r="A22" s="259" t="s">
        <v>8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75"/>
    </row>
    <row r="23" spans="1:12" x14ac:dyDescent="0.25">
      <c r="A23" s="258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75"/>
    </row>
    <row r="24" spans="1:12" x14ac:dyDescent="0.25">
      <c r="A24" s="258" t="s">
        <v>9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75"/>
    </row>
    <row r="25" spans="1:12" x14ac:dyDescent="0.25">
      <c r="A25" s="258" t="s">
        <v>10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75"/>
    </row>
    <row r="26" spans="1:12" x14ac:dyDescent="0.25">
      <c r="A26" s="258" t="s">
        <v>11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75"/>
    </row>
    <row r="27" spans="1:12" x14ac:dyDescent="0.25">
      <c r="A27" s="259" t="s">
        <v>12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75"/>
    </row>
    <row r="28" spans="1:12" x14ac:dyDescent="0.25">
      <c r="A28" s="258" t="s">
        <v>13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75"/>
    </row>
    <row r="29" spans="1:12" x14ac:dyDescent="0.25">
      <c r="A29" s="259" t="s">
        <v>14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75"/>
    </row>
    <row r="30" spans="1:12" x14ac:dyDescent="0.25">
      <c r="A30" s="265" t="s">
        <v>15</v>
      </c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7"/>
    </row>
    <row r="31" spans="1:12" x14ac:dyDescent="0.25">
      <c r="A31" s="265"/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7"/>
    </row>
    <row r="32" spans="1:12" x14ac:dyDescent="0.25">
      <c r="A32" s="258" t="s">
        <v>16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75"/>
    </row>
    <row r="33" spans="1:12" x14ac:dyDescent="0.25">
      <c r="A33" s="258" t="s">
        <v>17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75"/>
    </row>
    <row r="34" spans="1:12" x14ac:dyDescent="0.25">
      <c r="A34" s="258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75"/>
    </row>
    <row r="35" spans="1:12" x14ac:dyDescent="0.25">
      <c r="A35" s="260" t="s">
        <v>18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75"/>
    </row>
    <row r="36" spans="1:12" x14ac:dyDescent="0.25">
      <c r="A36" s="258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75"/>
    </row>
    <row r="37" spans="1:12" x14ac:dyDescent="0.25">
      <c r="A37" s="258" t="s">
        <v>19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75"/>
    </row>
    <row r="38" spans="1:12" x14ac:dyDescent="0.25">
      <c r="A38" s="258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75"/>
    </row>
    <row r="39" spans="1:12" x14ac:dyDescent="0.25">
      <c r="A39" s="258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75"/>
    </row>
    <row r="40" spans="1:12" x14ac:dyDescent="0.25">
      <c r="A40" s="258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75"/>
    </row>
    <row r="41" spans="1:12" x14ac:dyDescent="0.25">
      <c r="A41" s="258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75"/>
    </row>
    <row r="42" spans="1:12" x14ac:dyDescent="0.25">
      <c r="A42" s="258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75"/>
    </row>
    <row r="43" spans="1:12" x14ac:dyDescent="0.25">
      <c r="A43" s="258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75"/>
    </row>
    <row r="44" spans="1:12" x14ac:dyDescent="0.25">
      <c r="A44" s="258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75"/>
    </row>
    <row r="45" spans="1:12" x14ac:dyDescent="0.25">
      <c r="A45" s="258"/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75"/>
    </row>
    <row r="46" spans="1:12" x14ac:dyDescent="0.25">
      <c r="A46" s="258"/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75"/>
    </row>
    <row r="47" spans="1:12" x14ac:dyDescent="0.25">
      <c r="A47" s="258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75"/>
    </row>
    <row r="48" spans="1:12" x14ac:dyDescent="0.25">
      <c r="A48" s="258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75"/>
    </row>
    <row r="49" spans="1:12" x14ac:dyDescent="0.25">
      <c r="A49" s="258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75"/>
    </row>
    <row r="50" spans="1:12" x14ac:dyDescent="0.25">
      <c r="A50" s="258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75"/>
    </row>
    <row r="51" spans="1:12" x14ac:dyDescent="0.25">
      <c r="A51" s="258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75"/>
    </row>
    <row r="52" spans="1:12" x14ac:dyDescent="0.25">
      <c r="A52" s="258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75"/>
    </row>
    <row r="53" spans="1:12" ht="15.75" thickBot="1" x14ac:dyDescent="0.3">
      <c r="A53" s="261"/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262"/>
    </row>
  </sheetData>
  <sheetProtection algorithmName="SHA-512" hashValue="XbCESIS140TkLmpeXnTGoOfpDVHWlIqSavACS/mjLehgXb0pYdfEyUYi6sQjHZdutK9F2cIaQPQjgeou2/aC2Q==" saltValue="Txff1ZZrOKMS/+AgzlAp3A==" spinCount="100000" sheet="1" objects="1" scenarios="1"/>
  <mergeCells count="7">
    <mergeCell ref="A19:L20"/>
    <mergeCell ref="A30:L31"/>
    <mergeCell ref="D4:K7"/>
    <mergeCell ref="A1:L2"/>
    <mergeCell ref="A12:L12"/>
    <mergeCell ref="A13:L14"/>
    <mergeCell ref="A15:L16"/>
  </mergeCells>
  <pageMargins left="0.7" right="0.7" top="0.75" bottom="0.75" header="0.3" footer="0.3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N166"/>
  <sheetViews>
    <sheetView zoomScaleNormal="100" workbookViewId="0">
      <selection activeCell="N91" sqref="N91"/>
    </sheetView>
  </sheetViews>
  <sheetFormatPr baseColWidth="10" defaultColWidth="11.42578125" defaultRowHeight="15" x14ac:dyDescent="0.25"/>
  <cols>
    <col min="1" max="1" width="51" customWidth="1"/>
    <col min="4" max="4" width="11.42578125" customWidth="1"/>
    <col min="5" max="13" width="12" bestFit="1" customWidth="1"/>
  </cols>
  <sheetData>
    <row r="1" spans="1:14" ht="23.25" x14ac:dyDescent="0.35">
      <c r="A1" s="245" t="s">
        <v>20</v>
      </c>
      <c r="B1" s="280" t="s">
        <v>21</v>
      </c>
      <c r="C1" s="280"/>
      <c r="D1" s="280"/>
      <c r="E1" s="281" t="s">
        <v>22</v>
      </c>
      <c r="F1" s="281"/>
      <c r="G1" s="281"/>
      <c r="H1" s="281"/>
      <c r="I1" s="281"/>
      <c r="J1" s="281"/>
      <c r="K1" s="281"/>
      <c r="L1" s="281"/>
      <c r="M1" s="281"/>
      <c r="N1" s="281"/>
    </row>
    <row r="3" spans="1:14" x14ac:dyDescent="0.25">
      <c r="A3" s="51" t="s">
        <v>23</v>
      </c>
      <c r="B3" s="52"/>
      <c r="C3" s="53" t="s">
        <v>24</v>
      </c>
      <c r="D3" s="233" t="s">
        <v>25</v>
      </c>
    </row>
    <row r="4" spans="1:14" x14ac:dyDescent="0.25">
      <c r="A4" s="232" t="s">
        <v>26</v>
      </c>
      <c r="B4" s="64"/>
      <c r="C4" s="54"/>
      <c r="D4" s="65">
        <v>10</v>
      </c>
    </row>
    <row r="5" spans="1:14" x14ac:dyDescent="0.25">
      <c r="A5" s="51" t="s">
        <v>27</v>
      </c>
      <c r="B5" s="179">
        <v>2014</v>
      </c>
      <c r="C5" s="179">
        <v>2015</v>
      </c>
      <c r="D5" s="221">
        <v>42673</v>
      </c>
      <c r="E5" s="246"/>
    </row>
    <row r="6" spans="1:14" x14ac:dyDescent="0.25">
      <c r="A6" s="55" t="s">
        <v>28</v>
      </c>
      <c r="B6" s="56"/>
      <c r="C6" s="57"/>
      <c r="D6" s="57"/>
    </row>
    <row r="7" spans="1:14" x14ac:dyDescent="0.25">
      <c r="A7" s="58" t="s">
        <v>29</v>
      </c>
      <c r="B7" s="58">
        <v>3.6600000000000001E-2</v>
      </c>
      <c r="C7" s="58">
        <v>6.7699999999999996E-2</v>
      </c>
      <c r="D7" s="58">
        <v>8.5999999999999993E-2</v>
      </c>
      <c r="E7" s="216">
        <v>8.5999999999999993E-2</v>
      </c>
      <c r="F7" s="216">
        <v>8.5999999999999993E-2</v>
      </c>
      <c r="G7" s="216">
        <v>8.5999999999999993E-2</v>
      </c>
      <c r="H7" s="216">
        <v>8.5999999999999993E-2</v>
      </c>
      <c r="I7" s="216">
        <v>8.5999999999999993E-2</v>
      </c>
      <c r="J7" s="216">
        <v>8.5999999999999993E-2</v>
      </c>
      <c r="K7" s="216">
        <v>8.5999999999999993E-2</v>
      </c>
      <c r="L7" s="216">
        <v>8.5999999999999993E-2</v>
      </c>
      <c r="M7" s="216">
        <v>8.5999999999999993E-2</v>
      </c>
      <c r="N7" s="216">
        <v>8.5999999999999993E-2</v>
      </c>
    </row>
    <row r="8" spans="1:14" x14ac:dyDescent="0.25">
      <c r="A8" s="58" t="s">
        <v>30</v>
      </c>
      <c r="B8" s="58"/>
      <c r="C8" s="58"/>
      <c r="D8" s="58"/>
    </row>
    <row r="9" spans="1:14" x14ac:dyDescent="0.25">
      <c r="A9" s="58" t="s">
        <v>31</v>
      </c>
      <c r="B9" s="58"/>
      <c r="C9" s="58"/>
      <c r="D9" s="59"/>
    </row>
    <row r="10" spans="1:14" x14ac:dyDescent="0.25">
      <c r="A10" s="58"/>
      <c r="B10" s="60"/>
      <c r="C10" s="59"/>
      <c r="D10" s="59"/>
    </row>
    <row r="11" spans="1:14" x14ac:dyDescent="0.25">
      <c r="A11" s="61" t="s">
        <v>32</v>
      </c>
      <c r="B11" s="62"/>
      <c r="C11" s="62"/>
      <c r="D11" s="63"/>
    </row>
    <row r="12" spans="1:14" x14ac:dyDescent="0.25">
      <c r="A12" s="61" t="s">
        <v>33</v>
      </c>
      <c r="B12" s="62"/>
      <c r="C12" s="62"/>
      <c r="D12" s="63"/>
    </row>
    <row r="13" spans="1:14" x14ac:dyDescent="0.25">
      <c r="A13" s="58" t="s">
        <v>34</v>
      </c>
      <c r="B13" s="58"/>
      <c r="C13" s="58"/>
      <c r="D13" s="58"/>
    </row>
    <row r="14" spans="1:14" x14ac:dyDescent="0.25">
      <c r="A14" s="58" t="s">
        <v>35</v>
      </c>
      <c r="B14" s="58"/>
      <c r="C14" s="58"/>
      <c r="D14" s="58"/>
    </row>
    <row r="15" spans="1:14" x14ac:dyDescent="0.25">
      <c r="A15" s="58" t="s">
        <v>36</v>
      </c>
      <c r="B15" s="58"/>
      <c r="C15" s="58"/>
      <c r="D15" s="58"/>
    </row>
    <row r="16" spans="1:14" x14ac:dyDescent="0.25">
      <c r="A16" s="58" t="s">
        <v>37</v>
      </c>
      <c r="B16" s="58"/>
      <c r="C16" s="58"/>
      <c r="D16" s="58"/>
    </row>
    <row r="17" spans="1:14" x14ac:dyDescent="0.25">
      <c r="A17" s="58" t="s">
        <v>38</v>
      </c>
      <c r="B17" s="58"/>
      <c r="C17" s="58"/>
      <c r="D17" s="58"/>
    </row>
    <row r="18" spans="1:14" x14ac:dyDescent="0.25">
      <c r="A18" s="211" t="s">
        <v>39</v>
      </c>
      <c r="B18" s="60"/>
      <c r="C18" s="60"/>
      <c r="D18" s="60"/>
      <c r="E18" s="217">
        <v>0.37</v>
      </c>
      <c r="F18" s="217">
        <v>0.37</v>
      </c>
      <c r="G18" s="217">
        <v>0.37</v>
      </c>
      <c r="H18" s="217">
        <v>0.37</v>
      </c>
      <c r="I18" s="217">
        <v>0.37</v>
      </c>
      <c r="J18" s="217">
        <v>0.37</v>
      </c>
      <c r="K18" s="217">
        <v>0.37</v>
      </c>
      <c r="L18" s="217">
        <v>0.37</v>
      </c>
      <c r="M18" s="217">
        <v>0.37</v>
      </c>
      <c r="N18" s="217">
        <v>0.37</v>
      </c>
    </row>
    <row r="21" spans="1:14" x14ac:dyDescent="0.25">
      <c r="A21" s="174" t="s">
        <v>40</v>
      </c>
      <c r="B21" s="174"/>
      <c r="C21" s="174"/>
      <c r="D21" s="174"/>
    </row>
    <row r="24" spans="1:14" ht="15.75" x14ac:dyDescent="0.25">
      <c r="A24" s="218" t="s">
        <v>41</v>
      </c>
      <c r="B24" s="219">
        <f>+B5</f>
        <v>2014</v>
      </c>
      <c r="C24" s="219">
        <f>+C5</f>
        <v>2015</v>
      </c>
      <c r="D24" s="220">
        <f>+D5</f>
        <v>42673</v>
      </c>
      <c r="E24" s="219">
        <v>2016</v>
      </c>
      <c r="F24" s="219">
        <v>2017</v>
      </c>
      <c r="G24" s="219">
        <v>2018</v>
      </c>
      <c r="H24" s="219">
        <v>2019</v>
      </c>
      <c r="I24" s="219">
        <v>2020</v>
      </c>
      <c r="J24" s="219">
        <v>2021</v>
      </c>
      <c r="K24" s="219">
        <v>2022</v>
      </c>
      <c r="L24" s="219">
        <v>2023</v>
      </c>
      <c r="M24" s="219">
        <v>2024</v>
      </c>
      <c r="N24" s="219">
        <v>2025</v>
      </c>
    </row>
    <row r="25" spans="1:14" x14ac:dyDescent="0.25">
      <c r="A25" s="180" t="s">
        <v>42</v>
      </c>
      <c r="B25" s="69">
        <v>37634</v>
      </c>
      <c r="C25" s="69">
        <v>47474</v>
      </c>
      <c r="D25" s="69">
        <v>45678</v>
      </c>
      <c r="E25" s="189">
        <f>+D25*E26+D25</f>
        <v>49606.307999999997</v>
      </c>
      <c r="F25" s="189">
        <f t="shared" ref="F25:N25" si="0">+E25*F26+E25</f>
        <v>53872.450487999995</v>
      </c>
      <c r="G25" s="189">
        <f t="shared" si="0"/>
        <v>58505.481229967991</v>
      </c>
      <c r="H25" s="189">
        <f t="shared" si="0"/>
        <v>63536.952615745235</v>
      </c>
      <c r="I25" s="189">
        <f t="shared" si="0"/>
        <v>69001.13054069932</v>
      </c>
      <c r="J25" s="189">
        <f t="shared" si="0"/>
        <v>74935.227767199467</v>
      </c>
      <c r="K25" s="189">
        <f t="shared" si="0"/>
        <v>81379.657355178613</v>
      </c>
      <c r="L25" s="189">
        <f t="shared" si="0"/>
        <v>88378.307887723975</v>
      </c>
      <c r="M25" s="189">
        <f t="shared" si="0"/>
        <v>95978.842366068231</v>
      </c>
      <c r="N25" s="189">
        <f t="shared" si="0"/>
        <v>104233.02280955009</v>
      </c>
    </row>
    <row r="26" spans="1:14" x14ac:dyDescent="0.25">
      <c r="A26" s="2" t="s">
        <v>43</v>
      </c>
      <c r="B26" s="3"/>
      <c r="C26" s="3">
        <f>+IF(B25=0,"N.A.",(C25/B25)-1)</f>
        <v>0.26146569591326996</v>
      </c>
      <c r="D26" s="193">
        <f>+IF(C25=0,"N.A.",((D25/D4*12)/C25)-1)</f>
        <v>0.15460251927370794</v>
      </c>
      <c r="E26" s="190">
        <f>+E7</f>
        <v>8.5999999999999993E-2</v>
      </c>
      <c r="F26" s="190">
        <f t="shared" ref="F26:N26" si="1">+F7</f>
        <v>8.5999999999999993E-2</v>
      </c>
      <c r="G26" s="190">
        <f t="shared" si="1"/>
        <v>8.5999999999999993E-2</v>
      </c>
      <c r="H26" s="190">
        <f t="shared" si="1"/>
        <v>8.5999999999999993E-2</v>
      </c>
      <c r="I26" s="190">
        <f t="shared" si="1"/>
        <v>8.5999999999999993E-2</v>
      </c>
      <c r="J26" s="190">
        <f t="shared" si="1"/>
        <v>8.5999999999999993E-2</v>
      </c>
      <c r="K26" s="190">
        <f t="shared" si="1"/>
        <v>8.5999999999999993E-2</v>
      </c>
      <c r="L26" s="190">
        <f t="shared" si="1"/>
        <v>8.5999999999999993E-2</v>
      </c>
      <c r="M26" s="190">
        <f t="shared" si="1"/>
        <v>8.5999999999999993E-2</v>
      </c>
      <c r="N26" s="190">
        <f t="shared" si="1"/>
        <v>8.5999999999999993E-2</v>
      </c>
    </row>
    <row r="27" spans="1:14" x14ac:dyDescent="0.25">
      <c r="A27" s="4"/>
      <c r="B27" s="5"/>
      <c r="C27" s="6"/>
      <c r="D27" s="6"/>
      <c r="E27" s="207"/>
    </row>
    <row r="28" spans="1:14" x14ac:dyDescent="0.25">
      <c r="A28" s="180" t="s">
        <v>44</v>
      </c>
      <c r="B28" s="69">
        <v>23990</v>
      </c>
      <c r="C28" s="69">
        <v>29870</v>
      </c>
      <c r="D28" s="69">
        <v>29087</v>
      </c>
      <c r="E28" s="36">
        <f>+E25*E29</f>
        <v>31599.218195999998</v>
      </c>
      <c r="F28" s="36">
        <f t="shared" ref="F28:N28" si="2">+F25*F29</f>
        <v>34478.368312319995</v>
      </c>
      <c r="G28" s="36">
        <f t="shared" si="2"/>
        <v>37443.507987179517</v>
      </c>
      <c r="H28" s="36">
        <f t="shared" si="2"/>
        <v>40663.649674076951</v>
      </c>
      <c r="I28" s="36">
        <f t="shared" si="2"/>
        <v>44160.723546047564</v>
      </c>
      <c r="J28" s="36">
        <f t="shared" si="2"/>
        <v>47958.545771007659</v>
      </c>
      <c r="K28" s="36">
        <f t="shared" si="2"/>
        <v>52082.980707314317</v>
      </c>
      <c r="L28" s="36">
        <f t="shared" si="2"/>
        <v>56562.117048143344</v>
      </c>
      <c r="M28" s="36">
        <f t="shared" si="2"/>
        <v>61426.459114283673</v>
      </c>
      <c r="N28" s="36">
        <f t="shared" si="2"/>
        <v>66709.134598112054</v>
      </c>
    </row>
    <row r="29" spans="1:14" x14ac:dyDescent="0.25">
      <c r="A29" s="7" t="s">
        <v>45</v>
      </c>
      <c r="B29" s="8">
        <f>IF(B25=0,0,B28/B25)</f>
        <v>0.63745549237391719</v>
      </c>
      <c r="C29" s="8">
        <f>IF(C25=0,0,C28/C25)</f>
        <v>0.62918650208535198</v>
      </c>
      <c r="D29" s="194">
        <f>IF(D25=0,0,D28/D25)</f>
        <v>0.63678357196024349</v>
      </c>
      <c r="E29" s="190">
        <v>0.63700000000000001</v>
      </c>
      <c r="F29" s="190">
        <v>0.64</v>
      </c>
      <c r="G29" s="190">
        <v>0.64</v>
      </c>
      <c r="H29" s="190">
        <v>0.64</v>
      </c>
      <c r="I29" s="190">
        <v>0.64</v>
      </c>
      <c r="J29" s="190">
        <v>0.64</v>
      </c>
      <c r="K29" s="190">
        <v>0.64</v>
      </c>
      <c r="L29" s="190">
        <v>0.64</v>
      </c>
      <c r="M29" s="190">
        <v>0.64</v>
      </c>
      <c r="N29" s="190">
        <v>0.64</v>
      </c>
    </row>
    <row r="30" spans="1:14" x14ac:dyDescent="0.25">
      <c r="A30" s="9"/>
      <c r="B30" s="5"/>
      <c r="C30" s="6"/>
      <c r="D30" s="6"/>
      <c r="E30" s="207"/>
    </row>
    <row r="31" spans="1:14" x14ac:dyDescent="0.25">
      <c r="A31" s="10" t="s">
        <v>46</v>
      </c>
      <c r="B31" s="66">
        <f t="shared" ref="B31:N31" si="3">B25-B28</f>
        <v>13644</v>
      </c>
      <c r="C31" s="66">
        <f t="shared" si="3"/>
        <v>17604</v>
      </c>
      <c r="D31" s="195">
        <f t="shared" si="3"/>
        <v>16591</v>
      </c>
      <c r="E31" s="66">
        <f t="shared" si="3"/>
        <v>18007.089803999999</v>
      </c>
      <c r="F31" s="66">
        <f t="shared" si="3"/>
        <v>19394.08217568</v>
      </c>
      <c r="G31" s="66">
        <f t="shared" si="3"/>
        <v>21061.973242788474</v>
      </c>
      <c r="H31" s="66">
        <f t="shared" si="3"/>
        <v>22873.302941668284</v>
      </c>
      <c r="I31" s="66">
        <f t="shared" si="3"/>
        <v>24840.406994651756</v>
      </c>
      <c r="J31" s="66">
        <f t="shared" si="3"/>
        <v>26976.681996191808</v>
      </c>
      <c r="K31" s="66">
        <f t="shared" si="3"/>
        <v>29296.676647864297</v>
      </c>
      <c r="L31" s="66">
        <f t="shared" si="3"/>
        <v>31816.190839580631</v>
      </c>
      <c r="M31" s="66">
        <f t="shared" si="3"/>
        <v>34552.383251784559</v>
      </c>
      <c r="N31" s="66">
        <f t="shared" si="3"/>
        <v>37523.888211438039</v>
      </c>
    </row>
    <row r="32" spans="1:14" x14ac:dyDescent="0.25">
      <c r="A32" s="11"/>
      <c r="B32" s="12"/>
      <c r="C32" s="13"/>
      <c r="D32" s="13"/>
      <c r="E32" s="207"/>
    </row>
    <row r="33" spans="1:14" x14ac:dyDescent="0.25">
      <c r="A33" s="181" t="s">
        <v>47</v>
      </c>
      <c r="B33" s="67">
        <v>10340</v>
      </c>
      <c r="C33" s="67">
        <v>13450</v>
      </c>
      <c r="D33" s="196">
        <v>10230</v>
      </c>
      <c r="E33" s="191">
        <f>+E25*E34</f>
        <v>11109.779999999999</v>
      </c>
      <c r="F33" s="191">
        <f t="shared" ref="F33:N33" si="4">+F25*F34</f>
        <v>14868.796334688001</v>
      </c>
      <c r="G33" s="191">
        <f t="shared" si="4"/>
        <v>16147.512819471167</v>
      </c>
      <c r="H33" s="191">
        <f t="shared" si="4"/>
        <v>17536.198921945685</v>
      </c>
      <c r="I33" s="191">
        <f t="shared" si="4"/>
        <v>19044.312029233013</v>
      </c>
      <c r="J33" s="191">
        <f t="shared" si="4"/>
        <v>20682.122863747056</v>
      </c>
      <c r="K33" s="191">
        <f t="shared" si="4"/>
        <v>22460.7854300293</v>
      </c>
      <c r="L33" s="191">
        <f t="shared" si="4"/>
        <v>24392.41297701182</v>
      </c>
      <c r="M33" s="191">
        <f t="shared" si="4"/>
        <v>26490.160493034833</v>
      </c>
      <c r="N33" s="191">
        <f t="shared" si="4"/>
        <v>28768.31429543583</v>
      </c>
    </row>
    <row r="34" spans="1:14" ht="15.75" thickBot="1" x14ac:dyDescent="0.3">
      <c r="A34" s="14" t="s">
        <v>48</v>
      </c>
      <c r="B34" s="15">
        <f>IF(B25=0,0,B33/B25)</f>
        <v>0.27475155444544824</v>
      </c>
      <c r="C34" s="15">
        <f>IF(C25=0,0,C33/C25)</f>
        <v>0.28331297131061212</v>
      </c>
      <c r="D34" s="197">
        <f>IF(D25=0,0,D33/D25)</f>
        <v>0.2239590174701169</v>
      </c>
      <c r="E34" s="192">
        <f>+D34</f>
        <v>0.2239590174701169</v>
      </c>
      <c r="F34" s="192">
        <v>0.27600000000000002</v>
      </c>
      <c r="G34" s="192">
        <v>0.27600000000000002</v>
      </c>
      <c r="H34" s="192">
        <v>0.27600000000000002</v>
      </c>
      <c r="I34" s="192">
        <v>0.27600000000000002</v>
      </c>
      <c r="J34" s="192">
        <v>0.27600000000000002</v>
      </c>
      <c r="K34" s="192">
        <v>0.27600000000000002</v>
      </c>
      <c r="L34" s="192">
        <v>0.27600000000000002</v>
      </c>
      <c r="M34" s="192">
        <v>0.27600000000000002</v>
      </c>
      <c r="N34" s="192">
        <v>0.27600000000000002</v>
      </c>
    </row>
    <row r="35" spans="1:14" ht="15.75" thickBot="1" x14ac:dyDescent="0.3">
      <c r="A35" s="180" t="s">
        <v>49</v>
      </c>
      <c r="B35" s="68">
        <v>23</v>
      </c>
      <c r="C35" s="68">
        <v>56</v>
      </c>
      <c r="D35" s="198">
        <v>89</v>
      </c>
      <c r="E35" s="208">
        <f>+D35</f>
        <v>89</v>
      </c>
      <c r="F35" s="208">
        <f t="shared" ref="F35:N35" si="5">+E35</f>
        <v>89</v>
      </c>
      <c r="G35" s="208">
        <f t="shared" si="5"/>
        <v>89</v>
      </c>
      <c r="H35" s="208">
        <f t="shared" si="5"/>
        <v>89</v>
      </c>
      <c r="I35" s="208">
        <f t="shared" si="5"/>
        <v>89</v>
      </c>
      <c r="J35" s="208">
        <f t="shared" si="5"/>
        <v>89</v>
      </c>
      <c r="K35" s="208">
        <f t="shared" si="5"/>
        <v>89</v>
      </c>
      <c r="L35" s="208">
        <f t="shared" si="5"/>
        <v>89</v>
      </c>
      <c r="M35" s="208">
        <f t="shared" si="5"/>
        <v>89</v>
      </c>
      <c r="N35" s="208">
        <f t="shared" si="5"/>
        <v>89</v>
      </c>
    </row>
    <row r="36" spans="1:14" ht="15.75" thickBot="1" x14ac:dyDescent="0.3">
      <c r="A36" s="180" t="s">
        <v>50</v>
      </c>
      <c r="B36" s="68"/>
      <c r="C36" s="68"/>
      <c r="D36" s="198"/>
      <c r="E36" s="208"/>
      <c r="F36" s="208"/>
      <c r="G36" s="208"/>
      <c r="H36" s="208"/>
      <c r="I36" s="208"/>
      <c r="J36" s="208"/>
      <c r="K36" s="208"/>
      <c r="L36" s="208"/>
      <c r="M36" s="208"/>
      <c r="N36" s="208"/>
    </row>
    <row r="37" spans="1:14" x14ac:dyDescent="0.25">
      <c r="A37" s="11"/>
      <c r="B37" s="12"/>
      <c r="C37" s="13"/>
      <c r="D37" s="13"/>
      <c r="E37" s="207"/>
    </row>
    <row r="38" spans="1:14" x14ac:dyDescent="0.25">
      <c r="A38" s="10" t="s">
        <v>51</v>
      </c>
      <c r="B38" s="66">
        <f t="shared" ref="B38:N38" si="6">+B25-B28-B33-B35-B36</f>
        <v>3281</v>
      </c>
      <c r="C38" s="66">
        <f t="shared" si="6"/>
        <v>4098</v>
      </c>
      <c r="D38" s="195">
        <f t="shared" si="6"/>
        <v>6272</v>
      </c>
      <c r="E38" s="195">
        <f t="shared" si="6"/>
        <v>6808.3098040000004</v>
      </c>
      <c r="F38" s="195">
        <f t="shared" si="6"/>
        <v>4436.2858409919991</v>
      </c>
      <c r="G38" s="195">
        <f t="shared" si="6"/>
        <v>4825.4604233173068</v>
      </c>
      <c r="H38" s="195">
        <f t="shared" si="6"/>
        <v>5248.1040197225993</v>
      </c>
      <c r="I38" s="195">
        <f t="shared" si="6"/>
        <v>5707.0949654187425</v>
      </c>
      <c r="J38" s="195">
        <f t="shared" si="6"/>
        <v>6205.5591324447523</v>
      </c>
      <c r="K38" s="195">
        <f t="shared" si="6"/>
        <v>6746.8912178349965</v>
      </c>
      <c r="L38" s="195">
        <f t="shared" si="6"/>
        <v>7334.7778625688115</v>
      </c>
      <c r="M38" s="195">
        <f t="shared" si="6"/>
        <v>7973.2227587497255</v>
      </c>
      <c r="N38" s="195">
        <f t="shared" si="6"/>
        <v>8666.5739160022094</v>
      </c>
    </row>
    <row r="39" spans="1:14" x14ac:dyDescent="0.25">
      <c r="A39" s="4"/>
      <c r="B39" s="5"/>
      <c r="C39" s="6"/>
      <c r="D39" s="6"/>
      <c r="E39" s="207"/>
    </row>
    <row r="40" spans="1:14" x14ac:dyDescent="0.25">
      <c r="A40" s="16" t="s">
        <v>52</v>
      </c>
      <c r="B40" s="17"/>
      <c r="C40" s="18"/>
      <c r="D40" s="18"/>
      <c r="E40" s="207"/>
    </row>
    <row r="41" spans="1:14" x14ac:dyDescent="0.25">
      <c r="A41" s="182" t="s">
        <v>53</v>
      </c>
      <c r="B41" s="19">
        <f>B42+B43</f>
        <v>579</v>
      </c>
      <c r="C41" s="19">
        <f t="shared" ref="C41:N41" si="7">C42+C43</f>
        <v>790</v>
      </c>
      <c r="D41" s="199">
        <f t="shared" si="7"/>
        <v>357</v>
      </c>
      <c r="E41" s="19">
        <f t="shared" si="7"/>
        <v>349.56</v>
      </c>
      <c r="F41" s="19">
        <f t="shared" si="7"/>
        <v>1823.3692098092642</v>
      </c>
      <c r="G41" s="19">
        <f t="shared" si="7"/>
        <v>1945.8106267029973</v>
      </c>
      <c r="H41" s="19">
        <f t="shared" si="7"/>
        <v>1725.8106267029973</v>
      </c>
      <c r="I41" s="19">
        <f t="shared" si="7"/>
        <v>1734.4141689373298</v>
      </c>
      <c r="J41" s="19">
        <f t="shared" si="7"/>
        <v>1674.517029972752</v>
      </c>
      <c r="K41" s="19">
        <f t="shared" si="7"/>
        <v>1538.6706403269754</v>
      </c>
      <c r="L41" s="19">
        <f t="shared" si="7"/>
        <v>1398.6706403269754</v>
      </c>
      <c r="M41" s="19">
        <f t="shared" si="7"/>
        <v>1340.8399182561309</v>
      </c>
      <c r="N41" s="19">
        <f t="shared" si="7"/>
        <v>1146.3692098092642</v>
      </c>
    </row>
    <row r="42" spans="1:14" x14ac:dyDescent="0.25">
      <c r="A42" s="20" t="s">
        <v>54</v>
      </c>
      <c r="B42" s="69">
        <f>345+234</f>
        <v>579</v>
      </c>
      <c r="C42" s="69">
        <f>456+334</f>
        <v>790</v>
      </c>
      <c r="D42" s="200">
        <f>234+123</f>
        <v>357</v>
      </c>
      <c r="E42" s="209">
        <f>+(D91+D98)*18%</f>
        <v>349.56</v>
      </c>
      <c r="F42" s="209">
        <f>+F91+F98*'FC + INDICADORES'!$G$78</f>
        <v>1823.3692098092642</v>
      </c>
      <c r="G42" s="209">
        <f>+G91+G98*'FC + INDICADORES'!$G$78</f>
        <v>1945.8106267029973</v>
      </c>
      <c r="H42" s="209">
        <f>+H91+H98*'FC + INDICADORES'!$G$78</f>
        <v>1725.8106267029973</v>
      </c>
      <c r="I42" s="209">
        <f>+I91+I98*'FC + INDICADORES'!$G$78</f>
        <v>1734.4141689373298</v>
      </c>
      <c r="J42" s="209">
        <f>+J91+J98*'FC + INDICADORES'!$G$78</f>
        <v>1674.517029972752</v>
      </c>
      <c r="K42" s="209">
        <f>+K91+K98*'FC + INDICADORES'!$G$78</f>
        <v>1538.6706403269754</v>
      </c>
      <c r="L42" s="209">
        <f>+L91+L98*'FC + INDICADORES'!$G$78</f>
        <v>1398.6706403269754</v>
      </c>
      <c r="M42" s="209">
        <f>+M91+M98*'FC + INDICADORES'!$G$78</f>
        <v>1340.8399182561309</v>
      </c>
      <c r="N42" s="209">
        <f>+N91+N98*'FC + INDICADORES'!$G$78</f>
        <v>1146.3692098092642</v>
      </c>
    </row>
    <row r="43" spans="1:14" x14ac:dyDescent="0.25">
      <c r="A43" s="20" t="s">
        <v>55</v>
      </c>
      <c r="B43" s="69">
        <v>0</v>
      </c>
      <c r="C43" s="69">
        <v>0</v>
      </c>
      <c r="D43" s="200">
        <v>0</v>
      </c>
      <c r="E43" s="210">
        <v>0</v>
      </c>
      <c r="F43" s="210">
        <v>0</v>
      </c>
      <c r="G43" s="210">
        <v>0</v>
      </c>
      <c r="H43" s="210">
        <v>0</v>
      </c>
      <c r="I43" s="210">
        <v>0</v>
      </c>
      <c r="J43" s="210">
        <v>0</v>
      </c>
      <c r="K43" s="210">
        <v>0</v>
      </c>
      <c r="L43" s="210">
        <v>0</v>
      </c>
      <c r="M43" s="210">
        <v>0</v>
      </c>
      <c r="N43" s="210">
        <v>0</v>
      </c>
    </row>
    <row r="44" spans="1:14" x14ac:dyDescent="0.25">
      <c r="A44" s="183" t="s">
        <v>56</v>
      </c>
      <c r="B44" s="19">
        <f t="shared" ref="B44:N44" si="8">+B45+B52</f>
        <v>13</v>
      </c>
      <c r="C44" s="19">
        <f t="shared" si="8"/>
        <v>41</v>
      </c>
      <c r="D44" s="199">
        <f t="shared" si="8"/>
        <v>-43</v>
      </c>
      <c r="E44" s="199">
        <f t="shared" si="8"/>
        <v>-43</v>
      </c>
      <c r="F44" s="199">
        <f t="shared" si="8"/>
        <v>-43</v>
      </c>
      <c r="G44" s="199">
        <f t="shared" si="8"/>
        <v>-43</v>
      </c>
      <c r="H44" s="199">
        <f t="shared" si="8"/>
        <v>-43</v>
      </c>
      <c r="I44" s="199">
        <f t="shared" si="8"/>
        <v>-43</v>
      </c>
      <c r="J44" s="199">
        <f t="shared" si="8"/>
        <v>-43</v>
      </c>
      <c r="K44" s="199">
        <f t="shared" si="8"/>
        <v>-43</v>
      </c>
      <c r="L44" s="199">
        <f t="shared" si="8"/>
        <v>-43</v>
      </c>
      <c r="M44" s="199">
        <f t="shared" si="8"/>
        <v>-43</v>
      </c>
      <c r="N44" s="199">
        <f t="shared" si="8"/>
        <v>-43</v>
      </c>
    </row>
    <row r="45" spans="1:14" x14ac:dyDescent="0.25">
      <c r="A45" s="183" t="s">
        <v>57</v>
      </c>
      <c r="B45" s="19">
        <f>B46-B49</f>
        <v>0</v>
      </c>
      <c r="C45" s="19">
        <f>C46-C49</f>
        <v>0</v>
      </c>
      <c r="D45" s="199">
        <f>D46-D49</f>
        <v>0</v>
      </c>
      <c r="E45" s="199">
        <f t="shared" ref="E45:N45" si="9">E46-E49</f>
        <v>0</v>
      </c>
      <c r="F45" s="199">
        <f t="shared" si="9"/>
        <v>0</v>
      </c>
      <c r="G45" s="199">
        <f t="shared" si="9"/>
        <v>0</v>
      </c>
      <c r="H45" s="199">
        <f t="shared" si="9"/>
        <v>0</v>
      </c>
      <c r="I45" s="199">
        <f t="shared" si="9"/>
        <v>0</v>
      </c>
      <c r="J45" s="199">
        <f t="shared" si="9"/>
        <v>0</v>
      </c>
      <c r="K45" s="199">
        <f t="shared" si="9"/>
        <v>0</v>
      </c>
      <c r="L45" s="199">
        <f t="shared" si="9"/>
        <v>0</v>
      </c>
      <c r="M45" s="199">
        <f t="shared" si="9"/>
        <v>0</v>
      </c>
      <c r="N45" s="199">
        <f t="shared" si="9"/>
        <v>0</v>
      </c>
    </row>
    <row r="46" spans="1:14" x14ac:dyDescent="0.25">
      <c r="A46" s="184" t="s">
        <v>58</v>
      </c>
      <c r="B46" s="19">
        <f>B47+B48</f>
        <v>0</v>
      </c>
      <c r="C46" s="19">
        <f t="shared" ref="C46:N46" si="10">C47+C48</f>
        <v>0</v>
      </c>
      <c r="D46" s="199">
        <f t="shared" si="10"/>
        <v>0</v>
      </c>
      <c r="E46" s="199">
        <f t="shared" si="10"/>
        <v>0</v>
      </c>
      <c r="F46" s="199">
        <f t="shared" si="10"/>
        <v>0</v>
      </c>
      <c r="G46" s="199">
        <f t="shared" si="10"/>
        <v>0</v>
      </c>
      <c r="H46" s="199">
        <f t="shared" si="10"/>
        <v>0</v>
      </c>
      <c r="I46" s="199">
        <f t="shared" si="10"/>
        <v>0</v>
      </c>
      <c r="J46" s="199">
        <f t="shared" si="10"/>
        <v>0</v>
      </c>
      <c r="K46" s="199">
        <f t="shared" si="10"/>
        <v>0</v>
      </c>
      <c r="L46" s="199">
        <f t="shared" si="10"/>
        <v>0</v>
      </c>
      <c r="M46" s="199">
        <f t="shared" si="10"/>
        <v>0</v>
      </c>
      <c r="N46" s="199">
        <f t="shared" si="10"/>
        <v>0</v>
      </c>
    </row>
    <row r="47" spans="1:14" x14ac:dyDescent="0.25">
      <c r="A47" s="20" t="s">
        <v>59</v>
      </c>
      <c r="B47" s="69"/>
      <c r="C47" s="69"/>
      <c r="D47" s="200"/>
      <c r="E47" s="210"/>
      <c r="F47" s="210"/>
      <c r="G47" s="210"/>
      <c r="H47" s="210"/>
      <c r="I47" s="210"/>
      <c r="J47" s="210"/>
      <c r="K47" s="210"/>
      <c r="L47" s="210"/>
      <c r="M47" s="210"/>
      <c r="N47" s="210"/>
    </row>
    <row r="48" spans="1:14" x14ac:dyDescent="0.25">
      <c r="A48" s="20"/>
      <c r="B48" s="69"/>
      <c r="C48" s="69"/>
      <c r="D48" s="200"/>
      <c r="E48" s="210"/>
      <c r="F48" s="210"/>
      <c r="G48" s="210"/>
      <c r="H48" s="210"/>
      <c r="I48" s="210"/>
      <c r="J48" s="210"/>
      <c r="K48" s="210"/>
      <c r="L48" s="210"/>
      <c r="M48" s="210"/>
      <c r="N48" s="210"/>
    </row>
    <row r="49" spans="1:14" x14ac:dyDescent="0.25">
      <c r="A49" s="184" t="s">
        <v>60</v>
      </c>
      <c r="B49" s="19">
        <f>+B50+B51</f>
        <v>0</v>
      </c>
      <c r="C49" s="19">
        <f>+C50+C51</f>
        <v>0</v>
      </c>
      <c r="D49" s="199">
        <f>+D50+D51</f>
        <v>0</v>
      </c>
      <c r="E49" s="199">
        <f t="shared" ref="E49:N49" si="11">+E50+E51</f>
        <v>0</v>
      </c>
      <c r="F49" s="199">
        <f t="shared" si="11"/>
        <v>0</v>
      </c>
      <c r="G49" s="199">
        <f t="shared" si="11"/>
        <v>0</v>
      </c>
      <c r="H49" s="199">
        <f t="shared" si="11"/>
        <v>0</v>
      </c>
      <c r="I49" s="199">
        <f t="shared" si="11"/>
        <v>0</v>
      </c>
      <c r="J49" s="199">
        <f t="shared" si="11"/>
        <v>0</v>
      </c>
      <c r="K49" s="199">
        <f t="shared" si="11"/>
        <v>0</v>
      </c>
      <c r="L49" s="199">
        <f t="shared" si="11"/>
        <v>0</v>
      </c>
      <c r="M49" s="199">
        <f t="shared" si="11"/>
        <v>0</v>
      </c>
      <c r="N49" s="199">
        <f t="shared" si="11"/>
        <v>0</v>
      </c>
    </row>
    <row r="50" spans="1:14" x14ac:dyDescent="0.25">
      <c r="A50" s="20" t="s">
        <v>61</v>
      </c>
      <c r="B50" s="69"/>
      <c r="C50" s="69"/>
      <c r="D50" s="200"/>
      <c r="E50" s="210"/>
      <c r="F50" s="210"/>
      <c r="G50" s="210"/>
      <c r="H50" s="210"/>
      <c r="I50" s="210"/>
      <c r="J50" s="210"/>
      <c r="K50" s="210"/>
      <c r="L50" s="210"/>
      <c r="M50" s="210"/>
      <c r="N50" s="210"/>
    </row>
    <row r="51" spans="1:14" x14ac:dyDescent="0.25">
      <c r="A51" s="20"/>
      <c r="B51" s="69"/>
      <c r="C51" s="69"/>
      <c r="D51" s="200"/>
      <c r="E51" s="210"/>
      <c r="F51" s="210"/>
      <c r="G51" s="210"/>
      <c r="H51" s="210"/>
      <c r="I51" s="210"/>
      <c r="J51" s="210"/>
      <c r="K51" s="210"/>
      <c r="L51" s="210"/>
      <c r="M51" s="210"/>
      <c r="N51" s="210"/>
    </row>
    <row r="52" spans="1:14" x14ac:dyDescent="0.25">
      <c r="A52" s="184" t="s">
        <v>62</v>
      </c>
      <c r="B52" s="19">
        <f t="shared" ref="B52:N52" si="12">B53-B54</f>
        <v>13</v>
      </c>
      <c r="C52" s="19">
        <f t="shared" si="12"/>
        <v>41</v>
      </c>
      <c r="D52" s="199">
        <f t="shared" si="12"/>
        <v>-43</v>
      </c>
      <c r="E52" s="199">
        <f t="shared" si="12"/>
        <v>-43</v>
      </c>
      <c r="F52" s="199">
        <f t="shared" si="12"/>
        <v>-43</v>
      </c>
      <c r="G52" s="199">
        <f t="shared" si="12"/>
        <v>-43</v>
      </c>
      <c r="H52" s="199">
        <f t="shared" si="12"/>
        <v>-43</v>
      </c>
      <c r="I52" s="199">
        <f t="shared" si="12"/>
        <v>-43</v>
      </c>
      <c r="J52" s="199">
        <f t="shared" si="12"/>
        <v>-43</v>
      </c>
      <c r="K52" s="199">
        <f t="shared" si="12"/>
        <v>-43</v>
      </c>
      <c r="L52" s="199">
        <f t="shared" si="12"/>
        <v>-43</v>
      </c>
      <c r="M52" s="199">
        <f t="shared" si="12"/>
        <v>-43</v>
      </c>
      <c r="N52" s="199">
        <f t="shared" si="12"/>
        <v>-43</v>
      </c>
    </row>
    <row r="53" spans="1:14" x14ac:dyDescent="0.25">
      <c r="A53" s="20" t="s">
        <v>63</v>
      </c>
      <c r="B53" s="69">
        <v>69</v>
      </c>
      <c r="C53" s="69">
        <v>99</v>
      </c>
      <c r="D53" s="200">
        <v>6</v>
      </c>
      <c r="E53" s="210">
        <v>6</v>
      </c>
      <c r="F53" s="210">
        <v>6</v>
      </c>
      <c r="G53" s="210">
        <v>6</v>
      </c>
      <c r="H53" s="210">
        <v>6</v>
      </c>
      <c r="I53" s="210">
        <v>6</v>
      </c>
      <c r="J53" s="210">
        <v>6</v>
      </c>
      <c r="K53" s="210">
        <v>6</v>
      </c>
      <c r="L53" s="210">
        <v>6</v>
      </c>
      <c r="M53" s="210">
        <v>6</v>
      </c>
      <c r="N53" s="210">
        <v>6</v>
      </c>
    </row>
    <row r="54" spans="1:14" x14ac:dyDescent="0.25">
      <c r="A54" s="20" t="s">
        <v>64</v>
      </c>
      <c r="B54" s="67">
        <v>56</v>
      </c>
      <c r="C54" s="70">
        <v>58</v>
      </c>
      <c r="D54" s="200">
        <v>49</v>
      </c>
      <c r="E54" s="210">
        <v>49</v>
      </c>
      <c r="F54" s="210">
        <v>49</v>
      </c>
      <c r="G54" s="210">
        <v>49</v>
      </c>
      <c r="H54" s="210">
        <v>49</v>
      </c>
      <c r="I54" s="210">
        <v>49</v>
      </c>
      <c r="J54" s="210">
        <v>49</v>
      </c>
      <c r="K54" s="210">
        <v>49</v>
      </c>
      <c r="L54" s="210">
        <v>49</v>
      </c>
      <c r="M54" s="210">
        <v>49</v>
      </c>
      <c r="N54" s="210">
        <v>49</v>
      </c>
    </row>
    <row r="55" spans="1:14" x14ac:dyDescent="0.25">
      <c r="A55" s="21"/>
      <c r="B55" s="21"/>
      <c r="C55" s="21"/>
      <c r="D55" s="21"/>
      <c r="E55" s="207"/>
    </row>
    <row r="56" spans="1:14" x14ac:dyDescent="0.25">
      <c r="A56" s="22"/>
      <c r="B56" s="23"/>
      <c r="C56" s="21"/>
      <c r="D56" s="21"/>
      <c r="E56" s="207"/>
    </row>
    <row r="57" spans="1:14" x14ac:dyDescent="0.25">
      <c r="A57" s="10" t="s">
        <v>65</v>
      </c>
      <c r="B57" s="66">
        <f>B38-B41+B44</f>
        <v>2715</v>
      </c>
      <c r="C57" s="66">
        <f>C38-C41+C44</f>
        <v>3349</v>
      </c>
      <c r="D57" s="195">
        <f>D38-D41+D44</f>
        <v>5872</v>
      </c>
      <c r="E57" s="195">
        <f t="shared" ref="E57:N57" si="13">E38-E41+E44</f>
        <v>6415.749804</v>
      </c>
      <c r="F57" s="195">
        <f t="shared" si="13"/>
        <v>2569.9166311827348</v>
      </c>
      <c r="G57" s="195">
        <f t="shared" si="13"/>
        <v>2836.6497966143097</v>
      </c>
      <c r="H57" s="195">
        <f t="shared" si="13"/>
        <v>3479.2933930196023</v>
      </c>
      <c r="I57" s="195">
        <f t="shared" si="13"/>
        <v>3929.6807964814125</v>
      </c>
      <c r="J57" s="195">
        <f t="shared" si="13"/>
        <v>4488.0421024719999</v>
      </c>
      <c r="K57" s="195">
        <f t="shared" si="13"/>
        <v>5165.2205775080211</v>
      </c>
      <c r="L57" s="195">
        <f t="shared" si="13"/>
        <v>5893.1072222418361</v>
      </c>
      <c r="M57" s="195">
        <f t="shared" si="13"/>
        <v>6589.3828404935948</v>
      </c>
      <c r="N57" s="195">
        <f t="shared" si="13"/>
        <v>7477.2047061929452</v>
      </c>
    </row>
    <row r="58" spans="1:14" x14ac:dyDescent="0.25">
      <c r="A58" s="24"/>
      <c r="B58" s="23"/>
      <c r="C58" s="21"/>
      <c r="D58" s="21"/>
      <c r="E58" s="207"/>
    </row>
    <row r="59" spans="1:14" x14ac:dyDescent="0.25">
      <c r="A59" s="180" t="s">
        <v>66</v>
      </c>
      <c r="B59" s="69">
        <v>950</v>
      </c>
      <c r="C59" s="69">
        <v>1245</v>
      </c>
      <c r="D59" s="200">
        <v>2345</v>
      </c>
      <c r="E59" s="210">
        <f>+E57*E18</f>
        <v>2373.8274274800001</v>
      </c>
      <c r="F59" s="210">
        <f>+F57*F18</f>
        <v>950.86915353761185</v>
      </c>
      <c r="G59" s="210">
        <f t="shared" ref="G59:N59" si="14">+G57*G18</f>
        <v>1049.5604247472945</v>
      </c>
      <c r="H59" s="210">
        <f t="shared" si="14"/>
        <v>1287.3385554172528</v>
      </c>
      <c r="I59" s="210">
        <f t="shared" si="14"/>
        <v>1453.9818946981227</v>
      </c>
      <c r="J59" s="210">
        <f t="shared" si="14"/>
        <v>1660.57557791464</v>
      </c>
      <c r="K59" s="210">
        <f t="shared" si="14"/>
        <v>1911.1316136779678</v>
      </c>
      <c r="L59" s="210">
        <f t="shared" si="14"/>
        <v>2180.4496722294793</v>
      </c>
      <c r="M59" s="210">
        <f t="shared" si="14"/>
        <v>2438.0716509826302</v>
      </c>
      <c r="N59" s="210">
        <f t="shared" si="14"/>
        <v>2766.5657412913897</v>
      </c>
    </row>
    <row r="60" spans="1:14" x14ac:dyDescent="0.25">
      <c r="A60" s="25"/>
      <c r="B60" s="23"/>
      <c r="C60" s="21"/>
      <c r="D60" s="21"/>
      <c r="E60" s="207"/>
    </row>
    <row r="61" spans="1:14" x14ac:dyDescent="0.25">
      <c r="A61" s="10" t="s">
        <v>67</v>
      </c>
      <c r="B61" s="66">
        <f>B57-B59</f>
        <v>1765</v>
      </c>
      <c r="C61" s="66">
        <f>C57-C59</f>
        <v>2104</v>
      </c>
      <c r="D61" s="195">
        <f>D57-D59</f>
        <v>3527</v>
      </c>
      <c r="E61" s="195">
        <f t="shared" ref="E61:N61" si="15">E57-E59</f>
        <v>4041.9223765199999</v>
      </c>
      <c r="F61" s="195">
        <f t="shared" si="15"/>
        <v>1619.0474776451229</v>
      </c>
      <c r="G61" s="195">
        <f t="shared" si="15"/>
        <v>1787.0893718670152</v>
      </c>
      <c r="H61" s="195">
        <f t="shared" si="15"/>
        <v>2191.9548376023495</v>
      </c>
      <c r="I61" s="195">
        <f t="shared" si="15"/>
        <v>2475.6989017832898</v>
      </c>
      <c r="J61" s="195">
        <f t="shared" si="15"/>
        <v>2827.4665245573597</v>
      </c>
      <c r="K61" s="195">
        <f t="shared" si="15"/>
        <v>3254.0889638300532</v>
      </c>
      <c r="L61" s="195">
        <f t="shared" si="15"/>
        <v>3712.6575500123568</v>
      </c>
      <c r="M61" s="195">
        <f t="shared" si="15"/>
        <v>4151.3111895109651</v>
      </c>
      <c r="N61" s="195">
        <f t="shared" si="15"/>
        <v>4710.6389649015555</v>
      </c>
    </row>
    <row r="62" spans="1:14" x14ac:dyDescent="0.25">
      <c r="A62" s="25"/>
      <c r="B62" s="160">
        <f>+B61/B25</f>
        <v>4.6899080618589571E-2</v>
      </c>
      <c r="C62" s="160">
        <f t="shared" ref="C62:N62" si="16">+C61/C25</f>
        <v>4.4318995660782741E-2</v>
      </c>
      <c r="D62" s="160">
        <f t="shared" si="16"/>
        <v>7.7214413941065721E-2</v>
      </c>
      <c r="E62" s="160">
        <f t="shared" si="16"/>
        <v>8.1480008077198574E-2</v>
      </c>
      <c r="F62" s="160">
        <f t="shared" si="16"/>
        <v>3.0053347545528176E-2</v>
      </c>
      <c r="G62" s="160">
        <f t="shared" si="16"/>
        <v>3.0545674256442536E-2</v>
      </c>
      <c r="H62" s="160">
        <f t="shared" si="16"/>
        <v>3.4498897843884886E-2</v>
      </c>
      <c r="I62" s="160">
        <f t="shared" si="16"/>
        <v>3.5879106362221622E-2</v>
      </c>
      <c r="J62" s="160">
        <f t="shared" si="16"/>
        <v>3.7732140260404917E-2</v>
      </c>
      <c r="K62" s="160">
        <f t="shared" si="16"/>
        <v>3.9986515913033378E-2</v>
      </c>
      <c r="L62" s="160">
        <f t="shared" si="16"/>
        <v>4.200869691609084E-2</v>
      </c>
      <c r="M62" s="160">
        <f t="shared" si="16"/>
        <v>4.3252357365153989E-2</v>
      </c>
      <c r="N62" s="160">
        <f t="shared" si="16"/>
        <v>4.5193345044867633E-2</v>
      </c>
    </row>
    <row r="63" spans="1:14" x14ac:dyDescent="0.25">
      <c r="A63" s="25"/>
      <c r="B63" s="160"/>
      <c r="C63" s="160"/>
      <c r="D63" s="160"/>
      <c r="E63" s="207"/>
    </row>
    <row r="64" spans="1:14" x14ac:dyDescent="0.25">
      <c r="A64" s="20" t="s">
        <v>68</v>
      </c>
      <c r="B64" s="71">
        <v>339</v>
      </c>
      <c r="C64" s="69">
        <v>81</v>
      </c>
      <c r="D64" s="201">
        <v>0</v>
      </c>
      <c r="E64" s="212">
        <v>0</v>
      </c>
      <c r="F64" s="212">
        <v>0</v>
      </c>
      <c r="G64" s="212">
        <v>0</v>
      </c>
      <c r="H64" s="212">
        <v>0</v>
      </c>
      <c r="I64" s="212">
        <v>0</v>
      </c>
      <c r="J64" s="212">
        <v>0</v>
      </c>
      <c r="K64" s="212">
        <v>0</v>
      </c>
      <c r="L64" s="212">
        <v>0</v>
      </c>
      <c r="M64" s="212">
        <v>0</v>
      </c>
      <c r="N64" s="212">
        <v>0</v>
      </c>
    </row>
    <row r="65" spans="1:14" x14ac:dyDescent="0.25">
      <c r="A65" s="20" t="s">
        <v>69</v>
      </c>
      <c r="B65" s="69">
        <v>2653</v>
      </c>
      <c r="C65" s="69">
        <v>2612</v>
      </c>
      <c r="D65" s="201">
        <v>0</v>
      </c>
      <c r="E65" s="212">
        <v>0</v>
      </c>
      <c r="F65" s="212">
        <v>0</v>
      </c>
      <c r="G65" s="212">
        <v>0</v>
      </c>
      <c r="H65" s="212">
        <v>0</v>
      </c>
      <c r="I65" s="212">
        <v>0</v>
      </c>
      <c r="J65" s="212">
        <v>0</v>
      </c>
      <c r="K65" s="212">
        <v>0</v>
      </c>
      <c r="L65" s="212">
        <v>0</v>
      </c>
      <c r="M65" s="212">
        <v>0</v>
      </c>
      <c r="N65" s="212">
        <v>0</v>
      </c>
    </row>
    <row r="66" spans="1:14" x14ac:dyDescent="0.25">
      <c r="A66" s="25"/>
      <c r="B66" s="21"/>
      <c r="C66" s="21"/>
      <c r="D66" s="21"/>
      <c r="E66" s="207"/>
    </row>
    <row r="67" spans="1:14" x14ac:dyDescent="0.25">
      <c r="A67" s="25"/>
      <c r="B67" s="247"/>
      <c r="C67" s="247"/>
      <c r="D67" s="247"/>
      <c r="E67" s="207"/>
    </row>
    <row r="68" spans="1:14" ht="15.75" x14ac:dyDescent="0.25">
      <c r="A68" s="278" t="s">
        <v>70</v>
      </c>
      <c r="B68" s="279"/>
      <c r="C68" s="279"/>
      <c r="D68" s="279"/>
      <c r="E68" s="282" t="s">
        <v>71</v>
      </c>
      <c r="F68" s="283"/>
      <c r="G68" s="283"/>
      <c r="H68" s="283"/>
      <c r="I68" s="283"/>
      <c r="J68" s="283"/>
      <c r="K68" s="283"/>
      <c r="L68" s="283"/>
      <c r="M68" s="283"/>
      <c r="N68" s="283"/>
    </row>
    <row r="69" spans="1:14" ht="15.75" x14ac:dyDescent="0.25">
      <c r="A69" s="185" t="s">
        <v>72</v>
      </c>
      <c r="B69" s="26">
        <f>B76+B70</f>
        <v>7793</v>
      </c>
      <c r="C69" s="26">
        <f t="shared" ref="C69:N69" si="17">C76+C70</f>
        <v>9774</v>
      </c>
      <c r="D69" s="202">
        <f t="shared" si="17"/>
        <v>11209</v>
      </c>
      <c r="E69" s="202">
        <f t="shared" si="17"/>
        <v>11318.987843365507</v>
      </c>
      <c r="F69" s="202">
        <f t="shared" si="17"/>
        <v>13746.850764560266</v>
      </c>
      <c r="G69" s="202">
        <f t="shared" si="17"/>
        <v>16011.830607663254</v>
      </c>
      <c r="H69" s="202">
        <f t="shared" si="17"/>
        <v>15970.980823551006</v>
      </c>
      <c r="I69" s="202">
        <f t="shared" si="17"/>
        <v>16481.009171924841</v>
      </c>
      <c r="J69" s="202">
        <f t="shared" si="17"/>
        <v>16487.940201046367</v>
      </c>
      <c r="K69" s="202">
        <f t="shared" si="17"/>
        <v>16479.976732174073</v>
      </c>
      <c r="L69" s="202">
        <f t="shared" si="17"/>
        <v>16482.975368381762</v>
      </c>
      <c r="M69" s="202">
        <f t="shared" si="17"/>
        <v>16483.630767200731</v>
      </c>
      <c r="N69" s="202">
        <f t="shared" si="17"/>
        <v>16482.194289252187</v>
      </c>
    </row>
    <row r="70" spans="1:14" x14ac:dyDescent="0.25">
      <c r="A70" s="180" t="s">
        <v>73</v>
      </c>
      <c r="B70" s="26">
        <f>+SUM(B71:B75)</f>
        <v>2665</v>
      </c>
      <c r="C70" s="26">
        <f t="shared" ref="C70:N70" si="18">+SUM(C71:C75)</f>
        <v>2665</v>
      </c>
      <c r="D70" s="202">
        <f t="shared" si="18"/>
        <v>3174</v>
      </c>
      <c r="E70" s="202">
        <f t="shared" si="18"/>
        <v>3283.9878433655072</v>
      </c>
      <c r="F70" s="202">
        <f t="shared" si="18"/>
        <v>4896.8507645602649</v>
      </c>
      <c r="G70" s="202">
        <f t="shared" si="18"/>
        <v>7261.8306076632543</v>
      </c>
      <c r="H70" s="202">
        <f t="shared" si="18"/>
        <v>7220.9808235510063</v>
      </c>
      <c r="I70" s="202">
        <f t="shared" si="18"/>
        <v>7231.0091719248421</v>
      </c>
      <c r="J70" s="202">
        <f t="shared" si="18"/>
        <v>7237.9402010463673</v>
      </c>
      <c r="K70" s="202">
        <f t="shared" si="18"/>
        <v>7229.9767321740719</v>
      </c>
      <c r="L70" s="202">
        <f t="shared" si="18"/>
        <v>7232.9753683817598</v>
      </c>
      <c r="M70" s="202">
        <f t="shared" si="18"/>
        <v>7233.6307672007333</v>
      </c>
      <c r="N70" s="202">
        <f t="shared" si="18"/>
        <v>7232.1942892521884</v>
      </c>
    </row>
    <row r="71" spans="1:14" x14ac:dyDescent="0.25">
      <c r="A71" s="27" t="s">
        <v>74</v>
      </c>
      <c r="B71" s="69">
        <v>92</v>
      </c>
      <c r="C71" s="69">
        <v>239</v>
      </c>
      <c r="D71" s="200">
        <v>250</v>
      </c>
      <c r="E71" s="210">
        <f>+D71</f>
        <v>250</v>
      </c>
      <c r="F71" s="210">
        <f t="shared" ref="F71:N71" si="19">+E71</f>
        <v>250</v>
      </c>
      <c r="G71" s="210">
        <v>579.11300000000006</v>
      </c>
      <c r="H71" s="210">
        <f t="shared" si="19"/>
        <v>579.11300000000006</v>
      </c>
      <c r="I71" s="210">
        <f t="shared" si="19"/>
        <v>579.11300000000006</v>
      </c>
      <c r="J71" s="210">
        <f t="shared" si="19"/>
        <v>579.11300000000006</v>
      </c>
      <c r="K71" s="210">
        <f t="shared" si="19"/>
        <v>579.11300000000006</v>
      </c>
      <c r="L71" s="210">
        <f t="shared" si="19"/>
        <v>579.11300000000006</v>
      </c>
      <c r="M71" s="210">
        <f t="shared" si="19"/>
        <v>579.11300000000006</v>
      </c>
      <c r="N71" s="210">
        <f t="shared" si="19"/>
        <v>579.11300000000006</v>
      </c>
    </row>
    <row r="72" spans="1:14" x14ac:dyDescent="0.25">
      <c r="A72" s="27" t="s">
        <v>75</v>
      </c>
      <c r="B72" s="69">
        <v>1268</v>
      </c>
      <c r="C72" s="69">
        <v>1019</v>
      </c>
      <c r="D72" s="200">
        <v>1209</v>
      </c>
      <c r="E72" s="210">
        <f>+E116</f>
        <v>1349.7082974316281</v>
      </c>
      <c r="F72" s="210">
        <f t="shared" ref="F72:N72" si="20">+F116</f>
        <v>2480.3154</v>
      </c>
      <c r="G72" s="210">
        <f t="shared" si="20"/>
        <v>4464.56772</v>
      </c>
      <c r="H72" s="210">
        <f t="shared" si="20"/>
        <v>4464.56772</v>
      </c>
      <c r="I72" s="210">
        <f t="shared" si="20"/>
        <v>4464.56772</v>
      </c>
      <c r="J72" s="210">
        <f t="shared" si="20"/>
        <v>4464.56772</v>
      </c>
      <c r="K72" s="210">
        <f t="shared" si="20"/>
        <v>4464.56772</v>
      </c>
      <c r="L72" s="210">
        <f t="shared" si="20"/>
        <v>4464.56772</v>
      </c>
      <c r="M72" s="210">
        <f t="shared" si="20"/>
        <v>4464.56772</v>
      </c>
      <c r="N72" s="210">
        <f t="shared" si="20"/>
        <v>4464.56772</v>
      </c>
    </row>
    <row r="73" spans="1:14" x14ac:dyDescent="0.25">
      <c r="A73" s="27" t="s">
        <v>76</v>
      </c>
      <c r="B73" s="69">
        <v>456</v>
      </c>
      <c r="C73" s="69">
        <v>501</v>
      </c>
      <c r="D73" s="200">
        <v>785</v>
      </c>
      <c r="E73" s="210">
        <f>+E117</f>
        <v>659.0258184294986</v>
      </c>
      <c r="F73" s="210">
        <f t="shared" ref="F73:N73" si="21">+F117</f>
        <v>678.34612456026468</v>
      </c>
      <c r="G73" s="210">
        <f t="shared" si="21"/>
        <v>729.96064766325446</v>
      </c>
      <c r="H73" s="210">
        <f t="shared" si="21"/>
        <v>689.11086355100588</v>
      </c>
      <c r="I73" s="210">
        <f t="shared" si="21"/>
        <v>699.13921192484179</v>
      </c>
      <c r="J73" s="210">
        <f t="shared" si="21"/>
        <v>706.07024104636741</v>
      </c>
      <c r="K73" s="210">
        <f t="shared" si="21"/>
        <v>698.10677217407169</v>
      </c>
      <c r="L73" s="210">
        <f t="shared" si="21"/>
        <v>701.1054083817603</v>
      </c>
      <c r="M73" s="210">
        <f t="shared" si="21"/>
        <v>701.7608072007331</v>
      </c>
      <c r="N73" s="210">
        <f t="shared" si="21"/>
        <v>700.32432925218848</v>
      </c>
    </row>
    <row r="74" spans="1:14" x14ac:dyDescent="0.25">
      <c r="A74" s="27" t="s">
        <v>77</v>
      </c>
      <c r="B74" s="69">
        <v>849</v>
      </c>
      <c r="C74" s="69">
        <f>400+452+11+43</f>
        <v>906</v>
      </c>
      <c r="D74" s="200">
        <v>930</v>
      </c>
      <c r="E74" s="210">
        <f>+E118</f>
        <v>1025.2537275043805</v>
      </c>
      <c r="F74" s="210">
        <f t="shared" ref="F74:N74" si="22">+F118</f>
        <v>1488.1892399999999</v>
      </c>
      <c r="G74" s="210">
        <f t="shared" si="22"/>
        <v>1488.1892399999999</v>
      </c>
      <c r="H74" s="210">
        <f t="shared" si="22"/>
        <v>1488.1892399999999</v>
      </c>
      <c r="I74" s="210">
        <f t="shared" si="22"/>
        <v>1488.1892399999999</v>
      </c>
      <c r="J74" s="210">
        <f t="shared" si="22"/>
        <v>1488.1892399999999</v>
      </c>
      <c r="K74" s="210">
        <f t="shared" si="22"/>
        <v>1488.1892399999999</v>
      </c>
      <c r="L74" s="210">
        <f t="shared" si="22"/>
        <v>1488.1892399999999</v>
      </c>
      <c r="M74" s="210">
        <f t="shared" si="22"/>
        <v>1488.1892399999999</v>
      </c>
      <c r="N74" s="210">
        <f t="shared" si="22"/>
        <v>1488.1892399999999</v>
      </c>
    </row>
    <row r="75" spans="1:14" x14ac:dyDescent="0.25">
      <c r="A75" s="27"/>
      <c r="B75" s="69"/>
      <c r="C75" s="69"/>
      <c r="D75" s="200"/>
      <c r="E75" s="210"/>
      <c r="F75" s="210"/>
      <c r="G75" s="210"/>
      <c r="H75" s="210"/>
      <c r="I75" s="210"/>
      <c r="J75" s="210"/>
      <c r="K75" s="210"/>
      <c r="L75" s="210"/>
      <c r="M75" s="210"/>
      <c r="N75" s="210"/>
    </row>
    <row r="76" spans="1:14" x14ac:dyDescent="0.25">
      <c r="A76" s="180" t="s">
        <v>78</v>
      </c>
      <c r="B76" s="26">
        <f>+B77+B83+B84+B85+B86+B87</f>
        <v>5128</v>
      </c>
      <c r="C76" s="26">
        <f t="shared" ref="C76:N76" si="23">+C77+C83+C84+C85+C86+C87</f>
        <v>7109</v>
      </c>
      <c r="D76" s="202">
        <f t="shared" si="23"/>
        <v>8035</v>
      </c>
      <c r="E76" s="202">
        <f t="shared" si="23"/>
        <v>8035</v>
      </c>
      <c r="F76" s="202">
        <f t="shared" si="23"/>
        <v>8850</v>
      </c>
      <c r="G76" s="202">
        <f t="shared" si="23"/>
        <v>8750</v>
      </c>
      <c r="H76" s="202">
        <f t="shared" si="23"/>
        <v>8750</v>
      </c>
      <c r="I76" s="202">
        <f t="shared" si="23"/>
        <v>9250</v>
      </c>
      <c r="J76" s="202">
        <f t="shared" si="23"/>
        <v>9250</v>
      </c>
      <c r="K76" s="202">
        <f t="shared" si="23"/>
        <v>9250</v>
      </c>
      <c r="L76" s="202">
        <f t="shared" si="23"/>
        <v>9250</v>
      </c>
      <c r="M76" s="202">
        <f t="shared" si="23"/>
        <v>9250</v>
      </c>
      <c r="N76" s="202">
        <f t="shared" si="23"/>
        <v>9250</v>
      </c>
    </row>
    <row r="77" spans="1:14" x14ac:dyDescent="0.25">
      <c r="A77" s="180" t="s">
        <v>79</v>
      </c>
      <c r="B77" s="19">
        <f>B78+B81+B82</f>
        <v>5128</v>
      </c>
      <c r="C77" s="19">
        <f t="shared" ref="C77:N77" si="24">C78+C81+C82</f>
        <v>6217</v>
      </c>
      <c r="D77" s="199">
        <f t="shared" si="24"/>
        <v>6950</v>
      </c>
      <c r="E77" s="199">
        <f t="shared" si="24"/>
        <v>6950</v>
      </c>
      <c r="F77" s="199">
        <f t="shared" si="24"/>
        <v>7750</v>
      </c>
      <c r="G77" s="199">
        <f t="shared" si="24"/>
        <v>7650</v>
      </c>
      <c r="H77" s="199">
        <f t="shared" si="24"/>
        <v>7650</v>
      </c>
      <c r="I77" s="199">
        <f t="shared" si="24"/>
        <v>8150</v>
      </c>
      <c r="J77" s="199">
        <f t="shared" si="24"/>
        <v>8150</v>
      </c>
      <c r="K77" s="199">
        <f t="shared" si="24"/>
        <v>8150</v>
      </c>
      <c r="L77" s="199">
        <f t="shared" si="24"/>
        <v>8150</v>
      </c>
      <c r="M77" s="199">
        <f t="shared" si="24"/>
        <v>8150</v>
      </c>
      <c r="N77" s="199">
        <f t="shared" si="24"/>
        <v>8150</v>
      </c>
    </row>
    <row r="78" spans="1:14" x14ac:dyDescent="0.25">
      <c r="A78" s="27" t="s">
        <v>80</v>
      </c>
      <c r="B78" s="26">
        <f t="shared" ref="B78:N78" si="25">+B79+B80</f>
        <v>5024</v>
      </c>
      <c r="C78" s="26">
        <f t="shared" si="25"/>
        <v>6067</v>
      </c>
      <c r="D78" s="202">
        <f t="shared" si="25"/>
        <v>6800</v>
      </c>
      <c r="E78" s="202">
        <f t="shared" si="25"/>
        <v>6800</v>
      </c>
      <c r="F78" s="202">
        <f t="shared" si="25"/>
        <v>7600</v>
      </c>
      <c r="G78" s="202">
        <f t="shared" si="25"/>
        <v>7500</v>
      </c>
      <c r="H78" s="202">
        <f t="shared" si="25"/>
        <v>7500</v>
      </c>
      <c r="I78" s="202">
        <f t="shared" si="25"/>
        <v>8000</v>
      </c>
      <c r="J78" s="202">
        <f t="shared" si="25"/>
        <v>8000</v>
      </c>
      <c r="K78" s="202">
        <f t="shared" si="25"/>
        <v>8000</v>
      </c>
      <c r="L78" s="202">
        <f t="shared" si="25"/>
        <v>8000</v>
      </c>
      <c r="M78" s="202">
        <f t="shared" si="25"/>
        <v>8000</v>
      </c>
      <c r="N78" s="202">
        <f t="shared" si="25"/>
        <v>8000</v>
      </c>
    </row>
    <row r="79" spans="1:14" x14ac:dyDescent="0.25">
      <c r="A79" s="28" t="s">
        <v>81</v>
      </c>
      <c r="B79" s="69">
        <v>1500</v>
      </c>
      <c r="C79" s="69">
        <v>1500</v>
      </c>
      <c r="D79" s="200">
        <v>1700</v>
      </c>
      <c r="E79" s="210">
        <f>+D79+E147</f>
        <v>1700</v>
      </c>
      <c r="F79" s="210">
        <f>1700-F147</f>
        <v>1800</v>
      </c>
      <c r="G79" s="210">
        <v>1700</v>
      </c>
      <c r="H79" s="210">
        <v>1700</v>
      </c>
      <c r="I79" s="210">
        <v>1700</v>
      </c>
      <c r="J79" s="210">
        <v>1700</v>
      </c>
      <c r="K79" s="210">
        <v>1700</v>
      </c>
      <c r="L79" s="210">
        <v>1700</v>
      </c>
      <c r="M79" s="210">
        <v>1700</v>
      </c>
      <c r="N79" s="210">
        <v>1700</v>
      </c>
    </row>
    <row r="80" spans="1:14" x14ac:dyDescent="0.25">
      <c r="A80" s="28" t="s">
        <v>82</v>
      </c>
      <c r="B80" s="69">
        <v>3524</v>
      </c>
      <c r="C80" s="69">
        <v>4567</v>
      </c>
      <c r="D80" s="200">
        <v>5100</v>
      </c>
      <c r="E80" s="210">
        <f>+D80-E148</f>
        <v>5100</v>
      </c>
      <c r="F80" s="210">
        <f>+E80-F148</f>
        <v>5800</v>
      </c>
      <c r="G80" s="210">
        <f t="shared" ref="G80:N80" si="26">+F80-G148</f>
        <v>5800</v>
      </c>
      <c r="H80" s="210">
        <f t="shared" si="26"/>
        <v>5800</v>
      </c>
      <c r="I80" s="210">
        <f t="shared" si="26"/>
        <v>6300</v>
      </c>
      <c r="J80" s="210">
        <f t="shared" si="26"/>
        <v>6300</v>
      </c>
      <c r="K80" s="210">
        <f t="shared" si="26"/>
        <v>6300</v>
      </c>
      <c r="L80" s="210">
        <f t="shared" si="26"/>
        <v>6300</v>
      </c>
      <c r="M80" s="210">
        <f t="shared" si="26"/>
        <v>6300</v>
      </c>
      <c r="N80" s="210">
        <f t="shared" si="26"/>
        <v>6300</v>
      </c>
    </row>
    <row r="81" spans="1:14" x14ac:dyDescent="0.25">
      <c r="A81" s="27" t="s">
        <v>83</v>
      </c>
      <c r="B81" s="69">
        <v>400</v>
      </c>
      <c r="C81" s="69">
        <v>450</v>
      </c>
      <c r="D81" s="200">
        <v>600</v>
      </c>
      <c r="E81" s="210">
        <f>+D81-E149</f>
        <v>600</v>
      </c>
      <c r="F81" s="210">
        <f t="shared" ref="F81:N81" si="27">+E81-F149</f>
        <v>600</v>
      </c>
      <c r="G81" s="210">
        <f t="shared" si="27"/>
        <v>600</v>
      </c>
      <c r="H81" s="210">
        <f t="shared" si="27"/>
        <v>600</v>
      </c>
      <c r="I81" s="210">
        <f t="shared" si="27"/>
        <v>600</v>
      </c>
      <c r="J81" s="210">
        <f t="shared" si="27"/>
        <v>600</v>
      </c>
      <c r="K81" s="210">
        <f t="shared" si="27"/>
        <v>600</v>
      </c>
      <c r="L81" s="210">
        <f t="shared" si="27"/>
        <v>600</v>
      </c>
      <c r="M81" s="210">
        <f t="shared" si="27"/>
        <v>600</v>
      </c>
      <c r="N81" s="210">
        <f t="shared" si="27"/>
        <v>600</v>
      </c>
    </row>
    <row r="82" spans="1:14" x14ac:dyDescent="0.25">
      <c r="A82" s="27" t="s">
        <v>84</v>
      </c>
      <c r="B82" s="213">
        <v>-296</v>
      </c>
      <c r="C82" s="213">
        <v>-300</v>
      </c>
      <c r="D82" s="214">
        <v>-450</v>
      </c>
      <c r="E82" s="215">
        <v>-450</v>
      </c>
      <c r="F82" s="215">
        <v>-450</v>
      </c>
      <c r="G82" s="215">
        <v>-450</v>
      </c>
      <c r="H82" s="215">
        <v>-450</v>
      </c>
      <c r="I82" s="215">
        <v>-450</v>
      </c>
      <c r="J82" s="215">
        <v>-450</v>
      </c>
      <c r="K82" s="215">
        <v>-450</v>
      </c>
      <c r="L82" s="215">
        <v>-450</v>
      </c>
      <c r="M82" s="215">
        <v>-450</v>
      </c>
      <c r="N82" s="215">
        <v>-450</v>
      </c>
    </row>
    <row r="83" spans="1:14" x14ac:dyDescent="0.25">
      <c r="A83" s="182" t="s">
        <v>85</v>
      </c>
      <c r="B83" s="69">
        <v>0</v>
      </c>
      <c r="C83" s="69">
        <f>50+30+812</f>
        <v>892</v>
      </c>
      <c r="D83" s="200">
        <v>1085</v>
      </c>
      <c r="E83" s="210">
        <v>1085</v>
      </c>
      <c r="F83" s="210">
        <v>1100</v>
      </c>
      <c r="G83" s="210">
        <v>1100</v>
      </c>
      <c r="H83" s="210">
        <v>1100</v>
      </c>
      <c r="I83" s="210">
        <v>1100</v>
      </c>
      <c r="J83" s="210">
        <v>1100</v>
      </c>
      <c r="K83" s="210">
        <v>1100</v>
      </c>
      <c r="L83" s="210">
        <v>1100</v>
      </c>
      <c r="M83" s="210">
        <v>1100</v>
      </c>
      <c r="N83" s="210">
        <v>1100</v>
      </c>
    </row>
    <row r="84" spans="1:14" x14ac:dyDescent="0.25">
      <c r="A84" s="186"/>
      <c r="B84" s="69"/>
      <c r="C84" s="69"/>
      <c r="D84" s="200"/>
      <c r="E84" s="255"/>
      <c r="F84" s="255"/>
      <c r="G84" s="255"/>
      <c r="H84" s="255"/>
      <c r="I84" s="255"/>
      <c r="J84" s="255"/>
      <c r="K84" s="255"/>
      <c r="L84" s="255"/>
      <c r="M84" s="255"/>
      <c r="N84" s="255"/>
    </row>
    <row r="85" spans="1:14" x14ac:dyDescent="0.25">
      <c r="A85" s="182" t="s">
        <v>86</v>
      </c>
      <c r="B85" s="69">
        <v>0</v>
      </c>
      <c r="C85" s="69"/>
      <c r="D85" s="200"/>
      <c r="E85" s="210"/>
      <c r="F85" s="210"/>
      <c r="G85" s="210"/>
      <c r="H85" s="210"/>
      <c r="I85" s="210"/>
      <c r="J85" s="210"/>
      <c r="K85" s="210"/>
      <c r="L85" s="210"/>
      <c r="M85" s="210"/>
      <c r="N85" s="210"/>
    </row>
    <row r="86" spans="1:14" x14ac:dyDescent="0.25">
      <c r="A86" s="182" t="s">
        <v>87</v>
      </c>
      <c r="B86" s="69">
        <v>0</v>
      </c>
      <c r="C86" s="69"/>
      <c r="D86" s="200"/>
      <c r="E86" s="210"/>
      <c r="F86" s="210"/>
      <c r="G86" s="210"/>
      <c r="H86" s="210"/>
      <c r="I86" s="210"/>
      <c r="J86" s="210"/>
      <c r="K86" s="210"/>
      <c r="L86" s="210"/>
      <c r="M86" s="210"/>
      <c r="N86" s="210"/>
    </row>
    <row r="87" spans="1:14" x14ac:dyDescent="0.25">
      <c r="A87" s="187" t="s">
        <v>88</v>
      </c>
      <c r="B87" s="69">
        <v>0</v>
      </c>
      <c r="C87" s="69"/>
      <c r="D87" s="200"/>
      <c r="E87" s="210"/>
      <c r="F87" s="210"/>
      <c r="G87" s="210"/>
      <c r="H87" s="210"/>
      <c r="I87" s="210"/>
      <c r="J87" s="210"/>
      <c r="K87" s="210"/>
      <c r="L87" s="210"/>
      <c r="M87" s="210"/>
      <c r="N87" s="210"/>
    </row>
    <row r="88" spans="1:14" x14ac:dyDescent="0.25">
      <c r="A88" s="188"/>
      <c r="B88" s="22"/>
      <c r="C88" s="29"/>
      <c r="D88" s="29"/>
      <c r="E88" s="207"/>
    </row>
    <row r="89" spans="1:14" ht="15.75" x14ac:dyDescent="0.25">
      <c r="A89" s="185" t="s">
        <v>89</v>
      </c>
      <c r="B89" s="19">
        <f t="shared" ref="B89:N89" si="28">B90+B97</f>
        <v>3454</v>
      </c>
      <c r="C89" s="19">
        <f t="shared" si="28"/>
        <v>3331</v>
      </c>
      <c r="D89" s="199">
        <f t="shared" si="28"/>
        <v>3610</v>
      </c>
      <c r="E89" s="199">
        <f t="shared" si="28"/>
        <v>3881.9354667967887</v>
      </c>
      <c r="F89" s="199">
        <f t="shared" si="28"/>
        <v>4691.0588221927246</v>
      </c>
      <c r="G89" s="199">
        <f t="shared" si="28"/>
        <v>5168.6937002516552</v>
      </c>
      <c r="H89" s="199">
        <f t="shared" si="28"/>
        <v>5138.7750345728837</v>
      </c>
      <c r="I89" s="199">
        <f t="shared" si="28"/>
        <v>5711.955793957206</v>
      </c>
      <c r="J89" s="199">
        <f t="shared" si="28"/>
        <v>6011.8519619635399</v>
      </c>
      <c r="K89" s="199">
        <f t="shared" si="28"/>
        <v>6055.6735349451801</v>
      </c>
      <c r="L89" s="199">
        <f t="shared" si="28"/>
        <v>6151.6343827171286</v>
      </c>
      <c r="M89" s="199">
        <f t="shared" si="28"/>
        <v>6368.6455754522349</v>
      </c>
      <c r="N89" s="199">
        <f t="shared" si="28"/>
        <v>5789.2640722041724</v>
      </c>
    </row>
    <row r="90" spans="1:14" x14ac:dyDescent="0.25">
      <c r="A90" s="180" t="s">
        <v>90</v>
      </c>
      <c r="B90" s="26">
        <f t="shared" ref="B90:N90" si="29">+SUM(B91:B95)</f>
        <v>2276</v>
      </c>
      <c r="C90" s="26">
        <f t="shared" si="29"/>
        <v>1788</v>
      </c>
      <c r="D90" s="202">
        <f t="shared" si="29"/>
        <v>2157</v>
      </c>
      <c r="E90" s="202">
        <f t="shared" si="29"/>
        <v>2428.9354667967887</v>
      </c>
      <c r="F90" s="202">
        <f t="shared" si="29"/>
        <v>3391.0588221927246</v>
      </c>
      <c r="G90" s="202">
        <f t="shared" si="29"/>
        <v>3668.6937002516547</v>
      </c>
      <c r="H90" s="202">
        <f t="shared" si="29"/>
        <v>3638.7750345728837</v>
      </c>
      <c r="I90" s="202">
        <f t="shared" si="29"/>
        <v>3711.9557939572064</v>
      </c>
      <c r="J90" s="202">
        <f t="shared" si="29"/>
        <v>3833.8519619635399</v>
      </c>
      <c r="K90" s="202">
        <f t="shared" si="29"/>
        <v>3932.6735349451801</v>
      </c>
      <c r="L90" s="202">
        <f t="shared" si="29"/>
        <v>4028.6343827171286</v>
      </c>
      <c r="M90" s="202">
        <f t="shared" si="29"/>
        <v>4234.6455754522349</v>
      </c>
      <c r="N90" s="202">
        <f t="shared" si="29"/>
        <v>4489.2640722041724</v>
      </c>
    </row>
    <row r="91" spans="1:14" x14ac:dyDescent="0.25">
      <c r="A91" s="27" t="s">
        <v>91</v>
      </c>
      <c r="B91" s="69">
        <v>800</v>
      </c>
      <c r="C91" s="69">
        <v>988</v>
      </c>
      <c r="D91" s="200">
        <v>1130</v>
      </c>
      <c r="E91" s="210">
        <f>+D91</f>
        <v>1130</v>
      </c>
      <c r="F91" s="210">
        <v>1567</v>
      </c>
      <c r="G91" s="210">
        <v>1650</v>
      </c>
      <c r="H91" s="210">
        <v>1430</v>
      </c>
      <c r="I91" s="210">
        <v>1340</v>
      </c>
      <c r="J91" s="210">
        <v>1245</v>
      </c>
      <c r="K91" s="210">
        <v>1120</v>
      </c>
      <c r="L91" s="210">
        <v>980</v>
      </c>
      <c r="M91" s="210">
        <v>920</v>
      </c>
      <c r="N91" s="210">
        <v>890</v>
      </c>
    </row>
    <row r="92" spans="1:14" x14ac:dyDescent="0.25">
      <c r="A92" s="27" t="s">
        <v>92</v>
      </c>
      <c r="B92" s="69">
        <v>718</v>
      </c>
      <c r="C92" s="69">
        <v>532</v>
      </c>
      <c r="D92" s="200">
        <v>590</v>
      </c>
      <c r="E92" s="210">
        <f>+E120</f>
        <v>714.34950717731772</v>
      </c>
      <c r="F92" s="210">
        <f t="shared" ref="F92:N92" si="30">+F120</f>
        <v>691.77636587067502</v>
      </c>
      <c r="G92" s="210">
        <f t="shared" si="30"/>
        <v>783.15209258081757</v>
      </c>
      <c r="H92" s="210">
        <f t="shared" si="30"/>
        <v>860.44582817654384</v>
      </c>
      <c r="I92" s="210">
        <f t="shared" si="30"/>
        <v>914.71147518686325</v>
      </c>
      <c r="J92" s="210">
        <f t="shared" si="30"/>
        <v>1003.7543565684291</v>
      </c>
      <c r="K92" s="210">
        <f t="shared" si="30"/>
        <v>1090.3213339453866</v>
      </c>
      <c r="L92" s="210">
        <f t="shared" si="30"/>
        <v>1179.8324345008834</v>
      </c>
      <c r="M92" s="210">
        <f t="shared" si="30"/>
        <v>1284.2837900151528</v>
      </c>
      <c r="N92" s="210">
        <f t="shared" si="30"/>
        <v>1394.2438810547733</v>
      </c>
    </row>
    <row r="93" spans="1:14" x14ac:dyDescent="0.25">
      <c r="A93" s="27" t="s">
        <v>93</v>
      </c>
      <c r="B93" s="69">
        <v>115</v>
      </c>
      <c r="C93" s="69">
        <v>34</v>
      </c>
      <c r="D93" s="200">
        <v>37</v>
      </c>
      <c r="E93" s="210">
        <f>+E121</f>
        <v>75.764489769378471</v>
      </c>
      <c r="F93" s="210">
        <f t="shared" ref="F93:N93" si="31">+F121</f>
        <v>54.833446562049815</v>
      </c>
      <c r="G93" s="210">
        <f t="shared" si="31"/>
        <v>65.431983071477319</v>
      </c>
      <c r="H93" s="210">
        <f t="shared" si="31"/>
        <v>77.590154081435145</v>
      </c>
      <c r="I93" s="210">
        <f t="shared" si="31"/>
        <v>77.221707956356823</v>
      </c>
      <c r="J93" s="210">
        <f t="shared" si="31"/>
        <v>86.393050051121577</v>
      </c>
      <c r="K93" s="210">
        <f t="shared" si="31"/>
        <v>94.759053896220721</v>
      </c>
      <c r="L93" s="210">
        <f t="shared" si="31"/>
        <v>101.23579046176557</v>
      </c>
      <c r="M93" s="210">
        <f t="shared" si="31"/>
        <v>110.78493811571769</v>
      </c>
      <c r="N93" s="210">
        <f t="shared" si="31"/>
        <v>120.35973495839796</v>
      </c>
    </row>
    <row r="94" spans="1:14" x14ac:dyDescent="0.25">
      <c r="A94" s="27" t="s">
        <v>94</v>
      </c>
      <c r="B94" s="69">
        <v>643</v>
      </c>
      <c r="C94" s="69">
        <v>234</v>
      </c>
      <c r="D94" s="200">
        <v>400</v>
      </c>
      <c r="E94" s="210">
        <f>+E122</f>
        <v>508.82146985009234</v>
      </c>
      <c r="F94" s="210">
        <f t="shared" ref="F94:N94" si="32">+F122</f>
        <v>1077.4490097599999</v>
      </c>
      <c r="G94" s="210">
        <f t="shared" si="32"/>
        <v>1170.1096245993599</v>
      </c>
      <c r="H94" s="210">
        <f t="shared" si="32"/>
        <v>1270.7390523149047</v>
      </c>
      <c r="I94" s="210">
        <f t="shared" si="32"/>
        <v>1380.0226108139864</v>
      </c>
      <c r="J94" s="210">
        <f t="shared" si="32"/>
        <v>1498.7045553439893</v>
      </c>
      <c r="K94" s="210">
        <f t="shared" si="32"/>
        <v>1627.5931471035724</v>
      </c>
      <c r="L94" s="210">
        <f t="shared" si="32"/>
        <v>1767.5661577544795</v>
      </c>
      <c r="M94" s="210">
        <f t="shared" si="32"/>
        <v>1919.5768473213648</v>
      </c>
      <c r="N94" s="210">
        <f t="shared" si="32"/>
        <v>2084.6604561910017</v>
      </c>
    </row>
    <row r="95" spans="1:14" x14ac:dyDescent="0.25">
      <c r="A95" s="30"/>
      <c r="B95" s="69"/>
      <c r="C95" s="69"/>
      <c r="D95" s="200"/>
      <c r="E95" s="210"/>
      <c r="F95" s="210"/>
      <c r="G95" s="210"/>
      <c r="H95" s="210"/>
      <c r="I95" s="210"/>
      <c r="J95" s="210"/>
      <c r="K95" s="210"/>
      <c r="L95" s="210"/>
      <c r="M95" s="210"/>
      <c r="N95" s="210"/>
    </row>
    <row r="96" spans="1:14" x14ac:dyDescent="0.25">
      <c r="A96" s="31"/>
      <c r="B96" s="32"/>
      <c r="C96" s="33"/>
      <c r="D96" s="33"/>
      <c r="E96" s="207"/>
    </row>
    <row r="97" spans="1:14" x14ac:dyDescent="0.25">
      <c r="A97" s="180" t="s">
        <v>95</v>
      </c>
      <c r="B97" s="34">
        <f>+SUM(B98:B101)</f>
        <v>1178</v>
      </c>
      <c r="C97" s="34">
        <f t="shared" ref="C97:N97" si="33">+SUM(C98:C101)</f>
        <v>1543</v>
      </c>
      <c r="D97" s="203">
        <f t="shared" si="33"/>
        <v>1453</v>
      </c>
      <c r="E97" s="203">
        <f t="shared" si="33"/>
        <v>1453</v>
      </c>
      <c r="F97" s="203">
        <f t="shared" si="33"/>
        <v>1300</v>
      </c>
      <c r="G97" s="203">
        <f t="shared" si="33"/>
        <v>1500</v>
      </c>
      <c r="H97" s="203">
        <f t="shared" si="33"/>
        <v>1500</v>
      </c>
      <c r="I97" s="203">
        <f t="shared" si="33"/>
        <v>2000</v>
      </c>
      <c r="J97" s="203">
        <f t="shared" si="33"/>
        <v>2178</v>
      </c>
      <c r="K97" s="203">
        <f t="shared" si="33"/>
        <v>2123</v>
      </c>
      <c r="L97" s="203">
        <f t="shared" si="33"/>
        <v>2123</v>
      </c>
      <c r="M97" s="203">
        <f t="shared" si="33"/>
        <v>2134</v>
      </c>
      <c r="N97" s="203">
        <f t="shared" si="33"/>
        <v>1300</v>
      </c>
    </row>
    <row r="98" spans="1:14" x14ac:dyDescent="0.25">
      <c r="A98" s="27" t="s">
        <v>96</v>
      </c>
      <c r="B98" s="69">
        <v>246</v>
      </c>
      <c r="C98" s="69">
        <v>902</v>
      </c>
      <c r="D98" s="200">
        <v>812</v>
      </c>
      <c r="E98" s="210">
        <v>812</v>
      </c>
      <c r="F98" s="210">
        <v>1300</v>
      </c>
      <c r="G98" s="210">
        <v>1500</v>
      </c>
      <c r="H98" s="210">
        <v>1500</v>
      </c>
      <c r="I98" s="210">
        <f>1500+500</f>
        <v>2000</v>
      </c>
      <c r="J98" s="210">
        <v>2178</v>
      </c>
      <c r="K98" s="210">
        <v>2123</v>
      </c>
      <c r="L98" s="210">
        <v>2123</v>
      </c>
      <c r="M98" s="210">
        <v>2134</v>
      </c>
      <c r="N98" s="210">
        <v>1300</v>
      </c>
    </row>
    <row r="99" spans="1:14" x14ac:dyDescent="0.25">
      <c r="A99" s="27" t="s">
        <v>97</v>
      </c>
      <c r="B99" s="69">
        <v>0</v>
      </c>
      <c r="C99" s="69"/>
      <c r="D99" s="200"/>
      <c r="E99" s="210"/>
      <c r="F99" s="210"/>
      <c r="G99" s="210"/>
      <c r="H99" s="210"/>
      <c r="I99" s="210"/>
      <c r="J99" s="210"/>
      <c r="K99" s="210"/>
      <c r="L99" s="210"/>
      <c r="M99" s="210"/>
      <c r="N99" s="210"/>
    </row>
    <row r="100" spans="1:14" x14ac:dyDescent="0.25">
      <c r="A100" s="27" t="s">
        <v>98</v>
      </c>
      <c r="B100" s="69">
        <v>932</v>
      </c>
      <c r="C100" s="69">
        <f>475+166</f>
        <v>641</v>
      </c>
      <c r="D100" s="200">
        <f>+C100</f>
        <v>641</v>
      </c>
      <c r="E100" s="210">
        <f t="shared" ref="E100" si="34">+D100</f>
        <v>641</v>
      </c>
      <c r="F100" s="210"/>
      <c r="G100" s="210"/>
      <c r="H100" s="210"/>
      <c r="I100" s="210"/>
      <c r="J100" s="210"/>
      <c r="K100" s="210"/>
      <c r="L100" s="210"/>
      <c r="M100" s="210"/>
      <c r="N100" s="210"/>
    </row>
    <row r="101" spans="1:14" x14ac:dyDescent="0.25">
      <c r="A101" s="27"/>
      <c r="B101" s="69"/>
      <c r="C101" s="69"/>
      <c r="D101" s="200"/>
      <c r="E101" s="210"/>
      <c r="F101" s="210"/>
      <c r="G101" s="210"/>
      <c r="H101" s="210"/>
      <c r="I101" s="210"/>
      <c r="J101" s="210"/>
      <c r="K101" s="210"/>
      <c r="L101" s="210"/>
      <c r="M101" s="210"/>
      <c r="N101" s="210"/>
    </row>
    <row r="102" spans="1:14" x14ac:dyDescent="0.25">
      <c r="A102" s="22"/>
      <c r="B102" s="23"/>
      <c r="C102" s="21"/>
      <c r="D102" s="21"/>
      <c r="E102" s="207"/>
    </row>
    <row r="103" spans="1:14" ht="15.75" x14ac:dyDescent="0.25">
      <c r="A103" s="185" t="s">
        <v>99</v>
      </c>
      <c r="B103" s="26">
        <f>+B104+B105+B106+B107+B108</f>
        <v>4339</v>
      </c>
      <c r="C103" s="26">
        <f>+C104+C105+C106+C107+C108</f>
        <v>6443</v>
      </c>
      <c r="D103" s="202">
        <f t="shared" ref="D103:N103" si="35">+D104+D105+D106+D107+D108</f>
        <v>7599</v>
      </c>
      <c r="E103" s="202">
        <f t="shared" si="35"/>
        <v>7437.0519999999997</v>
      </c>
      <c r="F103" s="202">
        <f t="shared" si="35"/>
        <v>9055.7914776451235</v>
      </c>
      <c r="G103" s="202">
        <f t="shared" si="35"/>
        <v>10843.136849512139</v>
      </c>
      <c r="H103" s="202">
        <f t="shared" si="35"/>
        <v>10832.206</v>
      </c>
      <c r="I103" s="202">
        <f t="shared" si="35"/>
        <v>10760.053</v>
      </c>
      <c r="J103" s="202">
        <f t="shared" si="35"/>
        <v>10476.088</v>
      </c>
      <c r="K103" s="202">
        <f t="shared" si="35"/>
        <v>10424.303</v>
      </c>
      <c r="L103" s="202">
        <f t="shared" si="35"/>
        <v>10331.341</v>
      </c>
      <c r="M103" s="202">
        <f t="shared" si="35"/>
        <v>10114.985000000001</v>
      </c>
      <c r="N103" s="202">
        <f t="shared" si="35"/>
        <v>10693.029999999999</v>
      </c>
    </row>
    <row r="104" spans="1:14" x14ac:dyDescent="0.25">
      <c r="A104" s="35" t="s">
        <v>100</v>
      </c>
      <c r="B104" s="69">
        <v>1500</v>
      </c>
      <c r="C104" s="69">
        <v>1500</v>
      </c>
      <c r="D104" s="200">
        <v>1500</v>
      </c>
      <c r="E104" s="210">
        <v>1500</v>
      </c>
      <c r="F104" s="210">
        <v>1500</v>
      </c>
      <c r="G104" s="210">
        <v>1500</v>
      </c>
      <c r="H104" s="210">
        <v>1500</v>
      </c>
      <c r="I104" s="210">
        <v>1500</v>
      </c>
      <c r="J104" s="210">
        <v>1500</v>
      </c>
      <c r="K104" s="210">
        <v>1500</v>
      </c>
      <c r="L104" s="210">
        <v>1500</v>
      </c>
      <c r="M104" s="210">
        <v>1500</v>
      </c>
      <c r="N104" s="210">
        <v>1500</v>
      </c>
    </row>
    <row r="105" spans="1:14" x14ac:dyDescent="0.25">
      <c r="A105" s="35" t="s">
        <v>101</v>
      </c>
      <c r="B105" s="69">
        <v>0</v>
      </c>
      <c r="C105" s="69"/>
      <c r="D105" s="200"/>
      <c r="E105" s="210"/>
      <c r="F105" s="210"/>
      <c r="G105" s="210"/>
      <c r="H105" s="210"/>
      <c r="I105" s="210"/>
      <c r="J105" s="210"/>
      <c r="K105" s="210"/>
      <c r="L105" s="210"/>
      <c r="M105" s="210"/>
      <c r="N105" s="210"/>
    </row>
    <row r="106" spans="1:14" x14ac:dyDescent="0.25">
      <c r="A106" s="35" t="s">
        <v>102</v>
      </c>
      <c r="B106" s="69">
        <v>2567</v>
      </c>
      <c r="C106" s="69">
        <f>+B106+C61</f>
        <v>4671</v>
      </c>
      <c r="D106" s="69">
        <f>+D61+2300</f>
        <v>5827</v>
      </c>
      <c r="E106" s="210">
        <f>+D106</f>
        <v>5827</v>
      </c>
      <c r="F106" s="210">
        <f>+F61+E106</f>
        <v>7446.0474776451229</v>
      </c>
      <c r="G106" s="210">
        <f t="shared" ref="G106" si="36">+G61+F106</f>
        <v>9233.1368495121387</v>
      </c>
      <c r="H106" s="210">
        <v>9222.1540000000005</v>
      </c>
      <c r="I106" s="210">
        <v>9150.0010000000002</v>
      </c>
      <c r="J106" s="210">
        <v>8866.0360000000001</v>
      </c>
      <c r="K106" s="210">
        <v>8814.2510000000002</v>
      </c>
      <c r="L106" s="210">
        <v>8721.2890000000007</v>
      </c>
      <c r="M106" s="210">
        <v>8504.9330000000009</v>
      </c>
      <c r="N106" s="210">
        <v>9082.9779999999992</v>
      </c>
    </row>
    <row r="107" spans="1:14" x14ac:dyDescent="0.25">
      <c r="A107" s="35" t="s">
        <v>103</v>
      </c>
      <c r="B107" s="69">
        <v>272</v>
      </c>
      <c r="C107" s="69">
        <v>272</v>
      </c>
      <c r="D107" s="200">
        <v>272</v>
      </c>
      <c r="E107" s="210">
        <v>110.05200000000001</v>
      </c>
      <c r="F107" s="210">
        <v>109.744</v>
      </c>
      <c r="G107" s="210">
        <v>110</v>
      </c>
      <c r="H107" s="210">
        <v>110.05200000000001</v>
      </c>
      <c r="I107" s="210">
        <v>110.05200000000001</v>
      </c>
      <c r="J107" s="210">
        <v>110.05200000000001</v>
      </c>
      <c r="K107" s="210">
        <v>110.05200000000001</v>
      </c>
      <c r="L107" s="210">
        <v>110.05200000000001</v>
      </c>
      <c r="M107" s="210">
        <v>110.05200000000001</v>
      </c>
      <c r="N107" s="210">
        <v>110.05200000000001</v>
      </c>
    </row>
    <row r="108" spans="1:14" x14ac:dyDescent="0.25">
      <c r="A108" s="35" t="s">
        <v>88</v>
      </c>
      <c r="B108" s="26">
        <f t="shared" ref="B108:N108" si="37">B87</f>
        <v>0</v>
      </c>
      <c r="C108" s="26">
        <f t="shared" si="37"/>
        <v>0</v>
      </c>
      <c r="D108" s="202">
        <f t="shared" si="37"/>
        <v>0</v>
      </c>
      <c r="E108" s="202">
        <f t="shared" si="37"/>
        <v>0</v>
      </c>
      <c r="F108" s="202">
        <f t="shared" si="37"/>
        <v>0</v>
      </c>
      <c r="G108" s="202">
        <f t="shared" si="37"/>
        <v>0</v>
      </c>
      <c r="H108" s="202">
        <f t="shared" si="37"/>
        <v>0</v>
      </c>
      <c r="I108" s="202">
        <f t="shared" si="37"/>
        <v>0</v>
      </c>
      <c r="J108" s="202">
        <f t="shared" si="37"/>
        <v>0</v>
      </c>
      <c r="K108" s="202">
        <f t="shared" si="37"/>
        <v>0</v>
      </c>
      <c r="L108" s="202">
        <f t="shared" si="37"/>
        <v>0</v>
      </c>
      <c r="M108" s="202">
        <f t="shared" si="37"/>
        <v>0</v>
      </c>
      <c r="N108" s="202">
        <f t="shared" si="37"/>
        <v>0</v>
      </c>
    </row>
    <row r="109" spans="1:14" x14ac:dyDescent="0.25">
      <c r="A109" s="22"/>
      <c r="B109" s="23"/>
      <c r="C109" s="21"/>
      <c r="D109" s="21"/>
      <c r="E109" s="207"/>
    </row>
    <row r="110" spans="1:14" x14ac:dyDescent="0.25">
      <c r="A110" s="36" t="s">
        <v>104</v>
      </c>
      <c r="B110" s="26"/>
      <c r="C110" s="34">
        <f>+((C106-C61)-(B106+C21))</f>
        <v>0</v>
      </c>
      <c r="D110" s="203">
        <f>+((D106-D61)-(C106+D21))</f>
        <v>-2371</v>
      </c>
      <c r="E110" s="203">
        <f t="shared" ref="E110:N110" si="38">+((E106-E61)-(D106+E21))</f>
        <v>-4041.9223765199999</v>
      </c>
      <c r="F110" s="203">
        <f t="shared" si="38"/>
        <v>0</v>
      </c>
      <c r="G110" s="203">
        <f t="shared" si="38"/>
        <v>9.0949470177292824E-13</v>
      </c>
      <c r="H110" s="203">
        <f t="shared" si="38"/>
        <v>-2202.9376871144877</v>
      </c>
      <c r="I110" s="203">
        <f t="shared" si="38"/>
        <v>-2547.8519017832896</v>
      </c>
      <c r="J110" s="203">
        <f t="shared" si="38"/>
        <v>-3111.4315245573598</v>
      </c>
      <c r="K110" s="203">
        <f t="shared" si="38"/>
        <v>-3305.8739638300531</v>
      </c>
      <c r="L110" s="203">
        <f t="shared" si="38"/>
        <v>-3805.6195500123558</v>
      </c>
      <c r="M110" s="203">
        <f t="shared" si="38"/>
        <v>-4367.6671895109648</v>
      </c>
      <c r="N110" s="203">
        <f t="shared" si="38"/>
        <v>-4132.5939649015572</v>
      </c>
    </row>
    <row r="111" spans="1:14" x14ac:dyDescent="0.25">
      <c r="A111" s="32"/>
      <c r="B111" s="32"/>
      <c r="C111" s="33"/>
      <c r="D111" s="33"/>
      <c r="E111" s="207"/>
    </row>
    <row r="112" spans="1:14" x14ac:dyDescent="0.25">
      <c r="A112" s="222" t="s">
        <v>105</v>
      </c>
      <c r="B112" s="223">
        <f t="shared" ref="B112:N112" si="39">B103+B89-B69</f>
        <v>0</v>
      </c>
      <c r="C112" s="223">
        <f t="shared" si="39"/>
        <v>0</v>
      </c>
      <c r="D112" s="224">
        <f t="shared" si="39"/>
        <v>0</v>
      </c>
      <c r="E112" s="224">
        <f t="shared" si="39"/>
        <v>-3.7656871791114099E-4</v>
      </c>
      <c r="F112" s="224">
        <f t="shared" si="39"/>
        <v>-4.6472241774608847E-4</v>
      </c>
      <c r="G112" s="224">
        <f t="shared" si="39"/>
        <v>-5.7899460443877615E-5</v>
      </c>
      <c r="H112" s="224">
        <f t="shared" si="39"/>
        <v>2.110218774760142E-4</v>
      </c>
      <c r="I112" s="224">
        <f t="shared" si="39"/>
        <v>-9.0003779676371778</v>
      </c>
      <c r="J112" s="224">
        <f t="shared" si="39"/>
        <v>-2.3908282673801295E-4</v>
      </c>
      <c r="K112" s="224">
        <f t="shared" si="39"/>
        <v>-1.9722889192053117E-4</v>
      </c>
      <c r="L112" s="224">
        <f t="shared" si="39"/>
        <v>1.4335368177853525E-5</v>
      </c>
      <c r="M112" s="224">
        <f t="shared" si="39"/>
        <v>-1.9174849512637593E-4</v>
      </c>
      <c r="N112" s="224">
        <f t="shared" si="39"/>
        <v>9.978295198379783E-2</v>
      </c>
    </row>
    <row r="113" spans="1:14" x14ac:dyDescent="0.25">
      <c r="A113" s="23"/>
      <c r="B113" s="23"/>
      <c r="C113" s="21"/>
      <c r="D113" s="21"/>
      <c r="E113" s="207"/>
    </row>
    <row r="114" spans="1:14" x14ac:dyDescent="0.25">
      <c r="A114" s="222" t="s">
        <v>106</v>
      </c>
      <c r="B114" s="23"/>
      <c r="C114" s="21"/>
      <c r="D114" s="21"/>
      <c r="E114" s="207"/>
    </row>
    <row r="115" spans="1:14" x14ac:dyDescent="0.25">
      <c r="A115" s="23"/>
      <c r="B115" s="23"/>
      <c r="C115" s="21"/>
      <c r="D115" s="21"/>
      <c r="E115" s="207"/>
    </row>
    <row r="116" spans="1:14" x14ac:dyDescent="0.25">
      <c r="A116" s="37" t="str">
        <f t="shared" ref="A116:D117" si="40">A72</f>
        <v>Cartera</v>
      </c>
      <c r="B116" s="26">
        <f t="shared" si="40"/>
        <v>1268</v>
      </c>
      <c r="C116" s="26">
        <f t="shared" si="40"/>
        <v>1019</v>
      </c>
      <c r="D116" s="202">
        <f t="shared" si="40"/>
        <v>1209</v>
      </c>
      <c r="E116" s="202">
        <f>+E131*$E$25</f>
        <v>1349.7082974316281</v>
      </c>
      <c r="F116" s="202">
        <f t="shared" ref="F116:N116" si="41">+F131*$E$25</f>
        <v>2480.3154</v>
      </c>
      <c r="G116" s="202">
        <f t="shared" si="41"/>
        <v>4464.56772</v>
      </c>
      <c r="H116" s="202">
        <f t="shared" si="41"/>
        <v>4464.56772</v>
      </c>
      <c r="I116" s="202">
        <f t="shared" si="41"/>
        <v>4464.56772</v>
      </c>
      <c r="J116" s="202">
        <f t="shared" si="41"/>
        <v>4464.56772</v>
      </c>
      <c r="K116" s="202">
        <f t="shared" si="41"/>
        <v>4464.56772</v>
      </c>
      <c r="L116" s="202">
        <f t="shared" si="41"/>
        <v>4464.56772</v>
      </c>
      <c r="M116" s="202">
        <f t="shared" si="41"/>
        <v>4464.56772</v>
      </c>
      <c r="N116" s="202">
        <f t="shared" si="41"/>
        <v>4464.56772</v>
      </c>
    </row>
    <row r="117" spans="1:14" x14ac:dyDescent="0.25">
      <c r="A117" s="37" t="str">
        <f t="shared" si="40"/>
        <v>Inventarios</v>
      </c>
      <c r="B117" s="26">
        <f t="shared" si="40"/>
        <v>456</v>
      </c>
      <c r="C117" s="26">
        <f t="shared" si="40"/>
        <v>501</v>
      </c>
      <c r="D117" s="202">
        <f t="shared" si="40"/>
        <v>785</v>
      </c>
      <c r="E117" s="202">
        <f t="shared" ref="E117:N118" si="42">+E132*$E$25</f>
        <v>659.0258184294986</v>
      </c>
      <c r="F117" s="202">
        <f t="shared" si="42"/>
        <v>678.34612456026468</v>
      </c>
      <c r="G117" s="202">
        <f t="shared" si="42"/>
        <v>729.96064766325446</v>
      </c>
      <c r="H117" s="202">
        <f t="shared" si="42"/>
        <v>689.11086355100588</v>
      </c>
      <c r="I117" s="202">
        <f t="shared" si="42"/>
        <v>699.13921192484179</v>
      </c>
      <c r="J117" s="202">
        <f t="shared" si="42"/>
        <v>706.07024104636741</v>
      </c>
      <c r="K117" s="202">
        <f t="shared" si="42"/>
        <v>698.10677217407169</v>
      </c>
      <c r="L117" s="202">
        <f t="shared" si="42"/>
        <v>701.1054083817603</v>
      </c>
      <c r="M117" s="202">
        <f t="shared" si="42"/>
        <v>701.7608072007331</v>
      </c>
      <c r="N117" s="202">
        <f t="shared" si="42"/>
        <v>700.32432925218848</v>
      </c>
    </row>
    <row r="118" spans="1:14" x14ac:dyDescent="0.25">
      <c r="A118" s="37" t="str">
        <f>A74</f>
        <v>Otros Activos Corrientes</v>
      </c>
      <c r="B118" s="26">
        <f>B74</f>
        <v>849</v>
      </c>
      <c r="C118" s="26">
        <f>C74</f>
        <v>906</v>
      </c>
      <c r="D118" s="202">
        <f>D74</f>
        <v>930</v>
      </c>
      <c r="E118" s="202">
        <f t="shared" si="42"/>
        <v>1025.2537275043805</v>
      </c>
      <c r="F118" s="202">
        <f t="shared" si="42"/>
        <v>1488.1892399999999</v>
      </c>
      <c r="G118" s="202">
        <f t="shared" si="42"/>
        <v>1488.1892399999999</v>
      </c>
      <c r="H118" s="202">
        <f t="shared" si="42"/>
        <v>1488.1892399999999</v>
      </c>
      <c r="I118" s="202">
        <f t="shared" si="42"/>
        <v>1488.1892399999999</v>
      </c>
      <c r="J118" s="202">
        <f t="shared" si="42"/>
        <v>1488.1892399999999</v>
      </c>
      <c r="K118" s="202">
        <f t="shared" si="42"/>
        <v>1488.1892399999999</v>
      </c>
      <c r="L118" s="202">
        <f t="shared" si="42"/>
        <v>1488.1892399999999</v>
      </c>
      <c r="M118" s="202">
        <f t="shared" si="42"/>
        <v>1488.1892399999999</v>
      </c>
      <c r="N118" s="202">
        <f t="shared" si="42"/>
        <v>1488.1892399999999</v>
      </c>
    </row>
    <row r="119" spans="1:14" x14ac:dyDescent="0.25">
      <c r="A119" s="38"/>
      <c r="B119" s="39"/>
      <c r="C119" s="40"/>
      <c r="D119" s="40"/>
      <c r="E119" s="207"/>
    </row>
    <row r="120" spans="1:14" x14ac:dyDescent="0.25">
      <c r="A120" s="37" t="str">
        <f>A92</f>
        <v>Proveedores</v>
      </c>
      <c r="B120" s="26">
        <f>B92</f>
        <v>718</v>
      </c>
      <c r="C120" s="26">
        <f>C92</f>
        <v>532</v>
      </c>
      <c r="D120" s="202">
        <f>D92</f>
        <v>590</v>
      </c>
      <c r="E120" s="202">
        <f>+E135*E25</f>
        <v>714.34950717731772</v>
      </c>
      <c r="F120" s="202">
        <f t="shared" ref="F120:N120" si="43">+F135*F25</f>
        <v>691.77636587067502</v>
      </c>
      <c r="G120" s="202">
        <f t="shared" si="43"/>
        <v>783.15209258081757</v>
      </c>
      <c r="H120" s="202">
        <f t="shared" si="43"/>
        <v>860.44582817654384</v>
      </c>
      <c r="I120" s="202">
        <f t="shared" si="43"/>
        <v>914.71147518686325</v>
      </c>
      <c r="J120" s="202">
        <f t="shared" si="43"/>
        <v>1003.7543565684291</v>
      </c>
      <c r="K120" s="202">
        <f t="shared" si="43"/>
        <v>1090.3213339453866</v>
      </c>
      <c r="L120" s="202">
        <f t="shared" si="43"/>
        <v>1179.8324345008834</v>
      </c>
      <c r="M120" s="202">
        <f t="shared" si="43"/>
        <v>1284.2837900151528</v>
      </c>
      <c r="N120" s="202">
        <f t="shared" si="43"/>
        <v>1394.2438810547733</v>
      </c>
    </row>
    <row r="121" spans="1:14" x14ac:dyDescent="0.25">
      <c r="A121" s="37" t="str">
        <f>+A93</f>
        <v>Impuestos x Pagar</v>
      </c>
      <c r="B121" s="26">
        <f t="shared" ref="B121:D122" si="44">B93</f>
        <v>115</v>
      </c>
      <c r="C121" s="26">
        <f t="shared" si="44"/>
        <v>34</v>
      </c>
      <c r="D121" s="202">
        <f t="shared" si="44"/>
        <v>37</v>
      </c>
      <c r="E121" s="202">
        <f>+E25*E136</f>
        <v>75.764489769378471</v>
      </c>
      <c r="F121" s="202">
        <f t="shared" ref="F121:N121" si="45">+F25*F136</f>
        <v>54.833446562049815</v>
      </c>
      <c r="G121" s="202">
        <f t="shared" si="45"/>
        <v>65.431983071477319</v>
      </c>
      <c r="H121" s="202">
        <f t="shared" si="45"/>
        <v>77.590154081435145</v>
      </c>
      <c r="I121" s="202">
        <f t="shared" si="45"/>
        <v>77.221707956356823</v>
      </c>
      <c r="J121" s="202">
        <f t="shared" si="45"/>
        <v>86.393050051121577</v>
      </c>
      <c r="K121" s="202">
        <f t="shared" si="45"/>
        <v>94.759053896220721</v>
      </c>
      <c r="L121" s="202">
        <f t="shared" si="45"/>
        <v>101.23579046176557</v>
      </c>
      <c r="M121" s="202">
        <f t="shared" si="45"/>
        <v>110.78493811571769</v>
      </c>
      <c r="N121" s="202">
        <f t="shared" si="45"/>
        <v>120.35973495839796</v>
      </c>
    </row>
    <row r="122" spans="1:14" x14ac:dyDescent="0.25">
      <c r="A122" s="37" t="str">
        <f>+A94</f>
        <v>Otros Pasivos Corrientes</v>
      </c>
      <c r="B122" s="26">
        <f t="shared" si="44"/>
        <v>643</v>
      </c>
      <c r="C122" s="26">
        <f t="shared" si="44"/>
        <v>234</v>
      </c>
      <c r="D122" s="202">
        <f t="shared" si="44"/>
        <v>400</v>
      </c>
      <c r="E122" s="202">
        <f>+E25*E137</f>
        <v>508.82146985009234</v>
      </c>
      <c r="F122" s="202">
        <f t="shared" ref="F122:N122" si="46">+F25*F137</f>
        <v>1077.4490097599999</v>
      </c>
      <c r="G122" s="202">
        <f t="shared" si="46"/>
        <v>1170.1096245993599</v>
      </c>
      <c r="H122" s="202">
        <f t="shared" si="46"/>
        <v>1270.7390523149047</v>
      </c>
      <c r="I122" s="202">
        <f t="shared" si="46"/>
        <v>1380.0226108139864</v>
      </c>
      <c r="J122" s="202">
        <f t="shared" si="46"/>
        <v>1498.7045553439893</v>
      </c>
      <c r="K122" s="202">
        <f t="shared" si="46"/>
        <v>1627.5931471035724</v>
      </c>
      <c r="L122" s="202">
        <f t="shared" si="46"/>
        <v>1767.5661577544795</v>
      </c>
      <c r="M122" s="202">
        <f t="shared" si="46"/>
        <v>1919.5768473213648</v>
      </c>
      <c r="N122" s="202">
        <f t="shared" si="46"/>
        <v>2084.6604561910017</v>
      </c>
    </row>
    <row r="123" spans="1:14" x14ac:dyDescent="0.25">
      <c r="A123" s="23"/>
      <c r="B123" s="23"/>
      <c r="C123" s="21"/>
      <c r="D123" s="21"/>
      <c r="E123" s="207"/>
    </row>
    <row r="124" spans="1:14" x14ac:dyDescent="0.25">
      <c r="A124" s="23"/>
      <c r="B124" s="23"/>
      <c r="C124" s="21"/>
      <c r="E124" s="207"/>
    </row>
    <row r="125" spans="1:14" x14ac:dyDescent="0.25">
      <c r="A125" s="23"/>
      <c r="B125" s="23"/>
      <c r="C125" s="21"/>
      <c r="E125" s="207"/>
    </row>
    <row r="126" spans="1:14" x14ac:dyDescent="0.25">
      <c r="A126" s="222" t="str">
        <f>A114</f>
        <v>CAPITAL DE TRABAJO OPERATIVO</v>
      </c>
      <c r="B126" s="225">
        <f>(B116+B117+B118)-(B120+B121+B122)</f>
        <v>1097</v>
      </c>
      <c r="C126" s="225">
        <f>(C116+C117+C118)-(C120+C121+C122)</f>
        <v>1626</v>
      </c>
      <c r="D126" s="226">
        <f>(D116+D117+D118)-(D120+D121+D122)</f>
        <v>1897</v>
      </c>
      <c r="E126" s="226">
        <f t="shared" ref="E126:N126" si="47">(E116+E117+E118)-(E120+E121+E122)</f>
        <v>1735.0523765687187</v>
      </c>
      <c r="F126" s="226">
        <f t="shared" si="47"/>
        <v>2822.7919423675403</v>
      </c>
      <c r="G126" s="226">
        <f t="shared" si="47"/>
        <v>4664.0239074115998</v>
      </c>
      <c r="H126" s="226">
        <f t="shared" si="47"/>
        <v>4433.0927889781215</v>
      </c>
      <c r="I126" s="226">
        <f t="shared" si="47"/>
        <v>4279.9403779676359</v>
      </c>
      <c r="J126" s="226">
        <f t="shared" si="47"/>
        <v>4069.9752390828271</v>
      </c>
      <c r="K126" s="226">
        <f t="shared" si="47"/>
        <v>3838.190197228892</v>
      </c>
      <c r="L126" s="226">
        <f t="shared" si="47"/>
        <v>3605.2279856646319</v>
      </c>
      <c r="M126" s="226">
        <f t="shared" si="47"/>
        <v>3339.8721917484977</v>
      </c>
      <c r="N126" s="226">
        <f t="shared" si="47"/>
        <v>3053.8172170480152</v>
      </c>
    </row>
    <row r="127" spans="1:14" x14ac:dyDescent="0.25">
      <c r="A127" s="222" t="s">
        <v>107</v>
      </c>
      <c r="B127" s="225"/>
      <c r="C127" s="225">
        <f>+C126-B126</f>
        <v>529</v>
      </c>
      <c r="D127" s="226">
        <f>+D126-C126</f>
        <v>271</v>
      </c>
      <c r="E127" s="226">
        <f t="shared" ref="E127:N127" si="48">+E126-D126</f>
        <v>-161.94762343128127</v>
      </c>
      <c r="F127" s="226">
        <f t="shared" si="48"/>
        <v>1087.7395657988216</v>
      </c>
      <c r="G127" s="226">
        <f t="shared" si="48"/>
        <v>1841.2319650440595</v>
      </c>
      <c r="H127" s="226">
        <f t="shared" si="48"/>
        <v>-230.93111843347833</v>
      </c>
      <c r="I127" s="226">
        <f t="shared" si="48"/>
        <v>-153.15241101048559</v>
      </c>
      <c r="J127" s="226">
        <f t="shared" si="48"/>
        <v>-209.96513888480877</v>
      </c>
      <c r="K127" s="226">
        <f t="shared" si="48"/>
        <v>-231.78504185393513</v>
      </c>
      <c r="L127" s="226">
        <f t="shared" si="48"/>
        <v>-232.96221156426009</v>
      </c>
      <c r="M127" s="226">
        <f t="shared" si="48"/>
        <v>-265.35579391613419</v>
      </c>
      <c r="N127" s="226">
        <f t="shared" si="48"/>
        <v>-286.05497470048249</v>
      </c>
    </row>
    <row r="128" spans="1:14" x14ac:dyDescent="0.25">
      <c r="A128" s="5"/>
      <c r="B128" s="5"/>
      <c r="C128" s="6"/>
      <c r="D128" s="6"/>
      <c r="E128" s="207"/>
    </row>
    <row r="129" spans="1:14" x14ac:dyDescent="0.25">
      <c r="A129" s="227" t="s">
        <v>108</v>
      </c>
      <c r="B129" s="5"/>
      <c r="C129" s="6"/>
      <c r="D129" s="6"/>
      <c r="E129" s="207"/>
    </row>
    <row r="130" spans="1:14" x14ac:dyDescent="0.25">
      <c r="A130" s="5"/>
      <c r="B130" s="5"/>
      <c r="C130" s="6"/>
      <c r="D130" s="6"/>
      <c r="E130" s="207"/>
    </row>
    <row r="131" spans="1:14" x14ac:dyDescent="0.25">
      <c r="A131" s="41" t="str">
        <f>A116</f>
        <v>Cartera</v>
      </c>
      <c r="B131" s="42">
        <f>+B116/B25</f>
        <v>3.3692937237604297E-2</v>
      </c>
      <c r="C131" s="42">
        <f>+C116/C25</f>
        <v>2.1464380503012175E-2</v>
      </c>
      <c r="D131" s="204">
        <f>+D116/D25</f>
        <v>2.6467883882832E-2</v>
      </c>
      <c r="E131" s="248">
        <f>AVERAGE(B131:D131)</f>
        <v>2.720840054114949E-2</v>
      </c>
      <c r="F131" s="248">
        <v>0.05</v>
      </c>
      <c r="G131" s="248">
        <v>0.09</v>
      </c>
      <c r="H131" s="248">
        <v>0.09</v>
      </c>
      <c r="I131" s="248">
        <v>0.09</v>
      </c>
      <c r="J131" s="248">
        <v>0.09</v>
      </c>
      <c r="K131" s="248">
        <v>0.09</v>
      </c>
      <c r="L131" s="248">
        <v>0.09</v>
      </c>
      <c r="M131" s="248">
        <v>0.09</v>
      </c>
      <c r="N131" s="248">
        <v>0.09</v>
      </c>
    </row>
    <row r="132" spans="1:14" x14ac:dyDescent="0.25">
      <c r="A132" s="41" t="str">
        <f>A117</f>
        <v>Inventarios</v>
      </c>
      <c r="B132" s="42">
        <f>+B117/B25</f>
        <v>1.2116702981346655E-2</v>
      </c>
      <c r="C132" s="42">
        <f>+C117/C25</f>
        <v>1.0553144879302355E-2</v>
      </c>
      <c r="D132" s="204">
        <f>+D117/D25</f>
        <v>1.7185516003327642E-2</v>
      </c>
      <c r="E132" s="248">
        <f t="shared" ref="E132:E133" si="49">AVERAGE(B132:D132)</f>
        <v>1.3285121287992217E-2</v>
      </c>
      <c r="F132" s="248">
        <f t="shared" ref="F132:N133" si="50">AVERAGE(C132:E132)</f>
        <v>1.3674594056874071E-2</v>
      </c>
      <c r="G132" s="248">
        <f t="shared" si="50"/>
        <v>1.4715077116064644E-2</v>
      </c>
      <c r="H132" s="248">
        <f t="shared" si="50"/>
        <v>1.3891597486976978E-2</v>
      </c>
      <c r="I132" s="248">
        <f t="shared" si="50"/>
        <v>1.4093756219971899E-2</v>
      </c>
      <c r="J132" s="248">
        <f t="shared" si="50"/>
        <v>1.4233476941004507E-2</v>
      </c>
      <c r="K132" s="248">
        <f t="shared" si="50"/>
        <v>1.4072943549317795E-2</v>
      </c>
      <c r="L132" s="248">
        <f t="shared" si="50"/>
        <v>1.4133392236764734E-2</v>
      </c>
      <c r="M132" s="248">
        <f t="shared" si="50"/>
        <v>1.4146604242362346E-2</v>
      </c>
      <c r="N132" s="248">
        <f t="shared" si="50"/>
        <v>1.4117646676148293E-2</v>
      </c>
    </row>
    <row r="133" spans="1:14" x14ac:dyDescent="0.25">
      <c r="A133" s="41" t="str">
        <f>A118</f>
        <v>Otros Activos Corrientes</v>
      </c>
      <c r="B133" s="42">
        <f>+B118/B25</f>
        <v>2.2559387787638836E-2</v>
      </c>
      <c r="C133" s="42">
        <f>+C118/C25</f>
        <v>1.908413026077432E-2</v>
      </c>
      <c r="D133" s="204">
        <f>+D118/D25</f>
        <v>2.0359910679101537E-2</v>
      </c>
      <c r="E133" s="248">
        <f t="shared" si="49"/>
        <v>2.066780957583823E-2</v>
      </c>
      <c r="F133" s="248">
        <v>0.03</v>
      </c>
      <c r="G133" s="248">
        <v>0.03</v>
      </c>
      <c r="H133" s="248">
        <v>0.03</v>
      </c>
      <c r="I133" s="248">
        <v>0.03</v>
      </c>
      <c r="J133" s="248">
        <v>0.03</v>
      </c>
      <c r="K133" s="248">
        <v>0.03</v>
      </c>
      <c r="L133" s="248">
        <v>0.03</v>
      </c>
      <c r="M133" s="248">
        <f t="shared" si="50"/>
        <v>0.03</v>
      </c>
      <c r="N133" s="248">
        <f t="shared" si="50"/>
        <v>0.03</v>
      </c>
    </row>
    <row r="134" spans="1:14" x14ac:dyDescent="0.25">
      <c r="A134" s="41"/>
      <c r="B134" s="42"/>
      <c r="C134" s="42"/>
      <c r="D134" s="204"/>
      <c r="E134" s="207"/>
    </row>
    <row r="135" spans="1:14" x14ac:dyDescent="0.25">
      <c r="A135" s="41" t="str">
        <f>A120</f>
        <v>Proveedores</v>
      </c>
      <c r="B135" s="42">
        <f>+B120/B25</f>
        <v>1.9078492852208109E-2</v>
      </c>
      <c r="C135" s="42">
        <f>+C120/C25</f>
        <v>1.1206133883810086E-2</v>
      </c>
      <c r="D135" s="204">
        <f>+D120/D25</f>
        <v>1.2916502473838609E-2</v>
      </c>
      <c r="E135" s="248">
        <f>AVERAGE(B135:D135)</f>
        <v>1.4400376403285601E-2</v>
      </c>
      <c r="F135" s="248">
        <f t="shared" ref="F135:N137" si="51">AVERAGE(C135:E135)</f>
        <v>1.2841004253644766E-2</v>
      </c>
      <c r="G135" s="248">
        <f t="shared" si="51"/>
        <v>1.338596104358966E-2</v>
      </c>
      <c r="H135" s="248">
        <f t="shared" si="51"/>
        <v>1.3542447233506677E-2</v>
      </c>
      <c r="I135" s="248">
        <f t="shared" si="51"/>
        <v>1.3256470843580366E-2</v>
      </c>
      <c r="J135" s="248">
        <f t="shared" si="51"/>
        <v>1.3394959706892235E-2</v>
      </c>
      <c r="K135" s="248">
        <f t="shared" si="51"/>
        <v>1.3397959261326427E-2</v>
      </c>
      <c r="L135" s="248">
        <f t="shared" si="51"/>
        <v>1.334979660393301E-2</v>
      </c>
      <c r="M135" s="248">
        <f t="shared" si="51"/>
        <v>1.3380905190717225E-2</v>
      </c>
      <c r="N135" s="248">
        <f t="shared" si="51"/>
        <v>1.3376220351992221E-2</v>
      </c>
    </row>
    <row r="136" spans="1:14" x14ac:dyDescent="0.25">
      <c r="A136" s="41" t="str">
        <f>A121</f>
        <v>Impuestos x Pagar</v>
      </c>
      <c r="B136" s="42">
        <f>+B121/B25</f>
        <v>3.0557474624010204E-3</v>
      </c>
      <c r="C136" s="42">
        <f>+C121/C25</f>
        <v>7.1618148881493024E-4</v>
      </c>
      <c r="D136" s="204">
        <f>+D121/D25</f>
        <v>8.1001795174920094E-4</v>
      </c>
      <c r="E136" s="248">
        <f t="shared" ref="E136:E137" si="52">AVERAGE(B136:D136)</f>
        <v>1.5273156343217171E-3</v>
      </c>
      <c r="F136" s="248">
        <f t="shared" si="51"/>
        <v>1.0178383582952826E-3</v>
      </c>
      <c r="G136" s="248">
        <f t="shared" si="51"/>
        <v>1.1183906481220668E-3</v>
      </c>
      <c r="H136" s="248">
        <f t="shared" si="51"/>
        <v>1.221181546913022E-3</v>
      </c>
      <c r="I136" s="248">
        <f t="shared" si="51"/>
        <v>1.1191368511101237E-3</v>
      </c>
      <c r="J136" s="248">
        <f t="shared" si="51"/>
        <v>1.1529030153817376E-3</v>
      </c>
      <c r="K136" s="248">
        <f t="shared" si="51"/>
        <v>1.1644071378016279E-3</v>
      </c>
      <c r="L136" s="248">
        <f t="shared" si="51"/>
        <v>1.1454823347644965E-3</v>
      </c>
      <c r="M136" s="248">
        <f t="shared" si="51"/>
        <v>1.1542641626492874E-3</v>
      </c>
      <c r="N136" s="248">
        <f t="shared" si="51"/>
        <v>1.1547178784051372E-3</v>
      </c>
    </row>
    <row r="137" spans="1:14" x14ac:dyDescent="0.25">
      <c r="A137" s="41" t="str">
        <f>A122</f>
        <v>Otros Pasivos Corrientes</v>
      </c>
      <c r="B137" s="42">
        <f>+B122/B25</f>
        <v>1.7085614072381357E-2</v>
      </c>
      <c r="C137" s="42">
        <f>+C122/C25</f>
        <v>4.9290137759615792E-3</v>
      </c>
      <c r="D137" s="204">
        <f>+D122/D25</f>
        <v>8.7569508297210916E-3</v>
      </c>
      <c r="E137" s="248">
        <f t="shared" si="52"/>
        <v>1.025719289268801E-2</v>
      </c>
      <c r="F137" s="248">
        <v>0.02</v>
      </c>
      <c r="G137" s="248">
        <v>0.02</v>
      </c>
      <c r="H137" s="248">
        <v>0.02</v>
      </c>
      <c r="I137" s="248">
        <v>0.02</v>
      </c>
      <c r="J137" s="248">
        <v>0.02</v>
      </c>
      <c r="K137" s="248">
        <v>0.02</v>
      </c>
      <c r="L137" s="248">
        <v>0.02</v>
      </c>
      <c r="M137" s="248">
        <f t="shared" si="51"/>
        <v>0.02</v>
      </c>
      <c r="N137" s="248">
        <f t="shared" si="51"/>
        <v>0.02</v>
      </c>
    </row>
    <row r="138" spans="1:14" x14ac:dyDescent="0.25">
      <c r="A138" s="5"/>
      <c r="B138" s="5"/>
      <c r="C138" s="6"/>
      <c r="D138" s="6"/>
      <c r="E138" s="207"/>
    </row>
    <row r="139" spans="1:14" x14ac:dyDescent="0.25">
      <c r="A139" s="228" t="str">
        <f>A126</f>
        <v>CAPITAL DE TRABAJO OPERATIVO</v>
      </c>
      <c r="B139" s="229">
        <f>IF($B$25=0,0,B126/$B$25)</f>
        <v>2.9149173619599299E-2</v>
      </c>
      <c r="C139" s="229">
        <f t="shared" ref="C139:D139" si="53">IF($B$25=0,0,C126/$B$25)</f>
        <v>4.320561194664399E-2</v>
      </c>
      <c r="D139" s="230">
        <f t="shared" si="53"/>
        <v>5.0406547271084658E-2</v>
      </c>
      <c r="E139" s="230">
        <f>AVERAGE(B139:D139)</f>
        <v>4.0920444279109319E-2</v>
      </c>
      <c r="F139" s="230">
        <f t="shared" ref="F139:N139" si="54">AVERAGE(C139:E139)</f>
        <v>4.4844201165612656E-2</v>
      </c>
      <c r="G139" s="230">
        <f t="shared" si="54"/>
        <v>4.5390397571935547E-2</v>
      </c>
      <c r="H139" s="230">
        <f t="shared" si="54"/>
        <v>4.3718347672219181E-2</v>
      </c>
      <c r="I139" s="230">
        <f t="shared" si="54"/>
        <v>4.4650982136589128E-2</v>
      </c>
      <c r="J139" s="230">
        <f t="shared" si="54"/>
        <v>4.458657579358128E-2</v>
      </c>
      <c r="K139" s="230">
        <f t="shared" si="54"/>
        <v>4.4318635200796534E-2</v>
      </c>
      <c r="L139" s="230">
        <f t="shared" si="54"/>
        <v>4.4518731043655647E-2</v>
      </c>
      <c r="M139" s="230">
        <f t="shared" si="54"/>
        <v>4.4474647346011149E-2</v>
      </c>
      <c r="N139" s="230">
        <f t="shared" si="54"/>
        <v>4.4437337863487775E-2</v>
      </c>
    </row>
    <row r="140" spans="1:14" x14ac:dyDescent="0.25">
      <c r="A140" s="5"/>
      <c r="B140" s="5"/>
      <c r="C140" s="6"/>
      <c r="D140" s="6"/>
      <c r="E140" s="207"/>
    </row>
    <row r="141" spans="1:14" x14ac:dyDescent="0.25">
      <c r="A141" s="5"/>
      <c r="B141" s="5"/>
      <c r="C141" s="6"/>
      <c r="D141" s="6"/>
      <c r="E141" s="207"/>
    </row>
    <row r="142" spans="1:14" x14ac:dyDescent="0.25">
      <c r="A142" s="222" t="s">
        <v>109</v>
      </c>
      <c r="B142" s="231"/>
      <c r="C142" s="225"/>
      <c r="D142" s="226"/>
      <c r="E142" s="207"/>
    </row>
    <row r="143" spans="1:14" x14ac:dyDescent="0.25">
      <c r="A143" s="43" t="s">
        <v>110</v>
      </c>
      <c r="B143" s="26"/>
      <c r="C143" s="26">
        <f>C77-B77</f>
        <v>1089</v>
      </c>
      <c r="D143" s="202">
        <f>D77-C77</f>
        <v>733</v>
      </c>
      <c r="E143" s="202">
        <f t="shared" ref="E143:N143" si="55">E77-D77</f>
        <v>0</v>
      </c>
      <c r="F143" s="202">
        <f t="shared" si="55"/>
        <v>800</v>
      </c>
      <c r="G143" s="202">
        <f t="shared" si="55"/>
        <v>-100</v>
      </c>
      <c r="H143" s="202">
        <f t="shared" si="55"/>
        <v>0</v>
      </c>
      <c r="I143" s="202">
        <f t="shared" si="55"/>
        <v>500</v>
      </c>
      <c r="J143" s="202">
        <f t="shared" si="55"/>
        <v>0</v>
      </c>
      <c r="K143" s="202">
        <f t="shared" si="55"/>
        <v>0</v>
      </c>
      <c r="L143" s="202">
        <f t="shared" si="55"/>
        <v>0</v>
      </c>
      <c r="M143" s="202">
        <f t="shared" si="55"/>
        <v>0</v>
      </c>
      <c r="N143" s="202">
        <f t="shared" si="55"/>
        <v>0</v>
      </c>
    </row>
    <row r="144" spans="1:14" x14ac:dyDescent="0.25">
      <c r="A144" s="43" t="s">
        <v>111</v>
      </c>
      <c r="B144" s="26">
        <f>B35</f>
        <v>23</v>
      </c>
      <c r="C144" s="26">
        <f>C35</f>
        <v>56</v>
      </c>
      <c r="D144" s="202">
        <f>D35</f>
        <v>89</v>
      </c>
      <c r="E144" s="202">
        <f t="shared" ref="E144:N144" si="56">E35</f>
        <v>89</v>
      </c>
      <c r="F144" s="202">
        <f t="shared" si="56"/>
        <v>89</v>
      </c>
      <c r="G144" s="202">
        <f t="shared" si="56"/>
        <v>89</v>
      </c>
      <c r="H144" s="202">
        <f t="shared" si="56"/>
        <v>89</v>
      </c>
      <c r="I144" s="202">
        <f t="shared" si="56"/>
        <v>89</v>
      </c>
      <c r="J144" s="202">
        <f t="shared" si="56"/>
        <v>89</v>
      </c>
      <c r="K144" s="202">
        <f t="shared" si="56"/>
        <v>89</v>
      </c>
      <c r="L144" s="202">
        <f t="shared" si="56"/>
        <v>89</v>
      </c>
      <c r="M144" s="202">
        <f t="shared" si="56"/>
        <v>89</v>
      </c>
      <c r="N144" s="202">
        <f t="shared" si="56"/>
        <v>89</v>
      </c>
    </row>
    <row r="145" spans="1:14" x14ac:dyDescent="0.25">
      <c r="A145" s="43" t="s">
        <v>112</v>
      </c>
      <c r="B145" s="26">
        <f>-(B143+B144+B146)</f>
        <v>-23</v>
      </c>
      <c r="C145" s="26">
        <f>-(C143+C144+C146)</f>
        <v>-1145</v>
      </c>
      <c r="D145" s="202">
        <f>-(D143+D144+D146)</f>
        <v>-822</v>
      </c>
      <c r="E145" s="202">
        <f t="shared" ref="E145:N145" si="57">-(E143+E144+E146)</f>
        <v>-89</v>
      </c>
      <c r="F145" s="202">
        <f t="shared" si="57"/>
        <v>-889</v>
      </c>
      <c r="G145" s="202">
        <f t="shared" si="57"/>
        <v>11</v>
      </c>
      <c r="H145" s="202">
        <f t="shared" si="57"/>
        <v>-89</v>
      </c>
      <c r="I145" s="202">
        <f t="shared" si="57"/>
        <v>-589</v>
      </c>
      <c r="J145" s="202">
        <f t="shared" si="57"/>
        <v>-89</v>
      </c>
      <c r="K145" s="202">
        <f t="shared" si="57"/>
        <v>-89</v>
      </c>
      <c r="L145" s="202">
        <f t="shared" si="57"/>
        <v>-89</v>
      </c>
      <c r="M145" s="202">
        <f t="shared" si="57"/>
        <v>-89</v>
      </c>
      <c r="N145" s="202">
        <f t="shared" si="57"/>
        <v>-89</v>
      </c>
    </row>
    <row r="146" spans="1:14" x14ac:dyDescent="0.25">
      <c r="A146" s="43" t="s">
        <v>113</v>
      </c>
      <c r="B146" s="1">
        <v>0</v>
      </c>
      <c r="C146" s="1"/>
      <c r="D146" s="205"/>
      <c r="E146" s="210"/>
      <c r="F146" s="210"/>
      <c r="G146" s="210"/>
      <c r="H146" s="210"/>
      <c r="I146" s="210"/>
      <c r="J146" s="210"/>
      <c r="K146" s="210"/>
      <c r="L146" s="210"/>
      <c r="M146" s="210"/>
      <c r="N146" s="210"/>
    </row>
    <row r="147" spans="1:14" x14ac:dyDescent="0.25">
      <c r="A147" s="44" t="s">
        <v>114</v>
      </c>
      <c r="B147" s="1">
        <v>0</v>
      </c>
      <c r="C147" s="1"/>
      <c r="D147" s="205"/>
      <c r="E147" s="210"/>
      <c r="F147" s="210">
        <v>-100</v>
      </c>
      <c r="G147" s="210"/>
      <c r="H147" s="210"/>
      <c r="I147" s="210"/>
      <c r="J147" s="210"/>
      <c r="K147" s="210"/>
      <c r="L147" s="210"/>
      <c r="M147" s="210"/>
      <c r="N147" s="210"/>
    </row>
    <row r="148" spans="1:14" x14ac:dyDescent="0.25">
      <c r="A148" s="44" t="s">
        <v>115</v>
      </c>
      <c r="B148" s="1">
        <v>0</v>
      </c>
      <c r="C148" s="1"/>
      <c r="D148" s="205"/>
      <c r="E148" s="210"/>
      <c r="F148" s="210">
        <v>-700</v>
      </c>
      <c r="G148" s="210"/>
      <c r="H148" s="210"/>
      <c r="I148" s="210">
        <v>-500</v>
      </c>
      <c r="J148" s="210"/>
      <c r="K148" s="210"/>
      <c r="L148" s="210"/>
      <c r="M148" s="210"/>
      <c r="N148" s="210"/>
    </row>
    <row r="149" spans="1:14" x14ac:dyDescent="0.25">
      <c r="A149" s="44" t="s">
        <v>116</v>
      </c>
      <c r="B149" s="1">
        <v>0</v>
      </c>
      <c r="C149" s="1"/>
      <c r="D149" s="205"/>
      <c r="E149" s="210"/>
      <c r="F149" s="210"/>
      <c r="G149" s="210"/>
      <c r="H149" s="210"/>
      <c r="I149" s="210"/>
      <c r="J149" s="210"/>
      <c r="K149" s="210"/>
      <c r="L149" s="210"/>
      <c r="M149" s="210"/>
      <c r="N149" s="210"/>
    </row>
    <row r="150" spans="1:14" x14ac:dyDescent="0.25">
      <c r="A150" s="44" t="s">
        <v>117</v>
      </c>
      <c r="B150" s="26">
        <f>+B146-SUM(B147:B149)</f>
        <v>0</v>
      </c>
      <c r="C150" s="26">
        <f>+C146-SUM(C147:C149)</f>
        <v>0</v>
      </c>
      <c r="D150" s="202">
        <f>+D146-SUM(D147:D149)</f>
        <v>0</v>
      </c>
      <c r="E150" s="202">
        <f t="shared" ref="E150:N150" si="58">+E146-SUM(E147:E149)</f>
        <v>0</v>
      </c>
      <c r="F150" s="202">
        <f t="shared" si="58"/>
        <v>800</v>
      </c>
      <c r="G150" s="202">
        <f t="shared" si="58"/>
        <v>0</v>
      </c>
      <c r="H150" s="202">
        <f t="shared" si="58"/>
        <v>0</v>
      </c>
      <c r="I150" s="202">
        <f t="shared" si="58"/>
        <v>500</v>
      </c>
      <c r="J150" s="202">
        <f t="shared" si="58"/>
        <v>0</v>
      </c>
      <c r="K150" s="202">
        <f t="shared" si="58"/>
        <v>0</v>
      </c>
      <c r="L150" s="202">
        <f t="shared" si="58"/>
        <v>0</v>
      </c>
      <c r="M150" s="202">
        <f t="shared" si="58"/>
        <v>0</v>
      </c>
      <c r="N150" s="202">
        <f t="shared" si="58"/>
        <v>0</v>
      </c>
    </row>
    <row r="151" spans="1:14" x14ac:dyDescent="0.25">
      <c r="A151" s="45" t="s">
        <v>118</v>
      </c>
      <c r="B151" s="26">
        <f t="shared" ref="B151:N151" si="59">B143+B144+B145+B146</f>
        <v>0</v>
      </c>
      <c r="C151" s="26">
        <f t="shared" si="59"/>
        <v>0</v>
      </c>
      <c r="D151" s="202">
        <f t="shared" si="59"/>
        <v>0</v>
      </c>
      <c r="E151" s="202">
        <f t="shared" si="59"/>
        <v>0</v>
      </c>
      <c r="F151" s="202">
        <f t="shared" si="59"/>
        <v>0</v>
      </c>
      <c r="G151" s="202">
        <f t="shared" si="59"/>
        <v>0</v>
      </c>
      <c r="H151" s="202">
        <f t="shared" si="59"/>
        <v>0</v>
      </c>
      <c r="I151" s="202">
        <f t="shared" si="59"/>
        <v>0</v>
      </c>
      <c r="J151" s="202">
        <f t="shared" si="59"/>
        <v>0</v>
      </c>
      <c r="K151" s="202">
        <f t="shared" si="59"/>
        <v>0</v>
      </c>
      <c r="L151" s="202">
        <f t="shared" si="59"/>
        <v>0</v>
      </c>
      <c r="M151" s="202">
        <f t="shared" si="59"/>
        <v>0</v>
      </c>
      <c r="N151" s="202">
        <f t="shared" si="59"/>
        <v>0</v>
      </c>
    </row>
    <row r="152" spans="1:14" x14ac:dyDescent="0.25">
      <c r="A152" s="45" t="s">
        <v>119</v>
      </c>
      <c r="B152" s="46">
        <f>IF(B25=0,0,-B146/B25)</f>
        <v>0</v>
      </c>
      <c r="C152" s="46">
        <f>IF(C25=0,0,-C146/C25)</f>
        <v>0</v>
      </c>
      <c r="D152" s="206">
        <f>IF(D25=0,0,-D146/D25)</f>
        <v>0</v>
      </c>
      <c r="E152" s="206">
        <f t="shared" ref="E152:N152" si="60">IF(E25=0,0,-E146/E25)</f>
        <v>0</v>
      </c>
      <c r="F152" s="206">
        <f t="shared" si="60"/>
        <v>0</v>
      </c>
      <c r="G152" s="206">
        <f t="shared" si="60"/>
        <v>0</v>
      </c>
      <c r="H152" s="206">
        <f t="shared" si="60"/>
        <v>0</v>
      </c>
      <c r="I152" s="206">
        <f t="shared" si="60"/>
        <v>0</v>
      </c>
      <c r="J152" s="206">
        <f t="shared" si="60"/>
        <v>0</v>
      </c>
      <c r="K152" s="206">
        <f t="shared" si="60"/>
        <v>0</v>
      </c>
      <c r="L152" s="206">
        <f t="shared" si="60"/>
        <v>0</v>
      </c>
      <c r="M152" s="206">
        <f t="shared" si="60"/>
        <v>0</v>
      </c>
      <c r="N152" s="206">
        <f t="shared" si="60"/>
        <v>0</v>
      </c>
    </row>
    <row r="153" spans="1:14" x14ac:dyDescent="0.25">
      <c r="A153" s="47" t="s">
        <v>120</v>
      </c>
      <c r="B153" s="46"/>
      <c r="C153" s="46">
        <f>IF((((B81+B80+C80+C81))/2)=0,0,+C144/(((B80+B81)+(C80+C81))/2))</f>
        <v>1.2526563024270215E-2</v>
      </c>
      <c r="D153" s="46">
        <f>IF((((C81+C80+D80+D81))/2)=0,0,+D144/(((C80+C81)+(D80+D81))/2))</f>
        <v>1.6609125688159001E-2</v>
      </c>
      <c r="E153" s="46">
        <f t="shared" ref="E153:N153" si="61">IF((((D81+D80+E80+E81))/2)=0,0,+E144/(((D80+D81)+(E80+E81))/2))</f>
        <v>1.5614035087719299E-2</v>
      </c>
      <c r="F153" s="46">
        <f t="shared" si="61"/>
        <v>1.4710743801652892E-2</v>
      </c>
      <c r="G153" s="46">
        <f t="shared" si="61"/>
        <v>1.390625E-2</v>
      </c>
      <c r="H153" s="46">
        <f t="shared" si="61"/>
        <v>1.390625E-2</v>
      </c>
      <c r="I153" s="46">
        <f t="shared" si="61"/>
        <v>1.3383458646616541E-2</v>
      </c>
      <c r="J153" s="46">
        <f t="shared" si="61"/>
        <v>1.2898550724637681E-2</v>
      </c>
      <c r="K153" s="46">
        <f t="shared" si="61"/>
        <v>1.2898550724637681E-2</v>
      </c>
      <c r="L153" s="46">
        <f t="shared" si="61"/>
        <v>1.2898550724637681E-2</v>
      </c>
      <c r="M153" s="46">
        <f t="shared" si="61"/>
        <v>1.2898550724637681E-2</v>
      </c>
      <c r="N153" s="46">
        <f t="shared" si="61"/>
        <v>1.2898550724637681E-2</v>
      </c>
    </row>
    <row r="154" spans="1:14" x14ac:dyDescent="0.25">
      <c r="A154" s="48" t="s">
        <v>121</v>
      </c>
      <c r="B154" s="26">
        <f>+B145+B146+B147+B148+B149</f>
        <v>-23</v>
      </c>
      <c r="C154" s="26">
        <f>+C145+C146+C147+C148+C149</f>
        <v>-1145</v>
      </c>
      <c r="D154" s="202">
        <f>+D145+D146+D147+D148+D149</f>
        <v>-822</v>
      </c>
      <c r="E154" s="202">
        <f t="shared" ref="E154:N154" si="62">+E145+E146+E147+E148+E149</f>
        <v>-89</v>
      </c>
      <c r="F154" s="202">
        <f t="shared" si="62"/>
        <v>-1689</v>
      </c>
      <c r="G154" s="202">
        <f t="shared" si="62"/>
        <v>11</v>
      </c>
      <c r="H154" s="202">
        <f t="shared" si="62"/>
        <v>-89</v>
      </c>
      <c r="I154" s="202">
        <f t="shared" si="62"/>
        <v>-1089</v>
      </c>
      <c r="J154" s="202">
        <f t="shared" si="62"/>
        <v>-89</v>
      </c>
      <c r="K154" s="202">
        <f t="shared" si="62"/>
        <v>-89</v>
      </c>
      <c r="L154" s="202">
        <f t="shared" si="62"/>
        <v>-89</v>
      </c>
      <c r="M154" s="202">
        <f t="shared" si="62"/>
        <v>-89</v>
      </c>
      <c r="N154" s="202">
        <f t="shared" si="62"/>
        <v>-89</v>
      </c>
    </row>
    <row r="155" spans="1:14" x14ac:dyDescent="0.25">
      <c r="A155" s="5"/>
      <c r="B155" s="5"/>
      <c r="C155" s="6"/>
      <c r="D155" s="6"/>
      <c r="E155" s="207"/>
    </row>
    <row r="156" spans="1:14" x14ac:dyDescent="0.25">
      <c r="A156" s="222" t="s">
        <v>122</v>
      </c>
      <c r="B156" s="231"/>
      <c r="C156" s="225"/>
      <c r="D156" s="226"/>
      <c r="E156" s="207"/>
    </row>
    <row r="157" spans="1:14" x14ac:dyDescent="0.25">
      <c r="A157" s="45" t="s">
        <v>123</v>
      </c>
      <c r="B157" s="26"/>
      <c r="C157" s="26">
        <f>+B107-C107</f>
        <v>0</v>
      </c>
      <c r="D157" s="202">
        <f>+C107-D107</f>
        <v>0</v>
      </c>
      <c r="E157" s="202">
        <f t="shared" ref="E157:N157" si="63">+D107-E107</f>
        <v>161.94799999999998</v>
      </c>
      <c r="F157" s="202">
        <f t="shared" si="63"/>
        <v>0.30800000000000693</v>
      </c>
      <c r="G157" s="202">
        <f t="shared" si="63"/>
        <v>-0.25600000000000023</v>
      </c>
      <c r="H157" s="202">
        <f t="shared" si="63"/>
        <v>-5.2000000000006708E-2</v>
      </c>
      <c r="I157" s="202">
        <f t="shared" si="63"/>
        <v>0</v>
      </c>
      <c r="J157" s="202">
        <f t="shared" si="63"/>
        <v>0</v>
      </c>
      <c r="K157" s="202">
        <f t="shared" si="63"/>
        <v>0</v>
      </c>
      <c r="L157" s="202">
        <f t="shared" si="63"/>
        <v>0</v>
      </c>
      <c r="M157" s="202">
        <f t="shared" si="63"/>
        <v>0</v>
      </c>
      <c r="N157" s="202">
        <f t="shared" si="63"/>
        <v>0</v>
      </c>
    </row>
    <row r="158" spans="1:14" x14ac:dyDescent="0.25">
      <c r="A158" s="49" t="s">
        <v>124</v>
      </c>
      <c r="B158" s="1">
        <v>0</v>
      </c>
      <c r="C158" s="1">
        <v>0</v>
      </c>
      <c r="D158" s="205">
        <v>0</v>
      </c>
      <c r="E158" s="210">
        <v>0</v>
      </c>
      <c r="F158" s="210">
        <v>0</v>
      </c>
      <c r="G158" s="210">
        <v>0</v>
      </c>
      <c r="H158" s="210">
        <v>0</v>
      </c>
      <c r="I158" s="210">
        <v>0</v>
      </c>
      <c r="J158" s="210">
        <v>0</v>
      </c>
      <c r="K158" s="210">
        <v>0</v>
      </c>
      <c r="L158" s="210">
        <v>0</v>
      </c>
      <c r="M158" s="210">
        <v>0</v>
      </c>
      <c r="N158" s="210">
        <v>0</v>
      </c>
    </row>
    <row r="159" spans="1:14" x14ac:dyDescent="0.25">
      <c r="A159" s="45" t="s">
        <v>118</v>
      </c>
      <c r="B159" s="26"/>
      <c r="C159" s="26">
        <f t="shared" ref="C159:N159" si="64">+SUM(C157:C158)</f>
        <v>0</v>
      </c>
      <c r="D159" s="202">
        <f t="shared" si="64"/>
        <v>0</v>
      </c>
      <c r="E159" s="202">
        <f t="shared" si="64"/>
        <v>161.94799999999998</v>
      </c>
      <c r="F159" s="202">
        <f t="shared" si="64"/>
        <v>0.30800000000000693</v>
      </c>
      <c r="G159" s="202">
        <f t="shared" si="64"/>
        <v>-0.25600000000000023</v>
      </c>
      <c r="H159" s="202">
        <f t="shared" si="64"/>
        <v>-5.2000000000006708E-2</v>
      </c>
      <c r="I159" s="202">
        <f t="shared" si="64"/>
        <v>0</v>
      </c>
      <c r="J159" s="202">
        <f t="shared" si="64"/>
        <v>0</v>
      </c>
      <c r="K159" s="202">
        <f t="shared" si="64"/>
        <v>0</v>
      </c>
      <c r="L159" s="202">
        <f t="shared" si="64"/>
        <v>0</v>
      </c>
      <c r="M159" s="202">
        <f t="shared" si="64"/>
        <v>0</v>
      </c>
      <c r="N159" s="202">
        <f t="shared" si="64"/>
        <v>0</v>
      </c>
    </row>
    <row r="160" spans="1:14" x14ac:dyDescent="0.25">
      <c r="A160" s="50"/>
      <c r="B160" s="23"/>
      <c r="C160" s="21"/>
      <c r="D160" s="21"/>
      <c r="E160" s="207"/>
    </row>
    <row r="161" spans="1:14" x14ac:dyDescent="0.25">
      <c r="A161" s="222" t="s">
        <v>125</v>
      </c>
      <c r="B161" s="231" t="s">
        <v>126</v>
      </c>
      <c r="C161" s="225"/>
      <c r="D161" s="226"/>
      <c r="E161" s="207"/>
    </row>
    <row r="162" spans="1:14" x14ac:dyDescent="0.25">
      <c r="A162" s="45" t="s">
        <v>127</v>
      </c>
      <c r="B162" s="26"/>
      <c r="C162" s="26">
        <f>+C87-B87</f>
        <v>0</v>
      </c>
      <c r="D162" s="202">
        <f>+D87-C87</f>
        <v>0</v>
      </c>
      <c r="E162" s="202">
        <f t="shared" ref="E162:N162" si="65">+E87-D87</f>
        <v>0</v>
      </c>
      <c r="F162" s="202">
        <f t="shared" si="65"/>
        <v>0</v>
      </c>
      <c r="G162" s="202">
        <f t="shared" si="65"/>
        <v>0</v>
      </c>
      <c r="H162" s="202">
        <f t="shared" si="65"/>
        <v>0</v>
      </c>
      <c r="I162" s="202">
        <f t="shared" si="65"/>
        <v>0</v>
      </c>
      <c r="J162" s="202">
        <f t="shared" si="65"/>
        <v>0</v>
      </c>
      <c r="K162" s="202">
        <f t="shared" si="65"/>
        <v>0</v>
      </c>
      <c r="L162" s="202">
        <f t="shared" si="65"/>
        <v>0</v>
      </c>
      <c r="M162" s="202">
        <f t="shared" si="65"/>
        <v>0</v>
      </c>
      <c r="N162" s="202">
        <f t="shared" si="65"/>
        <v>0</v>
      </c>
    </row>
    <row r="163" spans="1:14" x14ac:dyDescent="0.25">
      <c r="A163" s="45" t="s">
        <v>128</v>
      </c>
      <c r="B163" s="26"/>
      <c r="C163" s="26">
        <f>+B108-C108</f>
        <v>0</v>
      </c>
      <c r="D163" s="202">
        <f>+C108-D108</f>
        <v>0</v>
      </c>
      <c r="E163" s="202">
        <f t="shared" ref="E163:N163" si="66">+D108-E108</f>
        <v>0</v>
      </c>
      <c r="F163" s="202">
        <f t="shared" si="66"/>
        <v>0</v>
      </c>
      <c r="G163" s="202">
        <f t="shared" si="66"/>
        <v>0</v>
      </c>
      <c r="H163" s="202">
        <f t="shared" si="66"/>
        <v>0</v>
      </c>
      <c r="I163" s="202">
        <f t="shared" si="66"/>
        <v>0</v>
      </c>
      <c r="J163" s="202">
        <f t="shared" si="66"/>
        <v>0</v>
      </c>
      <c r="K163" s="202">
        <f t="shared" si="66"/>
        <v>0</v>
      </c>
      <c r="L163" s="202">
        <f t="shared" si="66"/>
        <v>0</v>
      </c>
      <c r="M163" s="202">
        <f t="shared" si="66"/>
        <v>0</v>
      </c>
      <c r="N163" s="202">
        <f t="shared" si="66"/>
        <v>0</v>
      </c>
    </row>
    <row r="164" spans="1:14" x14ac:dyDescent="0.25">
      <c r="A164" s="45" t="s">
        <v>118</v>
      </c>
      <c r="B164" s="26"/>
      <c r="C164" s="26">
        <f>+SUM(C162:C163)</f>
        <v>0</v>
      </c>
      <c r="D164" s="202">
        <f t="shared" ref="D164:N164" si="67">+SUM(D162:D163)</f>
        <v>0</v>
      </c>
      <c r="E164" s="202">
        <f t="shared" si="67"/>
        <v>0</v>
      </c>
      <c r="F164" s="202">
        <f t="shared" si="67"/>
        <v>0</v>
      </c>
      <c r="G164" s="202">
        <f t="shared" si="67"/>
        <v>0</v>
      </c>
      <c r="H164" s="202">
        <f t="shared" si="67"/>
        <v>0</v>
      </c>
      <c r="I164" s="202">
        <f t="shared" si="67"/>
        <v>0</v>
      </c>
      <c r="J164" s="202">
        <f t="shared" si="67"/>
        <v>0</v>
      </c>
      <c r="K164" s="202">
        <f t="shared" si="67"/>
        <v>0</v>
      </c>
      <c r="L164" s="202">
        <f t="shared" si="67"/>
        <v>0</v>
      </c>
      <c r="M164" s="202">
        <f t="shared" si="67"/>
        <v>0</v>
      </c>
      <c r="N164" s="202">
        <f t="shared" si="67"/>
        <v>0</v>
      </c>
    </row>
    <row r="165" spans="1:14" x14ac:dyDescent="0.25">
      <c r="A165" s="50"/>
      <c r="B165" s="23"/>
      <c r="C165" s="21"/>
      <c r="D165" s="21"/>
    </row>
    <row r="166" spans="1:14" x14ac:dyDescent="0.25">
      <c r="A166" s="5"/>
      <c r="B166" s="5"/>
      <c r="C166" s="5"/>
      <c r="D166" s="5"/>
    </row>
  </sheetData>
  <sheetProtection algorithmName="SHA-512" hashValue="vXMChFLWom1ZKRyiR01nH18s+5EyTtqHxK8J86AnhVxOfq2BeFkUik37mklV0orTzShT1EldEQoY8kfXk7CMnQ==" saltValue="PjYmjBvOB70BfjkTdoIQVQ==" spinCount="100000" sheet="1" objects="1" scenarios="1" selectLockedCells="1" selectUnlockedCells="1"/>
  <dataConsolidate>
    <dataRefs count="1">
      <dataRef ref="E7" sheet="CIFRAS"/>
    </dataRefs>
  </dataConsolidate>
  <mergeCells count="4">
    <mergeCell ref="A68:D68"/>
    <mergeCell ref="B1:D1"/>
    <mergeCell ref="E1:N1"/>
    <mergeCell ref="E68:N68"/>
  </mergeCells>
  <dataValidations count="2">
    <dataValidation allowBlank="1" showErrorMessage="1" prompt="Ya seleccionó en la celda F2: &quot; 1 para miles&quot; y &quot; 2 para millones&quot; ??" sqref="B79:N79 B92:N92"/>
    <dataValidation type="date" allowBlank="1" showInputMessage="1" showErrorMessage="1" sqref="D5">
      <formula1>36526</formula1>
      <formula2>44196</formula2>
    </dataValidation>
  </dataValidations>
  <pageMargins left="0.7" right="0.7" top="0.75" bottom="0.75" header="0.3" footer="0.3"/>
  <pageSetup scale="75" orientation="portrait" r:id="rId1"/>
  <rowBreaks count="2" manualBreakCount="2">
    <brk id="67" max="3" man="1"/>
    <brk id="113" max="3" man="1"/>
  </rowBreaks>
  <colBreaks count="1" manualBreakCount="1">
    <brk id="4" max="163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topLeftCell="A40" zoomScaleNormal="100" workbookViewId="0">
      <selection activeCell="B58" sqref="B58"/>
    </sheetView>
  </sheetViews>
  <sheetFormatPr baseColWidth="10" defaultColWidth="11.42578125" defaultRowHeight="15" x14ac:dyDescent="0.25"/>
  <cols>
    <col min="1" max="1" width="26.7109375" customWidth="1"/>
    <col min="4" max="4" width="3.42578125" customWidth="1"/>
    <col min="5" max="5" width="7.7109375" customWidth="1"/>
  </cols>
  <sheetData>
    <row r="1" spans="1:18" ht="24" thickBot="1" x14ac:dyDescent="0.4">
      <c r="A1" s="243" t="s">
        <v>129</v>
      </c>
      <c r="B1" s="244"/>
      <c r="C1" s="295" t="str">
        <f>+CIFRAS!B1</f>
        <v>INDUSTRIAS 123</v>
      </c>
      <c r="D1" s="295"/>
      <c r="E1" s="295"/>
      <c r="F1" s="295"/>
      <c r="G1" s="295"/>
      <c r="H1" s="296"/>
      <c r="I1" s="284" t="s">
        <v>22</v>
      </c>
      <c r="J1" s="285"/>
      <c r="K1" s="285"/>
      <c r="L1" s="285"/>
      <c r="M1" s="285"/>
      <c r="N1" s="285"/>
      <c r="O1" s="285"/>
      <c r="P1" s="285"/>
      <c r="Q1" s="285"/>
      <c r="R1" s="285"/>
    </row>
    <row r="2" spans="1:18" x14ac:dyDescent="0.25">
      <c r="A2" s="72"/>
      <c r="B2" s="73"/>
      <c r="C2" s="73"/>
      <c r="D2" s="74"/>
      <c r="E2" s="75"/>
      <c r="F2" s="76"/>
      <c r="G2" s="122"/>
      <c r="H2" s="175"/>
      <c r="I2" s="234"/>
      <c r="J2" s="234"/>
      <c r="K2" s="234"/>
      <c r="L2" s="234"/>
      <c r="M2" s="234"/>
      <c r="N2" s="234"/>
      <c r="O2" s="234"/>
      <c r="P2" s="234"/>
      <c r="Q2" s="234"/>
      <c r="R2" s="234"/>
    </row>
    <row r="3" spans="1:18" ht="15.75" thickBot="1" x14ac:dyDescent="0.3">
      <c r="A3" s="72" t="s">
        <v>130</v>
      </c>
      <c r="B3" s="120"/>
      <c r="C3" s="120"/>
      <c r="D3" s="297"/>
      <c r="E3" s="297"/>
      <c r="F3" s="159">
        <f>+CIFRAS!B5</f>
        <v>2014</v>
      </c>
      <c r="G3" s="159">
        <f>+CIFRAS!C5</f>
        <v>2015</v>
      </c>
      <c r="H3" s="176">
        <f>+CIFRAS!D5</f>
        <v>42673</v>
      </c>
      <c r="I3" s="235">
        <v>2016</v>
      </c>
      <c r="J3" s="235">
        <v>2017</v>
      </c>
      <c r="K3" s="235">
        <v>2018</v>
      </c>
      <c r="L3" s="235">
        <v>2019</v>
      </c>
      <c r="M3" s="235">
        <v>2020</v>
      </c>
      <c r="N3" s="235">
        <v>2021</v>
      </c>
      <c r="O3" s="235">
        <v>2022</v>
      </c>
      <c r="P3" s="235">
        <v>2023</v>
      </c>
      <c r="Q3" s="235">
        <v>2024</v>
      </c>
      <c r="R3" s="235">
        <v>2025</v>
      </c>
    </row>
    <row r="4" spans="1:18" x14ac:dyDescent="0.25">
      <c r="A4" s="137" t="s">
        <v>131</v>
      </c>
      <c r="B4" s="138"/>
      <c r="C4" s="138"/>
      <c r="D4" s="121"/>
      <c r="E4" s="121"/>
      <c r="F4" s="139">
        <f>+CIFRAS!B38+CIFRAS!B36+CIFRAS!B35</f>
        <v>3304</v>
      </c>
      <c r="G4" s="139">
        <f>+CIFRAS!C38+CIFRAS!C36+CIFRAS!C35</f>
        <v>4154</v>
      </c>
      <c r="H4" s="158">
        <f>+CIFRAS!D38+CIFRAS!D36+CIFRAS!D35</f>
        <v>6361</v>
      </c>
      <c r="I4" s="236">
        <f>+CIFRAS!E38+CIFRAS!E36+CIFRAS!E35</f>
        <v>6897.3098040000004</v>
      </c>
      <c r="J4" s="236">
        <f>+CIFRAS!F38+CIFRAS!F36+CIFRAS!F35</f>
        <v>4525.2858409919991</v>
      </c>
      <c r="K4" s="236">
        <f>+CIFRAS!G38+CIFRAS!G36+CIFRAS!G35</f>
        <v>4914.4604233173068</v>
      </c>
      <c r="L4" s="236">
        <f>+CIFRAS!H38+CIFRAS!H36+CIFRAS!H35</f>
        <v>5337.1040197225993</v>
      </c>
      <c r="M4" s="236">
        <f>+CIFRAS!I38+CIFRAS!I36+CIFRAS!I35</f>
        <v>5796.0949654187425</v>
      </c>
      <c r="N4" s="236">
        <f>+CIFRAS!J38+CIFRAS!J36+CIFRAS!J35</f>
        <v>6294.5591324447523</v>
      </c>
      <c r="O4" s="236">
        <f>+CIFRAS!K38+CIFRAS!K36+CIFRAS!K35</f>
        <v>6835.8912178349965</v>
      </c>
      <c r="P4" s="236">
        <f>+CIFRAS!L38+CIFRAS!L36+CIFRAS!L35</f>
        <v>7423.7778625688115</v>
      </c>
      <c r="Q4" s="236">
        <f>+CIFRAS!M38+CIFRAS!M36+CIFRAS!M35</f>
        <v>8062.2227587497255</v>
      </c>
      <c r="R4" s="236">
        <f>+CIFRAS!N38+CIFRAS!N36+CIFRAS!N35</f>
        <v>8755.5739160022094</v>
      </c>
    </row>
    <row r="5" spans="1:18" x14ac:dyDescent="0.25">
      <c r="A5" s="298" t="s">
        <v>132</v>
      </c>
      <c r="B5" s="299"/>
      <c r="C5" s="115"/>
      <c r="D5" s="122"/>
      <c r="E5" s="122"/>
      <c r="F5" s="84">
        <f>+F4/CIFRAS!B25</f>
        <v>8.7792953180634528E-2</v>
      </c>
      <c r="G5" s="84">
        <f>+G4/CIFRAS!C25</f>
        <v>8.75005266040359E-2</v>
      </c>
      <c r="H5" s="123">
        <f>+H4/CIFRAS!D25</f>
        <v>0.13925741056963964</v>
      </c>
      <c r="I5" s="237">
        <f>+I4/CIFRAS!E25</f>
        <v>0.13904098252988312</v>
      </c>
      <c r="J5" s="237">
        <f>+J4/CIFRAS!F25</f>
        <v>8.3999999999999991E-2</v>
      </c>
      <c r="K5" s="237">
        <f>+K4/CIFRAS!G25</f>
        <v>8.3999999999999922E-2</v>
      </c>
      <c r="L5" s="237">
        <f>+L4/CIFRAS!H25</f>
        <v>8.3999999999999991E-2</v>
      </c>
      <c r="M5" s="237">
        <f>+M4/CIFRAS!I25</f>
        <v>8.3999999999999991E-2</v>
      </c>
      <c r="N5" s="237">
        <f>+N4/CIFRAS!J25</f>
        <v>8.3999999999999964E-2</v>
      </c>
      <c r="O5" s="237">
        <f>+O4/CIFRAS!K25</f>
        <v>8.3999999999999908E-2</v>
      </c>
      <c r="P5" s="237">
        <f>+P4/CIFRAS!L25</f>
        <v>8.3999999999999977E-2</v>
      </c>
      <c r="Q5" s="237">
        <f>+Q4/CIFRAS!M25</f>
        <v>8.3999999999999936E-2</v>
      </c>
      <c r="R5" s="237">
        <f>+R4/CIFRAS!N25</f>
        <v>8.4000000000000019E-2</v>
      </c>
    </row>
    <row r="6" spans="1:18" x14ac:dyDescent="0.25">
      <c r="A6" s="85"/>
      <c r="B6" s="80"/>
      <c r="C6" s="80"/>
      <c r="D6" s="122"/>
      <c r="E6" s="122"/>
      <c r="F6" s="86"/>
      <c r="G6" s="86"/>
      <c r="H6" s="124"/>
      <c r="I6" s="238"/>
      <c r="J6" s="238"/>
      <c r="K6" s="238"/>
      <c r="L6" s="238"/>
      <c r="M6" s="238"/>
      <c r="N6" s="238"/>
      <c r="O6" s="234"/>
      <c r="P6" s="234"/>
      <c r="Q6" s="234"/>
      <c r="R6" s="234"/>
    </row>
    <row r="7" spans="1:18" x14ac:dyDescent="0.25">
      <c r="A7" s="292" t="s">
        <v>133</v>
      </c>
      <c r="B7" s="293"/>
      <c r="C7" s="293"/>
      <c r="D7" s="293"/>
      <c r="E7" s="294"/>
      <c r="F7" s="165"/>
      <c r="G7" s="164">
        <f>+CIFRAS!B72-CIFRAS!C72</f>
        <v>249</v>
      </c>
      <c r="H7" s="177">
        <f>+CIFRAS!C72-CIFRAS!D72</f>
        <v>-190</v>
      </c>
      <c r="I7" s="253">
        <f>+CIFRAS!D72-CIFRAS!E72</f>
        <v>-140.70829743162813</v>
      </c>
      <c r="J7" s="239">
        <f>+CIFRAS!E72-CIFRAS!F72</f>
        <v>-1130.6071025683718</v>
      </c>
      <c r="K7" s="239">
        <f>+CIFRAS!F72-CIFRAS!G72</f>
        <v>-1984.2523200000001</v>
      </c>
      <c r="L7" s="239">
        <f>+CIFRAS!G72-CIFRAS!H72</f>
        <v>0</v>
      </c>
      <c r="M7" s="239">
        <f>+CIFRAS!H72-CIFRAS!I72</f>
        <v>0</v>
      </c>
      <c r="N7" s="239">
        <f>+CIFRAS!I72-CIFRAS!J72</f>
        <v>0</v>
      </c>
      <c r="O7" s="239">
        <f>+CIFRAS!J72-CIFRAS!K72</f>
        <v>0</v>
      </c>
      <c r="P7" s="239">
        <f>+CIFRAS!K72-CIFRAS!L72</f>
        <v>0</v>
      </c>
      <c r="Q7" s="239">
        <f>+CIFRAS!L72-CIFRAS!M72</f>
        <v>0</v>
      </c>
      <c r="R7" s="239">
        <f>+CIFRAS!M72-CIFRAS!N72</f>
        <v>0</v>
      </c>
    </row>
    <row r="8" spans="1:18" x14ac:dyDescent="0.25">
      <c r="A8" s="292" t="s">
        <v>134</v>
      </c>
      <c r="B8" s="293"/>
      <c r="C8" s="293"/>
      <c r="D8" s="293"/>
      <c r="E8" s="294"/>
      <c r="F8" s="165"/>
      <c r="G8" s="164">
        <f>+CIFRAS!B73-CIFRAS!C73</f>
        <v>-45</v>
      </c>
      <c r="H8" s="177">
        <f>+CIFRAS!C73-CIFRAS!D73</f>
        <v>-284</v>
      </c>
      <c r="I8" s="253">
        <f>+CIFRAS!D73-CIFRAS!E73</f>
        <v>125.9741815705014</v>
      </c>
      <c r="J8" s="239">
        <f>+CIFRAS!E73-CIFRAS!F73</f>
        <v>-19.320306130766085</v>
      </c>
      <c r="K8" s="239">
        <f>+CIFRAS!F73-CIFRAS!G73</f>
        <v>-51.614523102989779</v>
      </c>
      <c r="L8" s="239">
        <f>+CIFRAS!G73-CIFRAS!H73</f>
        <v>40.849784112248585</v>
      </c>
      <c r="M8" s="239">
        <f>+CIFRAS!H73-CIFRAS!I73</f>
        <v>-10.028348373835911</v>
      </c>
      <c r="N8" s="239">
        <f>+CIFRAS!I73-CIFRAS!J73</f>
        <v>-6.9310291215256257</v>
      </c>
      <c r="O8" s="239">
        <f>+CIFRAS!J73-CIFRAS!K73</f>
        <v>7.9634688722957208</v>
      </c>
      <c r="P8" s="239">
        <f>+CIFRAS!K73-CIFRAS!L73</f>
        <v>-2.9986362076886053</v>
      </c>
      <c r="Q8" s="239">
        <f>+CIFRAS!L73-CIFRAS!M73</f>
        <v>-0.65539881897279884</v>
      </c>
      <c r="R8" s="239">
        <f>+CIFRAS!M73-CIFRAS!N73</f>
        <v>1.4364779485446206</v>
      </c>
    </row>
    <row r="9" spans="1:18" x14ac:dyDescent="0.25">
      <c r="A9" s="292" t="s">
        <v>135</v>
      </c>
      <c r="B9" s="293"/>
      <c r="C9" s="293"/>
      <c r="D9" s="293"/>
      <c r="E9" s="294"/>
      <c r="F9" s="165"/>
      <c r="G9" s="164">
        <f>+CIFRAS!B74-CIFRAS!C74</f>
        <v>-57</v>
      </c>
      <c r="H9" s="177">
        <f>+CIFRAS!C74-CIFRAS!D74</f>
        <v>-24</v>
      </c>
      <c r="I9" s="253">
        <f>+CIFRAS!D74-CIFRAS!E74</f>
        <v>-95.253727504380549</v>
      </c>
      <c r="J9" s="239">
        <f>+CIFRAS!E74-CIFRAS!F74</f>
        <v>-462.93551249561938</v>
      </c>
      <c r="K9" s="239">
        <f>+CIFRAS!F74-CIFRAS!G74</f>
        <v>0</v>
      </c>
      <c r="L9" s="239">
        <f>+CIFRAS!G74-CIFRAS!H74</f>
        <v>0</v>
      </c>
      <c r="M9" s="239">
        <f>+CIFRAS!H74-CIFRAS!I74</f>
        <v>0</v>
      </c>
      <c r="N9" s="239">
        <f>+CIFRAS!I74-CIFRAS!J74</f>
        <v>0</v>
      </c>
      <c r="O9" s="239">
        <f>+CIFRAS!J74-CIFRAS!K74</f>
        <v>0</v>
      </c>
      <c r="P9" s="239">
        <f>+CIFRAS!K74-CIFRAS!L74</f>
        <v>0</v>
      </c>
      <c r="Q9" s="239">
        <f>+CIFRAS!L74-CIFRAS!M74</f>
        <v>0</v>
      </c>
      <c r="R9" s="239">
        <f>+CIFRAS!M74-CIFRAS!N74</f>
        <v>0</v>
      </c>
    </row>
    <row r="10" spans="1:18" x14ac:dyDescent="0.25">
      <c r="A10" s="292" t="s">
        <v>136</v>
      </c>
      <c r="B10" s="293"/>
      <c r="C10" s="293"/>
      <c r="D10" s="293"/>
      <c r="E10" s="294"/>
      <c r="F10" s="165"/>
      <c r="G10" s="164">
        <f>+CIFRAS!C92-CIFRAS!B92</f>
        <v>-186</v>
      </c>
      <c r="H10" s="177">
        <f>+CIFRAS!D92-CIFRAS!C92</f>
        <v>58</v>
      </c>
      <c r="I10" s="253">
        <f>+CIFRAS!E92-CIFRAS!D92</f>
        <v>124.34950717731772</v>
      </c>
      <c r="J10" s="239">
        <f>+CIFRAS!F92-CIFRAS!E92</f>
        <v>-22.573141306642697</v>
      </c>
      <c r="K10" s="239">
        <f>+CIFRAS!G92-CIFRAS!F92</f>
        <v>91.375726710142544</v>
      </c>
      <c r="L10" s="239">
        <f>+CIFRAS!H92-CIFRAS!G92</f>
        <v>77.293735595726275</v>
      </c>
      <c r="M10" s="239">
        <f>+CIFRAS!I92-CIFRAS!H92</f>
        <v>54.265647010319412</v>
      </c>
      <c r="N10" s="239">
        <f>+CIFRAS!J92-CIFRAS!I92</f>
        <v>89.042881381565849</v>
      </c>
      <c r="O10" s="239">
        <f>+CIFRAS!K92-CIFRAS!J92</f>
        <v>86.566977376957539</v>
      </c>
      <c r="P10" s="239">
        <f>+CIFRAS!L92-CIFRAS!K92</f>
        <v>89.511100555496796</v>
      </c>
      <c r="Q10" s="239">
        <f>+CIFRAS!M92-CIFRAS!L92</f>
        <v>104.45135551426938</v>
      </c>
      <c r="R10" s="239">
        <f>+CIFRAS!N92-CIFRAS!M92</f>
        <v>109.96009103962047</v>
      </c>
    </row>
    <row r="11" spans="1:18" x14ac:dyDescent="0.25">
      <c r="A11" s="292" t="s">
        <v>137</v>
      </c>
      <c r="B11" s="293"/>
      <c r="C11" s="293"/>
      <c r="D11" s="293"/>
      <c r="E11" s="294"/>
      <c r="F11" s="165"/>
      <c r="G11" s="164">
        <f>+(CIFRAS!C93+CIFRAS!C94)-(CIFRAS!B93+CIFRAS!B94)</f>
        <v>-490</v>
      </c>
      <c r="H11" s="177">
        <f>+(CIFRAS!D93+CIFRAS!D94)-(CIFRAS!C93+CIFRAS!C94)</f>
        <v>169</v>
      </c>
      <c r="I11" s="253">
        <f>+(CIFRAS!E93+CIFRAS!E94)-(CIFRAS!D93+CIFRAS!D94)</f>
        <v>147.58595961947083</v>
      </c>
      <c r="J11" s="239">
        <f>+(CIFRAS!F93+CIFRAS!F94)-(CIFRAS!E93+CIFRAS!E94)</f>
        <v>547.69649670257888</v>
      </c>
      <c r="K11" s="239">
        <f>+(CIFRAS!G93+CIFRAS!G94)-(CIFRAS!F93+CIFRAS!F94)</f>
        <v>103.25915134878755</v>
      </c>
      <c r="L11" s="239">
        <f>+(CIFRAS!H93+CIFRAS!H94)-(CIFRAS!G93+CIFRAS!G94)</f>
        <v>112.78759872550268</v>
      </c>
      <c r="M11" s="239">
        <f>+(CIFRAS!I93+CIFRAS!I94)-(CIFRAS!H93+CIFRAS!H94)</f>
        <v>108.91511237400323</v>
      </c>
      <c r="N11" s="239">
        <f>+(CIFRAS!J93+CIFRAS!J94)-(CIFRAS!I93+CIFRAS!I94)</f>
        <v>127.85328662476763</v>
      </c>
      <c r="O11" s="239">
        <f>+(CIFRAS!K93+CIFRAS!K94)-(CIFRAS!J93+CIFRAS!J94)</f>
        <v>137.25459560468221</v>
      </c>
      <c r="P11" s="239">
        <f>+(CIFRAS!L93+CIFRAS!L94)-(CIFRAS!K93+CIFRAS!K94)</f>
        <v>146.44974721645212</v>
      </c>
      <c r="Q11" s="239">
        <f>+(CIFRAS!M93+CIFRAS!M94)-(CIFRAS!L93+CIFRAS!L94)</f>
        <v>161.55983722083738</v>
      </c>
      <c r="R11" s="239">
        <f>+(CIFRAS!N93+CIFRAS!N94)-(CIFRAS!M93+CIFRAS!M94)</f>
        <v>174.65840571231706</v>
      </c>
    </row>
    <row r="12" spans="1:18" x14ac:dyDescent="0.25">
      <c r="A12" s="85"/>
      <c r="B12" s="80"/>
      <c r="C12" s="80"/>
      <c r="D12" s="122"/>
      <c r="E12" s="122"/>
      <c r="F12" s="80"/>
      <c r="G12" s="80"/>
      <c r="H12" s="125"/>
      <c r="I12" s="238"/>
      <c r="J12" s="238"/>
      <c r="K12" s="238"/>
      <c r="L12" s="238"/>
      <c r="M12" s="238"/>
      <c r="N12" s="238"/>
      <c r="O12" s="234"/>
      <c r="P12" s="234"/>
      <c r="Q12" s="234"/>
      <c r="R12" s="234"/>
    </row>
    <row r="13" spans="1:18" x14ac:dyDescent="0.25">
      <c r="A13" s="142" t="s">
        <v>138</v>
      </c>
      <c r="B13" s="82"/>
      <c r="C13" s="82"/>
      <c r="D13" s="122"/>
      <c r="E13" s="122"/>
      <c r="F13" s="82"/>
      <c r="G13" s="166">
        <f>SUM(G7:G12)</f>
        <v>-529</v>
      </c>
      <c r="H13" s="178">
        <f>SUM(H7:H12)</f>
        <v>-271</v>
      </c>
      <c r="I13" s="254">
        <f t="shared" ref="I13:P13" si="0">SUM(I7:I12)</f>
        <v>161.94762343128127</v>
      </c>
      <c r="J13" s="240">
        <f t="shared" si="0"/>
        <v>-1087.7395657988213</v>
      </c>
      <c r="K13" s="240">
        <f t="shared" si="0"/>
        <v>-1841.2319650440597</v>
      </c>
      <c r="L13" s="240">
        <f t="shared" si="0"/>
        <v>230.93111843347754</v>
      </c>
      <c r="M13" s="240">
        <f t="shared" si="0"/>
        <v>153.15241101048673</v>
      </c>
      <c r="N13" s="240">
        <f t="shared" si="0"/>
        <v>209.96513888480786</v>
      </c>
      <c r="O13" s="240">
        <f t="shared" si="0"/>
        <v>231.78504185393547</v>
      </c>
      <c r="P13" s="240">
        <f t="shared" si="0"/>
        <v>232.96221156426031</v>
      </c>
      <c r="Q13" s="240">
        <f t="shared" ref="Q13" si="1">SUM(Q7:Q12)</f>
        <v>265.35579391613396</v>
      </c>
      <c r="R13" s="240">
        <f t="shared" ref="R13" si="2">SUM(R7:R12)</f>
        <v>286.05497470048215</v>
      </c>
    </row>
    <row r="14" spans="1:18" ht="10.5" customHeight="1" x14ac:dyDescent="0.25">
      <c r="A14" s="167"/>
      <c r="B14" s="89"/>
      <c r="C14" s="89"/>
      <c r="D14" s="163"/>
      <c r="E14" s="163"/>
      <c r="F14" s="89"/>
      <c r="G14" s="87"/>
      <c r="H14" s="126"/>
      <c r="I14" s="238"/>
      <c r="J14" s="238"/>
      <c r="K14" s="238"/>
      <c r="L14" s="238"/>
      <c r="M14" s="238"/>
      <c r="N14" s="238"/>
      <c r="O14" s="234"/>
      <c r="P14" s="234"/>
      <c r="Q14" s="234"/>
      <c r="R14" s="234"/>
    </row>
    <row r="15" spans="1:18" x14ac:dyDescent="0.25">
      <c r="A15" s="140" t="s">
        <v>139</v>
      </c>
      <c r="B15" s="83"/>
      <c r="C15" s="83"/>
      <c r="D15" s="122"/>
      <c r="E15" s="122"/>
      <c r="F15" s="80"/>
      <c r="G15" s="164">
        <f>-CIFRAS!C59</f>
        <v>-1245</v>
      </c>
      <c r="H15" s="177">
        <f>-CIFRAS!D59</f>
        <v>-2345</v>
      </c>
      <c r="I15" s="253">
        <f>-CIFRAS!E59</f>
        <v>-2373.8274274800001</v>
      </c>
      <c r="J15" s="239">
        <f>-CIFRAS!F59</f>
        <v>-950.86915353761185</v>
      </c>
      <c r="K15" s="239">
        <f>-CIFRAS!G59</f>
        <v>-1049.5604247472945</v>
      </c>
      <c r="L15" s="239">
        <f>-CIFRAS!H59</f>
        <v>-1287.3385554172528</v>
      </c>
      <c r="M15" s="239">
        <f>-CIFRAS!I59</f>
        <v>-1453.9818946981227</v>
      </c>
      <c r="N15" s="239">
        <f>-CIFRAS!J59</f>
        <v>-1660.57557791464</v>
      </c>
      <c r="O15" s="239">
        <f>-CIFRAS!K59</f>
        <v>-1911.1316136779678</v>
      </c>
      <c r="P15" s="239">
        <f>-CIFRAS!L59</f>
        <v>-2180.4496722294793</v>
      </c>
      <c r="Q15" s="239">
        <f>-CIFRAS!M59</f>
        <v>-2438.0716509826302</v>
      </c>
      <c r="R15" s="239">
        <f>-CIFRAS!N59</f>
        <v>-2766.5657412913897</v>
      </c>
    </row>
    <row r="16" spans="1:18" ht="8.25" customHeight="1" x14ac:dyDescent="0.25">
      <c r="A16" s="167"/>
      <c r="B16" s="89"/>
      <c r="C16" s="89"/>
      <c r="D16" s="163"/>
      <c r="E16" s="163"/>
      <c r="F16" s="89"/>
      <c r="G16" s="168"/>
      <c r="H16" s="169"/>
      <c r="I16" s="238"/>
      <c r="J16" s="238"/>
      <c r="K16" s="238"/>
      <c r="L16" s="238"/>
      <c r="M16" s="238"/>
      <c r="N16" s="238"/>
      <c r="O16" s="234"/>
      <c r="P16" s="234"/>
      <c r="Q16" s="234"/>
      <c r="R16" s="234"/>
    </row>
    <row r="17" spans="1:18" x14ac:dyDescent="0.25">
      <c r="A17" s="90" t="s">
        <v>140</v>
      </c>
      <c r="B17" s="82"/>
      <c r="C17" s="82"/>
      <c r="D17" s="122"/>
      <c r="E17" s="122"/>
      <c r="F17" s="82"/>
      <c r="G17" s="166">
        <f>+G4+G13+G15</f>
        <v>2380</v>
      </c>
      <c r="H17" s="178">
        <f>+H4+H13+H15</f>
        <v>3745</v>
      </c>
      <c r="I17" s="254">
        <f t="shared" ref="I17:R17" si="3">+I4+I13+I15</f>
        <v>4685.4299999512823</v>
      </c>
      <c r="J17" s="240">
        <f t="shared" si="3"/>
        <v>2486.6771216555658</v>
      </c>
      <c r="K17" s="240">
        <f t="shared" si="3"/>
        <v>2023.6680335259528</v>
      </c>
      <c r="L17" s="240">
        <f t="shared" si="3"/>
        <v>4280.696582738824</v>
      </c>
      <c r="M17" s="240">
        <f t="shared" si="3"/>
        <v>4495.2654817311068</v>
      </c>
      <c r="N17" s="240">
        <f t="shared" si="3"/>
        <v>4843.9486934149199</v>
      </c>
      <c r="O17" s="240">
        <f t="shared" si="3"/>
        <v>5156.5446460109642</v>
      </c>
      <c r="P17" s="240">
        <f t="shared" si="3"/>
        <v>5476.2904019035923</v>
      </c>
      <c r="Q17" s="240">
        <f t="shared" si="3"/>
        <v>5889.5069016832294</v>
      </c>
      <c r="R17" s="240">
        <f t="shared" si="3"/>
        <v>6275.0631494113022</v>
      </c>
    </row>
    <row r="18" spans="1:18" x14ac:dyDescent="0.25">
      <c r="A18" s="170"/>
      <c r="B18" s="171"/>
      <c r="C18" s="171"/>
      <c r="D18" s="163"/>
      <c r="E18" s="163"/>
      <c r="F18" s="89"/>
      <c r="G18" s="87"/>
      <c r="H18" s="126"/>
      <c r="I18" s="238"/>
      <c r="J18" s="238"/>
      <c r="K18" s="238"/>
      <c r="L18" s="238"/>
      <c r="M18" s="238"/>
      <c r="N18" s="238"/>
      <c r="O18" s="234"/>
      <c r="P18" s="234"/>
      <c r="Q18" s="234"/>
      <c r="R18" s="234"/>
    </row>
    <row r="19" spans="1:18" x14ac:dyDescent="0.25">
      <c r="A19" s="145" t="s">
        <v>141</v>
      </c>
      <c r="B19" s="83"/>
      <c r="C19" s="83"/>
      <c r="D19" s="122"/>
      <c r="E19" s="122"/>
      <c r="F19" s="80"/>
      <c r="G19" s="164">
        <f>+CIFRAS!C154</f>
        <v>-1145</v>
      </c>
      <c r="H19" s="177">
        <f>+CIFRAS!D154</f>
        <v>-822</v>
      </c>
      <c r="I19" s="253">
        <f>+CIFRAS!E154</f>
        <v>-89</v>
      </c>
      <c r="J19" s="239">
        <f>+CIFRAS!F154</f>
        <v>-1689</v>
      </c>
      <c r="K19" s="239">
        <f>+CIFRAS!G154</f>
        <v>11</v>
      </c>
      <c r="L19" s="239">
        <f>+CIFRAS!H154</f>
        <v>-89</v>
      </c>
      <c r="M19" s="239">
        <f>+CIFRAS!I154</f>
        <v>-1089</v>
      </c>
      <c r="N19" s="239">
        <f>+CIFRAS!J154</f>
        <v>-89</v>
      </c>
      <c r="O19" s="239">
        <f>+CIFRAS!K154</f>
        <v>-89</v>
      </c>
      <c r="P19" s="239">
        <f>+CIFRAS!L154</f>
        <v>-89</v>
      </c>
      <c r="Q19" s="239">
        <f>+CIFRAS!M154</f>
        <v>-89</v>
      </c>
      <c r="R19" s="239">
        <f>+CIFRAS!N154</f>
        <v>-89</v>
      </c>
    </row>
    <row r="20" spans="1:18" x14ac:dyDescent="0.25">
      <c r="A20" s="172" t="s">
        <v>142</v>
      </c>
      <c r="B20" s="173"/>
      <c r="C20" s="173"/>
      <c r="D20" s="163"/>
      <c r="E20" s="163"/>
      <c r="F20" s="89"/>
      <c r="G20" s="164">
        <f>+CIFRAS!C85-CIFRAS!B85+CIFRAS!C36</f>
        <v>0</v>
      </c>
      <c r="H20" s="177">
        <v>0</v>
      </c>
      <c r="I20" s="253">
        <v>0</v>
      </c>
      <c r="J20" s="239">
        <v>0</v>
      </c>
      <c r="K20" s="239">
        <v>0</v>
      </c>
      <c r="L20" s="239">
        <v>0</v>
      </c>
      <c r="M20" s="239">
        <v>0</v>
      </c>
      <c r="N20" s="239">
        <v>0</v>
      </c>
      <c r="O20" s="239">
        <v>0</v>
      </c>
      <c r="P20" s="239">
        <v>0</v>
      </c>
      <c r="Q20" s="239">
        <v>0</v>
      </c>
      <c r="R20" s="239">
        <v>0</v>
      </c>
    </row>
    <row r="21" spans="1:18" x14ac:dyDescent="0.25">
      <c r="A21" s="140"/>
      <c r="B21" s="83"/>
      <c r="C21" s="83"/>
      <c r="D21" s="122"/>
      <c r="E21" s="122"/>
      <c r="F21" s="80"/>
      <c r="G21" s="87"/>
      <c r="H21" s="126"/>
      <c r="I21" s="238"/>
      <c r="J21" s="238"/>
      <c r="K21" s="238"/>
      <c r="L21" s="238"/>
      <c r="M21" s="238"/>
      <c r="N21" s="238"/>
      <c r="O21" s="234"/>
      <c r="P21" s="234"/>
      <c r="Q21" s="234"/>
      <c r="R21" s="234"/>
    </row>
    <row r="22" spans="1:18" x14ac:dyDescent="0.25">
      <c r="A22" s="90" t="s">
        <v>143</v>
      </c>
      <c r="B22" s="82"/>
      <c r="C22" s="82"/>
      <c r="D22" s="122"/>
      <c r="E22" s="122"/>
      <c r="F22" s="98">
        <v>0</v>
      </c>
      <c r="G22" s="166">
        <f>+G17+G19+G20</f>
        <v>1235</v>
      </c>
      <c r="H22" s="178">
        <f>+H17+H19+H20</f>
        <v>2923</v>
      </c>
      <c r="I22" s="254">
        <f t="shared" ref="I22:R22" si="4">+I17+I19+I20</f>
        <v>4596.4299999512823</v>
      </c>
      <c r="J22" s="240">
        <f t="shared" si="4"/>
        <v>797.67712165556577</v>
      </c>
      <c r="K22" s="240">
        <f t="shared" si="4"/>
        <v>2034.6680335259528</v>
      </c>
      <c r="L22" s="240">
        <f t="shared" si="4"/>
        <v>4191.696582738824</v>
      </c>
      <c r="M22" s="240">
        <f t="shared" si="4"/>
        <v>3406.2654817311068</v>
      </c>
      <c r="N22" s="240">
        <f t="shared" si="4"/>
        <v>4754.9486934149199</v>
      </c>
      <c r="O22" s="240">
        <f t="shared" si="4"/>
        <v>5067.5446460109642</v>
      </c>
      <c r="P22" s="240">
        <f t="shared" si="4"/>
        <v>5387.2904019035923</v>
      </c>
      <c r="Q22" s="240">
        <f t="shared" si="4"/>
        <v>5800.5069016832294</v>
      </c>
      <c r="R22" s="240">
        <f t="shared" si="4"/>
        <v>6186.0631494113022</v>
      </c>
    </row>
    <row r="23" spans="1:18" x14ac:dyDescent="0.25">
      <c r="A23" s="167"/>
      <c r="B23" s="89"/>
      <c r="C23" s="89"/>
      <c r="D23" s="163"/>
      <c r="E23" s="163"/>
      <c r="F23" s="89"/>
      <c r="G23" s="87"/>
      <c r="H23" s="126"/>
      <c r="I23" s="234"/>
      <c r="J23" s="234"/>
      <c r="K23" s="234"/>
      <c r="L23" s="234"/>
      <c r="M23" s="234"/>
      <c r="N23" s="234"/>
      <c r="O23" s="234"/>
      <c r="P23" s="234"/>
      <c r="Q23" s="234"/>
      <c r="R23" s="234"/>
    </row>
    <row r="24" spans="1:18" x14ac:dyDescent="0.25">
      <c r="A24" s="85"/>
      <c r="B24" s="80"/>
      <c r="C24" s="80"/>
      <c r="D24" s="122"/>
      <c r="E24" s="122"/>
      <c r="F24" s="80"/>
      <c r="G24" s="114"/>
      <c r="H24" s="141"/>
      <c r="I24" s="234"/>
      <c r="J24" s="234"/>
      <c r="K24" s="234"/>
      <c r="L24" s="234"/>
      <c r="M24" s="234"/>
      <c r="N24" s="234"/>
      <c r="O24" s="234"/>
      <c r="P24" s="234"/>
      <c r="Q24" s="234"/>
      <c r="R24" s="234"/>
    </row>
    <row r="25" spans="1:18" x14ac:dyDescent="0.25">
      <c r="A25" s="140" t="s">
        <v>144</v>
      </c>
      <c r="B25" s="77"/>
      <c r="C25" s="77"/>
      <c r="D25" s="122"/>
      <c r="E25" s="122"/>
      <c r="F25" s="77"/>
      <c r="G25" s="114">
        <f>+CIFRAS!B83-CIFRAS!C83</f>
        <v>-892</v>
      </c>
      <c r="H25" s="141">
        <f>+CIFRAS!C83-CIFRAS!D83</f>
        <v>-193</v>
      </c>
      <c r="I25" s="241">
        <f>+CIFRAS!D83-CIFRAS!E83</f>
        <v>0</v>
      </c>
      <c r="J25" s="241">
        <f>+CIFRAS!E83-CIFRAS!F83</f>
        <v>-15</v>
      </c>
      <c r="K25" s="241">
        <f>+CIFRAS!F83-CIFRAS!G83</f>
        <v>0</v>
      </c>
      <c r="L25" s="241">
        <f>+CIFRAS!G83-CIFRAS!H83</f>
        <v>0</v>
      </c>
      <c r="M25" s="241">
        <f>+CIFRAS!H83-CIFRAS!I83</f>
        <v>0</v>
      </c>
      <c r="N25" s="241">
        <f>+CIFRAS!I83-CIFRAS!J83</f>
        <v>0</v>
      </c>
      <c r="O25" s="241">
        <f>+CIFRAS!J83-CIFRAS!K83</f>
        <v>0</v>
      </c>
      <c r="P25" s="241">
        <f>+CIFRAS!K83-CIFRAS!L83</f>
        <v>0</v>
      </c>
      <c r="Q25" s="241">
        <f>+CIFRAS!L83-CIFRAS!M83</f>
        <v>0</v>
      </c>
      <c r="R25" s="241">
        <f>+CIFRAS!M83-CIFRAS!N83</f>
        <v>0</v>
      </c>
    </row>
    <row r="26" spans="1:18" x14ac:dyDescent="0.25">
      <c r="A26" s="140" t="s">
        <v>145</v>
      </c>
      <c r="B26" s="77"/>
      <c r="C26" s="77"/>
      <c r="D26" s="122"/>
      <c r="E26" s="122"/>
      <c r="F26" s="77"/>
      <c r="G26" s="114">
        <f>+CIFRAS!C99-CIFRAS!B99</f>
        <v>0</v>
      </c>
      <c r="H26" s="141">
        <f>+CIFRAS!D99-CIFRAS!C99</f>
        <v>0</v>
      </c>
      <c r="I26" s="241">
        <f>+CIFRAS!E99-CIFRAS!D99</f>
        <v>0</v>
      </c>
      <c r="J26" s="241">
        <f>+CIFRAS!F99-CIFRAS!E99</f>
        <v>0</v>
      </c>
      <c r="K26" s="241">
        <f>+CIFRAS!G99-CIFRAS!F99</f>
        <v>0</v>
      </c>
      <c r="L26" s="241">
        <f>+CIFRAS!H99-CIFRAS!G99</f>
        <v>0</v>
      </c>
      <c r="M26" s="241">
        <f>+CIFRAS!I99-CIFRAS!H99</f>
        <v>0</v>
      </c>
      <c r="N26" s="241">
        <f>+CIFRAS!J99-CIFRAS!I99</f>
        <v>0</v>
      </c>
      <c r="O26" s="241">
        <f>+CIFRAS!K99-CIFRAS!J99</f>
        <v>0</v>
      </c>
      <c r="P26" s="241">
        <f>+CIFRAS!L99-CIFRAS!K99</f>
        <v>0</v>
      </c>
      <c r="Q26" s="241">
        <f>+CIFRAS!M99-CIFRAS!L99</f>
        <v>0</v>
      </c>
      <c r="R26" s="241">
        <f>+CIFRAS!N99-CIFRAS!M99</f>
        <v>0</v>
      </c>
    </row>
    <row r="27" spans="1:18" x14ac:dyDescent="0.25">
      <c r="A27" s="140" t="s">
        <v>146</v>
      </c>
      <c r="B27" s="83"/>
      <c r="C27" s="83"/>
      <c r="D27" s="122"/>
      <c r="E27" s="122"/>
      <c r="F27" s="83"/>
      <c r="G27" s="114">
        <f>+CIFRAS!B86-CIFRAS!C86</f>
        <v>0</v>
      </c>
      <c r="H27" s="141">
        <f>+CIFRAS!C86-CIFRAS!D86</f>
        <v>0</v>
      </c>
      <c r="I27" s="241">
        <f>+CIFRAS!D86-CIFRAS!E86</f>
        <v>0</v>
      </c>
      <c r="J27" s="241">
        <f>+CIFRAS!E86-CIFRAS!F86</f>
        <v>0</v>
      </c>
      <c r="K27" s="241">
        <f>+CIFRAS!F86-CIFRAS!G86</f>
        <v>0</v>
      </c>
      <c r="L27" s="241">
        <f>+CIFRAS!G86-CIFRAS!H86</f>
        <v>0</v>
      </c>
      <c r="M27" s="241">
        <f>+CIFRAS!H86-CIFRAS!I86</f>
        <v>0</v>
      </c>
      <c r="N27" s="241">
        <f>+CIFRAS!I86-CIFRAS!J86</f>
        <v>0</v>
      </c>
      <c r="O27" s="241">
        <f>+CIFRAS!J86-CIFRAS!K86</f>
        <v>0</v>
      </c>
      <c r="P27" s="241">
        <f>+CIFRAS!K86-CIFRAS!L86</f>
        <v>0</v>
      </c>
      <c r="Q27" s="241">
        <f>+CIFRAS!L86-CIFRAS!M86</f>
        <v>0</v>
      </c>
      <c r="R27" s="241">
        <f>+CIFRAS!M86-CIFRAS!N86</f>
        <v>0</v>
      </c>
    </row>
    <row r="28" spans="1:18" x14ac:dyDescent="0.25">
      <c r="A28" s="140" t="s">
        <v>147</v>
      </c>
      <c r="B28" s="83"/>
      <c r="C28" s="83"/>
      <c r="D28" s="122"/>
      <c r="E28" s="122"/>
      <c r="F28" s="80"/>
      <c r="G28" s="114">
        <f>+CIFRAS!C100-CIFRAS!B100</f>
        <v>-291</v>
      </c>
      <c r="H28" s="141">
        <f>+CIFRAS!D100-CIFRAS!C100</f>
        <v>0</v>
      </c>
      <c r="I28" s="241">
        <f>+CIFRAS!E100-CIFRAS!D100</f>
        <v>0</v>
      </c>
      <c r="J28" s="241">
        <f>+CIFRAS!F100-CIFRAS!E100</f>
        <v>-641</v>
      </c>
      <c r="K28" s="241">
        <f>+CIFRAS!G100-CIFRAS!F100</f>
        <v>0</v>
      </c>
      <c r="L28" s="241">
        <f>+CIFRAS!H100-CIFRAS!G100</f>
        <v>0</v>
      </c>
      <c r="M28" s="241">
        <f>+CIFRAS!I100-CIFRAS!H100</f>
        <v>0</v>
      </c>
      <c r="N28" s="241">
        <f>+CIFRAS!J100-CIFRAS!I100</f>
        <v>0</v>
      </c>
      <c r="O28" s="241">
        <f>+CIFRAS!K100-CIFRAS!J100</f>
        <v>0</v>
      </c>
      <c r="P28" s="241">
        <f>+CIFRAS!L100-CIFRAS!K100</f>
        <v>0</v>
      </c>
      <c r="Q28" s="241">
        <f>+CIFRAS!M100-CIFRAS!L100</f>
        <v>0</v>
      </c>
      <c r="R28" s="241">
        <f>+CIFRAS!N100-CIFRAS!M100</f>
        <v>0</v>
      </c>
    </row>
    <row r="29" spans="1:18" x14ac:dyDescent="0.25">
      <c r="A29" s="140" t="s">
        <v>148</v>
      </c>
      <c r="B29" s="83"/>
      <c r="C29" s="83"/>
      <c r="D29" s="122"/>
      <c r="E29" s="122"/>
      <c r="F29" s="80"/>
      <c r="G29" s="114">
        <f>+CIFRAS!C52+CIFRAS!C52</f>
        <v>82</v>
      </c>
      <c r="H29" s="141">
        <f>+CIFRAS!D52+CIFRAS!D52</f>
        <v>-86</v>
      </c>
      <c r="I29" s="241">
        <f>+CIFRAS!E52+CIFRAS!E52</f>
        <v>-86</v>
      </c>
      <c r="J29" s="241">
        <f>+CIFRAS!F52+CIFRAS!F52</f>
        <v>-86</v>
      </c>
      <c r="K29" s="241">
        <f>+CIFRAS!G52+CIFRAS!G52</f>
        <v>-86</v>
      </c>
      <c r="L29" s="241">
        <f>+CIFRAS!H52+CIFRAS!H52</f>
        <v>-86</v>
      </c>
      <c r="M29" s="241">
        <f>+CIFRAS!I52+CIFRAS!I52</f>
        <v>-86</v>
      </c>
      <c r="N29" s="241">
        <f>+CIFRAS!J52+CIFRAS!J52</f>
        <v>-86</v>
      </c>
      <c r="O29" s="241">
        <f>+CIFRAS!K52+CIFRAS!K52</f>
        <v>-86</v>
      </c>
      <c r="P29" s="241">
        <f>+CIFRAS!L52+CIFRAS!L52</f>
        <v>-86</v>
      </c>
      <c r="Q29" s="241">
        <f>+CIFRAS!M52+CIFRAS!M52</f>
        <v>-86</v>
      </c>
      <c r="R29" s="241">
        <f>+CIFRAS!N52+CIFRAS!N52</f>
        <v>-86</v>
      </c>
    </row>
    <row r="30" spans="1:18" x14ac:dyDescent="0.25">
      <c r="A30" s="90" t="s">
        <v>149</v>
      </c>
      <c r="B30" s="82"/>
      <c r="C30" s="82"/>
      <c r="D30" s="122"/>
      <c r="E30" s="122"/>
      <c r="F30" s="80"/>
      <c r="G30" s="116">
        <f>SUM(G25:G29)</f>
        <v>-1101</v>
      </c>
      <c r="H30" s="143">
        <f>SUM(H25:H29)</f>
        <v>-279</v>
      </c>
      <c r="I30" s="242">
        <f t="shared" ref="I30:R30" si="5">SUM(I25:I29)</f>
        <v>-86</v>
      </c>
      <c r="J30" s="242">
        <f t="shared" si="5"/>
        <v>-742</v>
      </c>
      <c r="K30" s="242">
        <f t="shared" si="5"/>
        <v>-86</v>
      </c>
      <c r="L30" s="242">
        <f t="shared" si="5"/>
        <v>-86</v>
      </c>
      <c r="M30" s="242">
        <f t="shared" si="5"/>
        <v>-86</v>
      </c>
      <c r="N30" s="242">
        <f t="shared" si="5"/>
        <v>-86</v>
      </c>
      <c r="O30" s="242">
        <f t="shared" si="5"/>
        <v>-86</v>
      </c>
      <c r="P30" s="242">
        <f t="shared" si="5"/>
        <v>-86</v>
      </c>
      <c r="Q30" s="242">
        <f t="shared" si="5"/>
        <v>-86</v>
      </c>
      <c r="R30" s="242">
        <f t="shared" si="5"/>
        <v>-86</v>
      </c>
    </row>
    <row r="31" spans="1:18" x14ac:dyDescent="0.25">
      <c r="A31" s="90"/>
      <c r="B31" s="82"/>
      <c r="C31" s="82"/>
      <c r="D31" s="122"/>
      <c r="E31" s="122"/>
      <c r="F31" s="80"/>
      <c r="G31" s="114"/>
      <c r="H31" s="141"/>
      <c r="I31" s="234"/>
      <c r="J31" s="234"/>
      <c r="K31" s="234"/>
      <c r="L31" s="234"/>
      <c r="M31" s="234"/>
      <c r="N31" s="234"/>
      <c r="O31" s="234"/>
      <c r="P31" s="234"/>
      <c r="Q31" s="234"/>
      <c r="R31" s="234"/>
    </row>
    <row r="32" spans="1:18" x14ac:dyDescent="0.25">
      <c r="A32" s="145" t="s">
        <v>150</v>
      </c>
      <c r="B32" s="83"/>
      <c r="C32" s="83"/>
      <c r="D32" s="122"/>
      <c r="E32" s="122"/>
      <c r="F32" s="80"/>
      <c r="G32" s="114">
        <f>+CIFRAS!C104-CIFRAS!B104+CIFRAS!C158-CIFRAS!C21</f>
        <v>0</v>
      </c>
      <c r="H32" s="114">
        <f>+CIFRAS!D104-CIFRAS!C104+CIFRAS!D158-CIFRAS!D21</f>
        <v>0</v>
      </c>
      <c r="I32" s="234">
        <f>+CIFRAS!E104-CIFRAS!D104+CIFRAS!E158-CIFRAS!E21</f>
        <v>0</v>
      </c>
      <c r="J32" s="234">
        <f>+CIFRAS!F104-CIFRAS!E104+CIFRAS!F158-CIFRAS!F21</f>
        <v>0</v>
      </c>
      <c r="K32" s="234">
        <f>+CIFRAS!G104-CIFRAS!F104+CIFRAS!G158-CIFRAS!G21</f>
        <v>0</v>
      </c>
      <c r="L32" s="234">
        <f>+CIFRAS!H104-CIFRAS!G104+CIFRAS!H158-CIFRAS!H21</f>
        <v>0</v>
      </c>
      <c r="M32" s="234">
        <f>+CIFRAS!I104-CIFRAS!H104+CIFRAS!I158-CIFRAS!I21</f>
        <v>0</v>
      </c>
      <c r="N32" s="234">
        <f>+CIFRAS!J104-CIFRAS!I104+CIFRAS!J158-CIFRAS!J21</f>
        <v>0</v>
      </c>
      <c r="O32" s="234">
        <f>+CIFRAS!K104-CIFRAS!J104+CIFRAS!K158-CIFRAS!K21</f>
        <v>0</v>
      </c>
      <c r="P32" s="234">
        <f>+CIFRAS!L104-CIFRAS!K104+CIFRAS!L158-CIFRAS!L21</f>
        <v>0</v>
      </c>
      <c r="Q32" s="234">
        <f>+CIFRAS!M104-CIFRAS!L104+CIFRAS!M158-CIFRAS!M21</f>
        <v>0</v>
      </c>
      <c r="R32" s="234">
        <f>+CIFRAS!N104-CIFRAS!M104+CIFRAS!N158-CIFRAS!N21</f>
        <v>0</v>
      </c>
    </row>
    <row r="33" spans="1:18" x14ac:dyDescent="0.25">
      <c r="A33" s="145" t="s">
        <v>151</v>
      </c>
      <c r="B33" s="83"/>
      <c r="C33" s="83"/>
      <c r="D33" s="122"/>
      <c r="E33" s="122"/>
      <c r="F33" s="80"/>
      <c r="G33" s="114">
        <f>+CIFRAS!C110</f>
        <v>0</v>
      </c>
      <c r="H33" s="141">
        <f>+CIFRAS!D110</f>
        <v>-2371</v>
      </c>
      <c r="I33" s="241">
        <f>+CIFRAS!E110</f>
        <v>-4041.9223765199999</v>
      </c>
      <c r="J33" s="241">
        <f>+CIFRAS!F110</f>
        <v>0</v>
      </c>
      <c r="K33" s="241">
        <f>+CIFRAS!G110</f>
        <v>9.0949470177292824E-13</v>
      </c>
      <c r="L33" s="241">
        <f>+CIFRAS!H110</f>
        <v>-2202.9376871144877</v>
      </c>
      <c r="M33" s="241">
        <f>+CIFRAS!I110</f>
        <v>-2547.8519017832896</v>
      </c>
      <c r="N33" s="241">
        <f>+CIFRAS!J110</f>
        <v>-3111.4315245573598</v>
      </c>
      <c r="O33" s="241">
        <f>+CIFRAS!K110</f>
        <v>-3305.8739638300531</v>
      </c>
      <c r="P33" s="241">
        <f>+CIFRAS!L110</f>
        <v>-3805.6195500123558</v>
      </c>
      <c r="Q33" s="241">
        <f>+CIFRAS!M110</f>
        <v>-4367.6671895109648</v>
      </c>
      <c r="R33" s="241">
        <f>+CIFRAS!N110</f>
        <v>-4132.5939649015572</v>
      </c>
    </row>
    <row r="34" spans="1:18" x14ac:dyDescent="0.25">
      <c r="A34" s="85"/>
      <c r="B34" s="80"/>
      <c r="C34" s="80"/>
      <c r="D34" s="122"/>
      <c r="E34" s="122"/>
      <c r="F34" s="88"/>
      <c r="G34" s="88"/>
      <c r="H34" s="126"/>
      <c r="I34" s="234"/>
      <c r="J34" s="234"/>
      <c r="K34" s="234"/>
      <c r="L34" s="234"/>
      <c r="M34" s="234"/>
      <c r="N34" s="234"/>
      <c r="O34" s="234"/>
      <c r="P34" s="234"/>
      <c r="Q34" s="234"/>
      <c r="R34" s="234"/>
    </row>
    <row r="35" spans="1:18" x14ac:dyDescent="0.25">
      <c r="A35" s="90" t="s">
        <v>152</v>
      </c>
      <c r="B35" s="82"/>
      <c r="C35" s="82"/>
      <c r="D35" s="122"/>
      <c r="E35" s="122"/>
      <c r="F35" s="80"/>
      <c r="G35" s="116">
        <f>+G32+G33</f>
        <v>0</v>
      </c>
      <c r="H35" s="143">
        <f>+H32+H33</f>
        <v>-2371</v>
      </c>
      <c r="I35" s="242">
        <f t="shared" ref="I35:R35" si="6">+I32+I33</f>
        <v>-4041.9223765199999</v>
      </c>
      <c r="J35" s="242">
        <f t="shared" si="6"/>
        <v>0</v>
      </c>
      <c r="K35" s="242">
        <f t="shared" si="6"/>
        <v>9.0949470177292824E-13</v>
      </c>
      <c r="L35" s="242">
        <f t="shared" si="6"/>
        <v>-2202.9376871144877</v>
      </c>
      <c r="M35" s="242">
        <f t="shared" si="6"/>
        <v>-2547.8519017832896</v>
      </c>
      <c r="N35" s="242">
        <f t="shared" si="6"/>
        <v>-3111.4315245573598</v>
      </c>
      <c r="O35" s="242">
        <f t="shared" si="6"/>
        <v>-3305.8739638300531</v>
      </c>
      <c r="P35" s="242">
        <f t="shared" si="6"/>
        <v>-3805.6195500123558</v>
      </c>
      <c r="Q35" s="242">
        <f t="shared" si="6"/>
        <v>-4367.6671895109648</v>
      </c>
      <c r="R35" s="242">
        <f t="shared" si="6"/>
        <v>-4132.5939649015572</v>
      </c>
    </row>
    <row r="36" spans="1:18" x14ac:dyDescent="0.25">
      <c r="A36" s="85"/>
      <c r="B36" s="80"/>
      <c r="C36" s="80"/>
      <c r="D36" s="122"/>
      <c r="E36" s="122"/>
      <c r="F36" s="80"/>
      <c r="G36" s="116"/>
      <c r="H36" s="143"/>
      <c r="I36" s="234"/>
      <c r="J36" s="234"/>
      <c r="K36" s="234"/>
      <c r="L36" s="234"/>
      <c r="M36" s="234"/>
      <c r="N36" s="234"/>
      <c r="O36" s="234"/>
      <c r="P36" s="234"/>
      <c r="Q36" s="234"/>
      <c r="R36" s="234"/>
    </row>
    <row r="37" spans="1:18" x14ac:dyDescent="0.25">
      <c r="A37" s="90" t="s">
        <v>153</v>
      </c>
      <c r="B37" s="82"/>
      <c r="C37" s="82"/>
      <c r="D37" s="122"/>
      <c r="E37" s="122"/>
      <c r="F37" s="80"/>
      <c r="G37" s="116">
        <f>+G22+G30+G35</f>
        <v>134</v>
      </c>
      <c r="H37" s="143">
        <f>+H22+H30+H35</f>
        <v>273</v>
      </c>
      <c r="I37" s="242">
        <f t="shared" ref="I37:R37" si="7">+I22+I30+I35</f>
        <v>468.50762343128235</v>
      </c>
      <c r="J37" s="242">
        <f t="shared" si="7"/>
        <v>55.67712165556577</v>
      </c>
      <c r="K37" s="242">
        <f t="shared" si="7"/>
        <v>1948.6680335259537</v>
      </c>
      <c r="L37" s="242">
        <f t="shared" si="7"/>
        <v>1902.7588956243362</v>
      </c>
      <c r="M37" s="242">
        <f t="shared" si="7"/>
        <v>772.4135799478172</v>
      </c>
      <c r="N37" s="242">
        <f t="shared" si="7"/>
        <v>1557.5171688575601</v>
      </c>
      <c r="O37" s="242">
        <f t="shared" si="7"/>
        <v>1675.6706821809112</v>
      </c>
      <c r="P37" s="242">
        <f t="shared" si="7"/>
        <v>1495.6708518912365</v>
      </c>
      <c r="Q37" s="242">
        <f t="shared" si="7"/>
        <v>1346.8397121722646</v>
      </c>
      <c r="R37" s="242">
        <f t="shared" si="7"/>
        <v>1967.469184509745</v>
      </c>
    </row>
    <row r="38" spans="1:18" x14ac:dyDescent="0.25">
      <c r="A38" s="85"/>
      <c r="B38" s="80"/>
      <c r="C38" s="80"/>
      <c r="D38" s="122"/>
      <c r="E38" s="122"/>
      <c r="F38" s="88"/>
      <c r="G38" s="88"/>
      <c r="H38" s="126"/>
      <c r="I38" s="234"/>
      <c r="J38" s="234"/>
      <c r="K38" s="234"/>
      <c r="L38" s="234"/>
      <c r="M38" s="234"/>
      <c r="N38" s="234"/>
      <c r="O38" s="234"/>
      <c r="P38" s="234"/>
      <c r="Q38" s="234"/>
      <c r="R38" s="234"/>
    </row>
    <row r="39" spans="1:18" x14ac:dyDescent="0.25">
      <c r="A39" s="145" t="s">
        <v>154</v>
      </c>
      <c r="B39" s="117"/>
      <c r="C39" s="117"/>
      <c r="D39" s="122"/>
      <c r="E39" s="122"/>
      <c r="F39" s="98">
        <v>-197</v>
      </c>
      <c r="G39" s="114">
        <f>-CIFRAS!C41</f>
        <v>-790</v>
      </c>
      <c r="H39" s="141">
        <f>-CIFRAS!D41</f>
        <v>-357</v>
      </c>
      <c r="I39" s="241">
        <f>-CIFRAS!E41</f>
        <v>-349.56</v>
      </c>
      <c r="J39" s="241">
        <f>-CIFRAS!F41</f>
        <v>-1823.3692098092642</v>
      </c>
      <c r="K39" s="241">
        <f>-CIFRAS!G41</f>
        <v>-1945.8106267029973</v>
      </c>
      <c r="L39" s="241">
        <f>-CIFRAS!H41</f>
        <v>-1725.8106267029973</v>
      </c>
      <c r="M39" s="241">
        <f>-CIFRAS!I41</f>
        <v>-1734.4141689373298</v>
      </c>
      <c r="N39" s="241">
        <f>-CIFRAS!J41</f>
        <v>-1674.517029972752</v>
      </c>
      <c r="O39" s="241">
        <f>-CIFRAS!K41</f>
        <v>-1538.6706403269754</v>
      </c>
      <c r="P39" s="241">
        <f>-CIFRAS!L41</f>
        <v>-1398.6706403269754</v>
      </c>
      <c r="Q39" s="241">
        <f>-CIFRAS!M41</f>
        <v>-1340.8399182561309</v>
      </c>
      <c r="R39" s="241">
        <f>-CIFRAS!N41</f>
        <v>-1146.3692098092642</v>
      </c>
    </row>
    <row r="40" spans="1:18" x14ac:dyDescent="0.25">
      <c r="A40" s="140"/>
      <c r="B40" s="83"/>
      <c r="C40" s="83"/>
      <c r="D40" s="122"/>
      <c r="E40" s="122"/>
      <c r="F40" s="80"/>
      <c r="G40" s="87"/>
      <c r="H40" s="126"/>
      <c r="I40" s="234"/>
      <c r="J40" s="234"/>
      <c r="K40" s="234"/>
      <c r="L40" s="234"/>
      <c r="M40" s="234"/>
      <c r="N40" s="234"/>
      <c r="O40" s="234"/>
      <c r="P40" s="234"/>
      <c r="Q40" s="234"/>
      <c r="R40" s="234"/>
    </row>
    <row r="41" spans="1:18" x14ac:dyDescent="0.25">
      <c r="A41" s="90" t="s">
        <v>155</v>
      </c>
      <c r="B41" s="77"/>
      <c r="C41" s="77"/>
      <c r="D41" s="122"/>
      <c r="E41" s="122"/>
      <c r="F41" s="80"/>
      <c r="G41" s="87"/>
      <c r="H41" s="126"/>
      <c r="I41" s="234"/>
      <c r="J41" s="234"/>
      <c r="K41" s="234"/>
      <c r="L41" s="234"/>
      <c r="M41" s="234"/>
      <c r="N41" s="234"/>
      <c r="O41" s="234"/>
      <c r="P41" s="234"/>
      <c r="Q41" s="234"/>
      <c r="R41" s="234"/>
    </row>
    <row r="42" spans="1:18" x14ac:dyDescent="0.25">
      <c r="A42" s="144"/>
      <c r="B42" s="77"/>
      <c r="C42" s="77"/>
      <c r="D42" s="122"/>
      <c r="E42" s="122"/>
      <c r="F42" s="80"/>
      <c r="G42" s="87"/>
      <c r="H42" s="126"/>
      <c r="I42" s="234"/>
      <c r="J42" s="234"/>
      <c r="K42" s="234"/>
      <c r="L42" s="234"/>
      <c r="M42" s="234"/>
      <c r="N42" s="234"/>
      <c r="O42" s="234"/>
      <c r="P42" s="234"/>
      <c r="Q42" s="234"/>
      <c r="R42" s="234"/>
    </row>
    <row r="43" spans="1:18" x14ac:dyDescent="0.25">
      <c r="A43" s="146" t="s">
        <v>156</v>
      </c>
      <c r="B43" s="118"/>
      <c r="C43" s="118"/>
      <c r="D43" s="122"/>
      <c r="E43" s="122"/>
      <c r="F43" s="80"/>
      <c r="G43" s="114">
        <f>+CIFRAS!C91-CIFRAS!B91</f>
        <v>188</v>
      </c>
      <c r="H43" s="141">
        <f>+CIFRAS!D91-CIFRAS!C91</f>
        <v>142</v>
      </c>
      <c r="I43" s="241">
        <f>+CIFRAS!E91-CIFRAS!D91</f>
        <v>0</v>
      </c>
      <c r="J43" s="241">
        <f>+CIFRAS!F91-CIFRAS!E91</f>
        <v>437</v>
      </c>
      <c r="K43" s="241">
        <f>+CIFRAS!G91-CIFRAS!F91</f>
        <v>83</v>
      </c>
      <c r="L43" s="241">
        <f>+CIFRAS!H91-CIFRAS!G91</f>
        <v>-220</v>
      </c>
      <c r="M43" s="241">
        <f>+CIFRAS!I91-CIFRAS!H91</f>
        <v>-90</v>
      </c>
      <c r="N43" s="241">
        <f>+CIFRAS!J91-CIFRAS!I91</f>
        <v>-95</v>
      </c>
      <c r="O43" s="241">
        <f>+CIFRAS!K91-CIFRAS!J91</f>
        <v>-125</v>
      </c>
      <c r="P43" s="241">
        <f>+CIFRAS!L91-CIFRAS!K91</f>
        <v>-140</v>
      </c>
      <c r="Q43" s="241">
        <f>+CIFRAS!M91-CIFRAS!L91</f>
        <v>-60</v>
      </c>
      <c r="R43" s="241">
        <f>+CIFRAS!N91-CIFRAS!M91</f>
        <v>-30</v>
      </c>
    </row>
    <row r="44" spans="1:18" x14ac:dyDescent="0.25">
      <c r="A44" s="146" t="s">
        <v>157</v>
      </c>
      <c r="B44" s="118"/>
      <c r="C44" s="118"/>
      <c r="D44" s="122"/>
      <c r="E44" s="122"/>
      <c r="F44" s="80"/>
      <c r="G44" s="114">
        <f>+CIFRAS!C91-CIFRAS!B91</f>
        <v>188</v>
      </c>
      <c r="H44" s="141">
        <f>+CIFRAS!D91-CIFRAS!C91</f>
        <v>142</v>
      </c>
      <c r="I44" s="241">
        <f>+CIFRAS!E91-CIFRAS!D91</f>
        <v>0</v>
      </c>
      <c r="J44" s="241">
        <f>+CIFRAS!F91-CIFRAS!E91</f>
        <v>437</v>
      </c>
      <c r="K44" s="241">
        <f>+CIFRAS!G91-CIFRAS!F91</f>
        <v>83</v>
      </c>
      <c r="L44" s="241">
        <f>+CIFRAS!H91-CIFRAS!G91</f>
        <v>-220</v>
      </c>
      <c r="M44" s="241">
        <f>+CIFRAS!I91-CIFRAS!H91</f>
        <v>-90</v>
      </c>
      <c r="N44" s="241">
        <f>+CIFRAS!J91-CIFRAS!I91</f>
        <v>-95</v>
      </c>
      <c r="O44" s="241">
        <f>+CIFRAS!K91-CIFRAS!J91</f>
        <v>-125</v>
      </c>
      <c r="P44" s="241">
        <f>+CIFRAS!L91-CIFRAS!K91</f>
        <v>-140</v>
      </c>
      <c r="Q44" s="241">
        <f>+CIFRAS!M91-CIFRAS!L91</f>
        <v>-60</v>
      </c>
      <c r="R44" s="241">
        <f>+CIFRAS!N91-CIFRAS!M91</f>
        <v>-30</v>
      </c>
    </row>
    <row r="45" spans="1:18" x14ac:dyDescent="0.25">
      <c r="A45" s="140"/>
      <c r="B45" s="83"/>
      <c r="C45" s="83"/>
      <c r="D45" s="122"/>
      <c r="E45" s="122"/>
      <c r="F45" s="80"/>
      <c r="G45" s="114"/>
      <c r="H45" s="1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</row>
    <row r="46" spans="1:18" x14ac:dyDescent="0.25">
      <c r="A46" s="142" t="s">
        <v>158</v>
      </c>
      <c r="B46" s="117"/>
      <c r="C46" s="117"/>
      <c r="D46" s="122"/>
      <c r="E46" s="122"/>
      <c r="F46" s="80"/>
      <c r="G46" s="116">
        <f>+G43-G44</f>
        <v>0</v>
      </c>
      <c r="H46" s="143">
        <f>+H44-H43</f>
        <v>0</v>
      </c>
      <c r="I46" s="241">
        <f t="shared" ref="I46:R46" si="8">+I44-I43</f>
        <v>0</v>
      </c>
      <c r="J46" s="241">
        <f t="shared" si="8"/>
        <v>0</v>
      </c>
      <c r="K46" s="241">
        <f t="shared" si="8"/>
        <v>0</v>
      </c>
      <c r="L46" s="241">
        <f t="shared" si="8"/>
        <v>0</v>
      </c>
      <c r="M46" s="241">
        <f t="shared" si="8"/>
        <v>0</v>
      </c>
      <c r="N46" s="241">
        <f t="shared" si="8"/>
        <v>0</v>
      </c>
      <c r="O46" s="241">
        <f t="shared" si="8"/>
        <v>0</v>
      </c>
      <c r="P46" s="241">
        <f t="shared" si="8"/>
        <v>0</v>
      </c>
      <c r="Q46" s="241">
        <f t="shared" si="8"/>
        <v>0</v>
      </c>
      <c r="R46" s="241">
        <f t="shared" si="8"/>
        <v>0</v>
      </c>
    </row>
    <row r="47" spans="1:18" x14ac:dyDescent="0.25">
      <c r="A47" s="140"/>
      <c r="B47" s="83"/>
      <c r="C47" s="83"/>
      <c r="D47" s="122"/>
      <c r="E47" s="122"/>
      <c r="F47" s="80"/>
      <c r="G47" s="114"/>
      <c r="H47" s="1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</row>
    <row r="48" spans="1:18" x14ac:dyDescent="0.25">
      <c r="A48" s="146" t="s">
        <v>159</v>
      </c>
      <c r="B48" s="118"/>
      <c r="C48" s="118"/>
      <c r="D48" s="122"/>
      <c r="E48" s="122"/>
      <c r="F48" s="80"/>
      <c r="G48" s="114">
        <f>+CIFRAS!C98-CIFRAS!B98</f>
        <v>656</v>
      </c>
      <c r="H48" s="141">
        <f>+CIFRAS!D98-CIFRAS!C98</f>
        <v>-90</v>
      </c>
      <c r="I48" s="241">
        <f>+CIFRAS!E98-CIFRAS!D98</f>
        <v>0</v>
      </c>
      <c r="J48" s="241">
        <f>+CIFRAS!F98-CIFRAS!E98</f>
        <v>488</v>
      </c>
      <c r="K48" s="241">
        <f>+CIFRAS!G98-CIFRAS!F98</f>
        <v>200</v>
      </c>
      <c r="L48" s="241">
        <f>+CIFRAS!H98-CIFRAS!G98</f>
        <v>0</v>
      </c>
      <c r="M48" s="241">
        <f>+CIFRAS!I98-CIFRAS!H98</f>
        <v>500</v>
      </c>
      <c r="N48" s="241">
        <f>+CIFRAS!J98-CIFRAS!I98</f>
        <v>178</v>
      </c>
      <c r="O48" s="241">
        <f>+CIFRAS!K98-CIFRAS!J98</f>
        <v>-55</v>
      </c>
      <c r="P48" s="241">
        <f>+CIFRAS!L98-CIFRAS!K98</f>
        <v>0</v>
      </c>
      <c r="Q48" s="241">
        <f>+CIFRAS!M98-CIFRAS!L98</f>
        <v>11</v>
      </c>
      <c r="R48" s="241">
        <f>+CIFRAS!N98-CIFRAS!M98</f>
        <v>-834</v>
      </c>
    </row>
    <row r="49" spans="1:18" x14ac:dyDescent="0.25">
      <c r="A49" s="146" t="s">
        <v>160</v>
      </c>
      <c r="B49" s="118"/>
      <c r="C49" s="118"/>
      <c r="D49" s="122"/>
      <c r="E49" s="122"/>
      <c r="F49" s="80"/>
      <c r="G49" s="114">
        <v>655</v>
      </c>
      <c r="H49" s="141">
        <v>655</v>
      </c>
      <c r="I49" s="241">
        <v>655</v>
      </c>
      <c r="J49" s="241">
        <v>655</v>
      </c>
      <c r="K49" s="241">
        <v>655</v>
      </c>
      <c r="L49" s="241">
        <v>655</v>
      </c>
      <c r="M49" s="241">
        <v>655</v>
      </c>
      <c r="N49" s="241">
        <v>655</v>
      </c>
      <c r="O49" s="241">
        <v>655</v>
      </c>
      <c r="P49" s="241">
        <v>655</v>
      </c>
      <c r="Q49" s="241">
        <v>655</v>
      </c>
      <c r="R49" s="241">
        <v>655</v>
      </c>
    </row>
    <row r="50" spans="1:18" x14ac:dyDescent="0.25">
      <c r="A50" s="146"/>
      <c r="B50" s="118"/>
      <c r="C50" s="118"/>
      <c r="D50" s="122"/>
      <c r="E50" s="122"/>
      <c r="F50" s="80"/>
      <c r="G50" s="114"/>
      <c r="H50" s="1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</row>
    <row r="51" spans="1:18" x14ac:dyDescent="0.25">
      <c r="A51" s="147"/>
      <c r="B51" s="118"/>
      <c r="C51" s="118"/>
      <c r="D51" s="122"/>
      <c r="E51" s="122"/>
      <c r="F51" s="80"/>
      <c r="G51" s="114"/>
      <c r="H51" s="1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</row>
    <row r="52" spans="1:18" x14ac:dyDescent="0.25">
      <c r="A52" s="142" t="s">
        <v>161</v>
      </c>
      <c r="B52" s="117"/>
      <c r="C52" s="117"/>
      <c r="D52" s="122"/>
      <c r="E52" s="122"/>
      <c r="F52" s="80"/>
      <c r="G52" s="116">
        <f>+CIFRAS!C98-CIFRAS!B98</f>
        <v>656</v>
      </c>
      <c r="H52" s="143">
        <f>+CIFRAS!D98-CIFRAS!C98</f>
        <v>-90</v>
      </c>
      <c r="I52" s="241">
        <f>+CIFRAS!E98-CIFRAS!D98</f>
        <v>0</v>
      </c>
      <c r="J52" s="241">
        <f>+CIFRAS!F98-CIFRAS!E98</f>
        <v>488</v>
      </c>
      <c r="K52" s="241">
        <f>+CIFRAS!G98-CIFRAS!F98</f>
        <v>200</v>
      </c>
      <c r="L52" s="241">
        <f>+CIFRAS!H98-CIFRAS!G98</f>
        <v>0</v>
      </c>
      <c r="M52" s="241">
        <f>+CIFRAS!I98-CIFRAS!H98</f>
        <v>500</v>
      </c>
      <c r="N52" s="241">
        <f>+CIFRAS!J98-CIFRAS!I98</f>
        <v>178</v>
      </c>
      <c r="O52" s="241">
        <f>+CIFRAS!K98-CIFRAS!J98</f>
        <v>-55</v>
      </c>
      <c r="P52" s="241">
        <f>+CIFRAS!L98-CIFRAS!K98</f>
        <v>0</v>
      </c>
      <c r="Q52" s="241">
        <f>+CIFRAS!M98-CIFRAS!L98</f>
        <v>11</v>
      </c>
      <c r="R52" s="241">
        <f>+CIFRAS!N98-CIFRAS!M98</f>
        <v>-834</v>
      </c>
    </row>
    <row r="53" spans="1:18" x14ac:dyDescent="0.25">
      <c r="A53" s="85"/>
      <c r="B53" s="80"/>
      <c r="C53" s="80"/>
      <c r="D53" s="122"/>
      <c r="E53" s="122"/>
      <c r="F53" s="87"/>
      <c r="G53" s="88"/>
      <c r="H53" s="126"/>
      <c r="I53" s="241"/>
      <c r="J53" s="241"/>
      <c r="K53" s="241"/>
      <c r="L53" s="241"/>
      <c r="M53" s="241"/>
      <c r="N53" s="241"/>
      <c r="O53" s="241"/>
      <c r="P53" s="241"/>
      <c r="Q53" s="241"/>
      <c r="R53" s="241"/>
    </row>
    <row r="54" spans="1:18" x14ac:dyDescent="0.25">
      <c r="A54" s="90" t="s">
        <v>162</v>
      </c>
      <c r="B54" s="82"/>
      <c r="C54" s="82"/>
      <c r="D54" s="122"/>
      <c r="E54" s="122"/>
      <c r="F54" s="80"/>
      <c r="G54" s="116">
        <f>+G46+G52</f>
        <v>656</v>
      </c>
      <c r="H54" s="143">
        <f t="shared" ref="H54:R54" si="9">+H46+H52</f>
        <v>-90</v>
      </c>
      <c r="I54" s="241">
        <f t="shared" si="9"/>
        <v>0</v>
      </c>
      <c r="J54" s="241">
        <f t="shared" si="9"/>
        <v>488</v>
      </c>
      <c r="K54" s="241">
        <f t="shared" si="9"/>
        <v>200</v>
      </c>
      <c r="L54" s="241">
        <f t="shared" si="9"/>
        <v>0</v>
      </c>
      <c r="M54" s="241">
        <f t="shared" si="9"/>
        <v>500</v>
      </c>
      <c r="N54" s="241">
        <f t="shared" si="9"/>
        <v>178</v>
      </c>
      <c r="O54" s="241">
        <f t="shared" si="9"/>
        <v>-55</v>
      </c>
      <c r="P54" s="241">
        <f t="shared" si="9"/>
        <v>0</v>
      </c>
      <c r="Q54" s="241">
        <f t="shared" si="9"/>
        <v>11</v>
      </c>
      <c r="R54" s="241">
        <f t="shared" si="9"/>
        <v>-834</v>
      </c>
    </row>
    <row r="55" spans="1:18" x14ac:dyDescent="0.25">
      <c r="A55" s="85"/>
      <c r="B55" s="82"/>
      <c r="C55" s="82"/>
      <c r="D55" s="122"/>
      <c r="E55" s="122"/>
      <c r="F55" s="80"/>
      <c r="G55" s="114"/>
      <c r="H55" s="141"/>
      <c r="I55" s="234"/>
      <c r="J55" s="234"/>
      <c r="K55" s="234"/>
      <c r="L55" s="234"/>
      <c r="M55" s="234"/>
      <c r="N55" s="234"/>
      <c r="O55" s="234"/>
      <c r="P55" s="234"/>
      <c r="Q55" s="234"/>
      <c r="R55" s="234"/>
    </row>
    <row r="56" spans="1:18" x14ac:dyDescent="0.25">
      <c r="A56" s="90"/>
      <c r="B56" s="82"/>
      <c r="C56" s="82"/>
      <c r="D56" s="122"/>
      <c r="E56" s="122"/>
      <c r="F56" s="87"/>
      <c r="G56" s="88"/>
      <c r="H56" s="126"/>
      <c r="I56" s="234"/>
      <c r="J56" s="234"/>
      <c r="K56" s="234"/>
      <c r="L56" s="234"/>
      <c r="M56" s="234"/>
      <c r="N56" s="234"/>
      <c r="O56" s="234"/>
      <c r="P56" s="234"/>
      <c r="Q56" s="234"/>
      <c r="R56" s="234"/>
    </row>
    <row r="57" spans="1:18" x14ac:dyDescent="0.25">
      <c r="A57" s="145" t="s">
        <v>163</v>
      </c>
      <c r="B57" s="83"/>
      <c r="C57" s="83"/>
      <c r="D57" s="122"/>
      <c r="E57" s="122"/>
      <c r="F57" s="80"/>
      <c r="G57" s="114">
        <v>0</v>
      </c>
      <c r="H57" s="141">
        <v>0</v>
      </c>
      <c r="I57" s="241">
        <v>0</v>
      </c>
      <c r="J57" s="241">
        <v>0</v>
      </c>
      <c r="K57" s="241">
        <v>0</v>
      </c>
      <c r="L57" s="241">
        <v>0</v>
      </c>
      <c r="M57" s="241">
        <v>0</v>
      </c>
      <c r="N57" s="241">
        <v>0</v>
      </c>
      <c r="O57" s="241">
        <v>0</v>
      </c>
      <c r="P57" s="241">
        <v>0</v>
      </c>
      <c r="Q57" s="241">
        <v>0</v>
      </c>
      <c r="R57" s="241">
        <v>0</v>
      </c>
    </row>
    <row r="58" spans="1:18" x14ac:dyDescent="0.25">
      <c r="A58" s="90"/>
      <c r="B58" s="82"/>
      <c r="C58" s="82"/>
      <c r="D58" s="122"/>
      <c r="E58" s="122"/>
      <c r="F58" s="88"/>
      <c r="G58" s="88"/>
      <c r="H58" s="126"/>
      <c r="I58" s="234"/>
      <c r="J58" s="234"/>
      <c r="K58" s="234"/>
      <c r="L58" s="234"/>
      <c r="M58" s="234"/>
      <c r="N58" s="234"/>
      <c r="O58" s="234"/>
      <c r="P58" s="234"/>
      <c r="Q58" s="234"/>
      <c r="R58" s="234"/>
    </row>
    <row r="59" spans="1:18" x14ac:dyDescent="0.25">
      <c r="A59" s="90" t="s">
        <v>164</v>
      </c>
      <c r="B59" s="82"/>
      <c r="C59" s="82"/>
      <c r="D59" s="122"/>
      <c r="E59" s="122"/>
      <c r="F59" s="80"/>
      <c r="G59" s="116">
        <f>+G37+G52</f>
        <v>790</v>
      </c>
      <c r="H59" s="143">
        <f t="shared" ref="H59:R59" si="10">+H37+H52</f>
        <v>183</v>
      </c>
      <c r="I59" s="242">
        <f t="shared" si="10"/>
        <v>468.50762343128235</v>
      </c>
      <c r="J59" s="242">
        <f t="shared" si="10"/>
        <v>543.67712165556577</v>
      </c>
      <c r="K59" s="242">
        <f t="shared" si="10"/>
        <v>2148.6680335259534</v>
      </c>
      <c r="L59" s="242">
        <f t="shared" si="10"/>
        <v>1902.7588956243362</v>
      </c>
      <c r="M59" s="242">
        <f t="shared" si="10"/>
        <v>1272.4135799478172</v>
      </c>
      <c r="N59" s="242">
        <f t="shared" si="10"/>
        <v>1735.5171688575601</v>
      </c>
      <c r="O59" s="242">
        <f t="shared" si="10"/>
        <v>1620.6706821809112</v>
      </c>
      <c r="P59" s="242">
        <f t="shared" si="10"/>
        <v>1495.6708518912365</v>
      </c>
      <c r="Q59" s="242">
        <f t="shared" si="10"/>
        <v>1357.8397121722646</v>
      </c>
      <c r="R59" s="242">
        <f t="shared" si="10"/>
        <v>1133.469184509745</v>
      </c>
    </row>
    <row r="60" spans="1:18" x14ac:dyDescent="0.25">
      <c r="A60" s="79"/>
      <c r="B60" s="80"/>
      <c r="C60" s="80"/>
      <c r="D60" s="122"/>
      <c r="E60" s="122"/>
      <c r="F60" s="97"/>
      <c r="G60" s="114"/>
      <c r="H60" s="141"/>
      <c r="I60" s="241"/>
      <c r="J60" s="241"/>
      <c r="K60" s="241"/>
      <c r="L60" s="241"/>
      <c r="M60" s="241"/>
      <c r="N60" s="241"/>
      <c r="O60" s="241"/>
      <c r="P60" s="241"/>
      <c r="Q60" s="241"/>
      <c r="R60" s="241"/>
    </row>
    <row r="61" spans="1:18" x14ac:dyDescent="0.25">
      <c r="A61" s="81" t="s">
        <v>165</v>
      </c>
      <c r="B61" s="82"/>
      <c r="C61" s="82"/>
      <c r="D61" s="122"/>
      <c r="E61" s="122"/>
      <c r="F61" s="97"/>
      <c r="G61" s="114">
        <f>+CIFRAS!C71</f>
        <v>239</v>
      </c>
      <c r="H61" s="257">
        <f>+CIFRAS!D71</f>
        <v>250</v>
      </c>
      <c r="I61" s="256">
        <f>+CIFRAS!E71</f>
        <v>250</v>
      </c>
      <c r="J61" s="256">
        <f>+CIFRAS!F71</f>
        <v>250</v>
      </c>
      <c r="K61" s="256">
        <f>+CIFRAS!G71</f>
        <v>579.11300000000006</v>
      </c>
      <c r="L61" s="256">
        <f>+CIFRAS!H71</f>
        <v>579.11300000000006</v>
      </c>
      <c r="M61" s="256">
        <f>+CIFRAS!I71</f>
        <v>579.11300000000006</v>
      </c>
      <c r="N61" s="256">
        <f>+CIFRAS!J71</f>
        <v>579.11300000000006</v>
      </c>
      <c r="O61" s="256">
        <f>+CIFRAS!K71</f>
        <v>579.11300000000006</v>
      </c>
      <c r="P61" s="256">
        <f>+CIFRAS!L71</f>
        <v>579.11300000000006</v>
      </c>
      <c r="Q61" s="256">
        <f>+CIFRAS!M71</f>
        <v>579.11300000000006</v>
      </c>
      <c r="R61" s="256">
        <f>+CIFRAS!N71</f>
        <v>579.11300000000006</v>
      </c>
    </row>
    <row r="62" spans="1:18" x14ac:dyDescent="0.25">
      <c r="A62" s="81" t="s">
        <v>166</v>
      </c>
      <c r="B62" s="82"/>
      <c r="C62" s="82"/>
      <c r="D62" s="122"/>
      <c r="E62" s="122"/>
      <c r="F62" s="97"/>
      <c r="G62" s="114">
        <f>+G59+G61</f>
        <v>1029</v>
      </c>
      <c r="H62" s="257">
        <f t="shared" ref="H62:R62" si="11">+H59+H61</f>
        <v>433</v>
      </c>
      <c r="I62" s="256">
        <f t="shared" si="11"/>
        <v>718.50762343128235</v>
      </c>
      <c r="J62" s="256">
        <f t="shared" si="11"/>
        <v>793.67712165556577</v>
      </c>
      <c r="K62" s="256">
        <f t="shared" si="11"/>
        <v>2727.7810335259537</v>
      </c>
      <c r="L62" s="256">
        <f t="shared" si="11"/>
        <v>2481.8718956243365</v>
      </c>
      <c r="M62" s="256">
        <f t="shared" si="11"/>
        <v>1851.5265799478173</v>
      </c>
      <c r="N62" s="256">
        <f t="shared" si="11"/>
        <v>2314.6301688575604</v>
      </c>
      <c r="O62" s="256">
        <f t="shared" si="11"/>
        <v>2199.7836821809115</v>
      </c>
      <c r="P62" s="256">
        <f t="shared" si="11"/>
        <v>2074.7838518912367</v>
      </c>
      <c r="Q62" s="256">
        <f t="shared" si="11"/>
        <v>1936.9527121722647</v>
      </c>
      <c r="R62" s="256">
        <f t="shared" si="11"/>
        <v>1712.582184509745</v>
      </c>
    </row>
    <row r="63" spans="1:18" x14ac:dyDescent="0.25">
      <c r="A63" s="81" t="s">
        <v>167</v>
      </c>
      <c r="B63" s="82"/>
      <c r="C63" s="82"/>
      <c r="D63" s="122"/>
      <c r="E63" s="122"/>
      <c r="F63" s="98"/>
      <c r="G63" s="114">
        <f>+G61-G62</f>
        <v>-790</v>
      </c>
      <c r="H63" s="257">
        <f t="shared" ref="H63:R63" si="12">+H61-H62</f>
        <v>-183</v>
      </c>
      <c r="I63" s="256">
        <f t="shared" si="12"/>
        <v>-468.50762343128235</v>
      </c>
      <c r="J63" s="256">
        <f t="shared" si="12"/>
        <v>-543.67712165556577</v>
      </c>
      <c r="K63" s="256">
        <f t="shared" si="12"/>
        <v>-2148.6680335259534</v>
      </c>
      <c r="L63" s="256">
        <f t="shared" si="12"/>
        <v>-1902.7588956243364</v>
      </c>
      <c r="M63" s="256">
        <f t="shared" si="12"/>
        <v>-1272.4135799478172</v>
      </c>
      <c r="N63" s="256">
        <f t="shared" si="12"/>
        <v>-1735.5171688575604</v>
      </c>
      <c r="O63" s="256">
        <f t="shared" si="12"/>
        <v>-1620.6706821809114</v>
      </c>
      <c r="P63" s="256">
        <f t="shared" si="12"/>
        <v>-1495.6708518912367</v>
      </c>
      <c r="Q63" s="256">
        <f t="shared" si="12"/>
        <v>-1357.8397121722646</v>
      </c>
      <c r="R63" s="256">
        <f t="shared" si="12"/>
        <v>-1133.469184509745</v>
      </c>
    </row>
    <row r="64" spans="1:18" x14ac:dyDescent="0.25">
      <c r="A64" s="79"/>
      <c r="B64" s="80"/>
      <c r="C64" s="80"/>
      <c r="D64" s="122"/>
      <c r="E64" s="122"/>
      <c r="F64" s="98"/>
      <c r="G64" s="119"/>
      <c r="H64" s="125"/>
      <c r="I64" s="234"/>
      <c r="J64" s="234"/>
      <c r="K64" s="234"/>
      <c r="L64" s="234"/>
      <c r="M64" s="234"/>
      <c r="N64" s="234"/>
      <c r="O64" s="234"/>
      <c r="P64" s="234"/>
      <c r="Q64" s="234"/>
      <c r="R64" s="234"/>
    </row>
    <row r="65" spans="1:18" x14ac:dyDescent="0.25">
      <c r="A65" s="99"/>
      <c r="B65" s="80"/>
      <c r="C65" s="80"/>
      <c r="D65" s="122"/>
      <c r="E65" s="122"/>
      <c r="F65" s="80"/>
      <c r="G65" s="88">
        <v>0</v>
      </c>
      <c r="H65" s="126">
        <v>0</v>
      </c>
      <c r="I65" s="234"/>
      <c r="J65" s="234"/>
      <c r="K65" s="234"/>
      <c r="L65" s="234"/>
      <c r="M65" s="234"/>
      <c r="N65" s="234"/>
      <c r="O65" s="234"/>
      <c r="P65" s="234"/>
      <c r="Q65" s="234"/>
      <c r="R65" s="234"/>
    </row>
    <row r="66" spans="1:18" x14ac:dyDescent="0.25">
      <c r="A66" s="99"/>
      <c r="B66" s="130"/>
      <c r="C66" s="130"/>
      <c r="D66" s="122"/>
      <c r="E66" s="122"/>
      <c r="F66" s="130"/>
      <c r="G66" s="88"/>
      <c r="H66" s="126"/>
      <c r="I66" s="234"/>
      <c r="J66" s="234"/>
      <c r="K66" s="234"/>
      <c r="L66" s="234"/>
      <c r="M66" s="234"/>
      <c r="N66" s="234"/>
      <c r="O66" s="234"/>
      <c r="P66" s="234"/>
      <c r="Q66" s="234"/>
      <c r="R66" s="234"/>
    </row>
    <row r="67" spans="1:18" ht="15.75" x14ac:dyDescent="0.25">
      <c r="A67" s="286" t="s">
        <v>168</v>
      </c>
      <c r="B67" s="287"/>
      <c r="C67" s="287"/>
      <c r="D67" s="287"/>
      <c r="E67" s="122"/>
      <c r="F67" s="161">
        <f>+F3</f>
        <v>2014</v>
      </c>
      <c r="G67" s="161">
        <f t="shared" ref="G67:H67" si="13">+G3</f>
        <v>2015</v>
      </c>
      <c r="H67" s="162">
        <f t="shared" si="13"/>
        <v>42673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</row>
    <row r="68" spans="1:18" ht="15.75" thickBot="1" x14ac:dyDescent="0.3">
      <c r="A68" s="288" t="s">
        <v>169</v>
      </c>
      <c r="B68" s="289"/>
      <c r="C68" s="289"/>
      <c r="D68" s="122"/>
      <c r="E68" s="122"/>
      <c r="F68" s="78"/>
      <c r="G68" s="78"/>
      <c r="H68" s="148"/>
      <c r="I68" s="249"/>
      <c r="J68" s="249"/>
      <c r="K68" s="249"/>
      <c r="L68" s="249"/>
      <c r="M68" s="249"/>
      <c r="N68" s="249"/>
      <c r="O68" s="249"/>
      <c r="P68" s="249"/>
      <c r="Q68" s="249"/>
      <c r="R68" s="249"/>
    </row>
    <row r="69" spans="1:18" ht="15.75" thickTop="1" x14ac:dyDescent="0.25">
      <c r="A69" s="91"/>
      <c r="B69" s="77"/>
      <c r="C69" s="77"/>
      <c r="D69" s="122"/>
      <c r="E69" s="122"/>
      <c r="F69" s="78"/>
      <c r="G69" s="78"/>
      <c r="H69" s="148"/>
      <c r="I69" s="249"/>
      <c r="J69" s="249"/>
      <c r="K69" s="249"/>
      <c r="L69" s="249"/>
      <c r="M69" s="249"/>
      <c r="N69" s="249"/>
      <c r="O69" s="249"/>
      <c r="P69" s="249"/>
      <c r="Q69" s="249"/>
      <c r="R69" s="249"/>
    </row>
    <row r="70" spans="1:18" x14ac:dyDescent="0.25">
      <c r="A70" s="149" t="s">
        <v>170</v>
      </c>
      <c r="B70" s="77"/>
      <c r="C70" s="77"/>
      <c r="D70" s="122"/>
      <c r="E70" s="122"/>
      <c r="F70" s="100">
        <f>+CIFRAS!B89/CIFRAS!B69</f>
        <v>0.44321827280893111</v>
      </c>
      <c r="G70" s="100">
        <f>+CIFRAS!C89/CIFRAS!C69</f>
        <v>0.34080212809494576</v>
      </c>
      <c r="H70" s="127">
        <f>+CIFRAS!D89/CIFRAS!D69</f>
        <v>0.32206262824516013</v>
      </c>
      <c r="I70" s="100"/>
      <c r="J70" s="100"/>
      <c r="K70" s="100"/>
      <c r="L70" s="100"/>
      <c r="M70" s="100"/>
      <c r="N70" s="100"/>
      <c r="O70" s="100"/>
      <c r="P70" s="100"/>
      <c r="Q70" s="100"/>
      <c r="R70" s="100"/>
    </row>
    <row r="71" spans="1:18" x14ac:dyDescent="0.25">
      <c r="A71" s="149" t="s">
        <v>171</v>
      </c>
      <c r="B71" s="77"/>
      <c r="C71" s="77"/>
      <c r="D71" s="122"/>
      <c r="E71" s="122"/>
      <c r="F71" s="92">
        <f>+CIFRAS!B89/CIFRAS!B103</f>
        <v>0.79603595298455865</v>
      </c>
      <c r="G71" s="92">
        <f>+CIFRAS!C89/CIFRAS!C103</f>
        <v>0.51699518857674998</v>
      </c>
      <c r="H71" s="150">
        <f>+CIFRAS!D89/CIFRAS!D103</f>
        <v>0.47506250822476642</v>
      </c>
      <c r="I71" s="92"/>
      <c r="J71" s="92"/>
      <c r="K71" s="92"/>
      <c r="L71" s="92"/>
      <c r="M71" s="92"/>
      <c r="N71" s="92"/>
      <c r="O71" s="92"/>
      <c r="P71" s="92"/>
      <c r="Q71" s="92"/>
      <c r="R71" s="92"/>
    </row>
    <row r="72" spans="1:18" x14ac:dyDescent="0.25">
      <c r="A72" s="149" t="s">
        <v>172</v>
      </c>
      <c r="B72" s="77"/>
      <c r="C72" s="77"/>
      <c r="D72" s="122"/>
      <c r="E72" s="122"/>
      <c r="F72" s="92">
        <f>+CIFRAS!B89/'FC + INDICADORES'!F4</f>
        <v>1.0453995157384988</v>
      </c>
      <c r="G72" s="92">
        <f>+CIFRAS!C89/'FC + INDICADORES'!G4</f>
        <v>0.8018777082330284</v>
      </c>
      <c r="H72" s="150">
        <f>+CIFRAS!D89/'FC + INDICADORES'!H4</f>
        <v>0.567520830058167</v>
      </c>
      <c r="I72" s="92"/>
      <c r="J72" s="92"/>
      <c r="K72" s="92"/>
      <c r="L72" s="92"/>
      <c r="M72" s="92"/>
      <c r="N72" s="92"/>
      <c r="O72" s="92"/>
      <c r="P72" s="92"/>
      <c r="Q72" s="92"/>
      <c r="R72" s="92"/>
    </row>
    <row r="73" spans="1:18" x14ac:dyDescent="0.25">
      <c r="A73" s="149" t="s">
        <v>173</v>
      </c>
      <c r="B73" s="132"/>
      <c r="C73" s="132"/>
      <c r="D73" s="122"/>
      <c r="E73" s="122"/>
      <c r="F73" s="92">
        <f>+(CIFRAS!B91+CIFRAS!B98)/'FC + INDICADORES'!F4</f>
        <v>0.31658595641646486</v>
      </c>
      <c r="G73" s="92">
        <f>+(CIFRAS!C91+CIFRAS!C98)/'FC + INDICADORES'!G4</f>
        <v>0.4549831487722677</v>
      </c>
      <c r="H73" s="150">
        <f>+(CIFRAS!D91+CIFRAS!D98)/'FC + INDICADORES'!H4</f>
        <v>0.30529790913378402</v>
      </c>
      <c r="I73" s="92"/>
      <c r="J73" s="92"/>
      <c r="K73" s="92"/>
      <c r="L73" s="92"/>
      <c r="M73" s="92"/>
      <c r="N73" s="92"/>
      <c r="O73" s="92"/>
      <c r="P73" s="92"/>
      <c r="Q73" s="92"/>
      <c r="R73" s="92"/>
    </row>
    <row r="74" spans="1:18" x14ac:dyDescent="0.25">
      <c r="A74" s="151" t="s">
        <v>174</v>
      </c>
      <c r="B74" s="133"/>
      <c r="C74" s="133"/>
      <c r="D74" s="122"/>
      <c r="E74" s="122"/>
      <c r="F74" s="100">
        <f>+(CIFRAS!B91+CIFRAS!B98)/CIFRAS!B25</f>
        <v>2.7794016049317107E-2</v>
      </c>
      <c r="G74" s="100">
        <f>+(CIFRAS!C91+CIFRAS!C98)/CIFRAS!C25</f>
        <v>3.9811265113535832E-2</v>
      </c>
      <c r="H74" s="127">
        <f>+(CIFRAS!D91+CIFRAS!D98)/CIFRAS!D25</f>
        <v>4.25149962782959E-2</v>
      </c>
      <c r="I74" s="100"/>
      <c r="J74" s="100"/>
      <c r="K74" s="100"/>
      <c r="L74" s="100"/>
      <c r="M74" s="100"/>
      <c r="N74" s="100"/>
      <c r="O74" s="100"/>
      <c r="P74" s="100"/>
      <c r="Q74" s="100"/>
      <c r="R74" s="100"/>
    </row>
    <row r="75" spans="1:18" x14ac:dyDescent="0.25">
      <c r="A75" s="152" t="s">
        <v>175</v>
      </c>
      <c r="B75" s="133"/>
      <c r="C75" s="133"/>
      <c r="D75" s="122"/>
      <c r="E75" s="122"/>
      <c r="F75" s="92">
        <f>+CIFRAS!B89/CIFRAS!B25</f>
        <v>9.1778710740288039E-2</v>
      </c>
      <c r="G75" s="92">
        <f>+CIFRAS!C89/CIFRAS!C25</f>
        <v>7.0164721742427438E-2</v>
      </c>
      <c r="H75" s="150">
        <f>+CIFRAS!D89/CIFRAS!D25</f>
        <v>7.9031481238232851E-2</v>
      </c>
      <c r="I75" s="92"/>
      <c r="J75" s="92"/>
      <c r="K75" s="92"/>
      <c r="L75" s="92"/>
      <c r="M75" s="92"/>
      <c r="N75" s="92"/>
      <c r="O75" s="92"/>
      <c r="P75" s="92"/>
      <c r="Q75" s="92"/>
      <c r="R75" s="92"/>
    </row>
    <row r="76" spans="1:18" ht="15.75" customHeight="1" x14ac:dyDescent="0.25">
      <c r="A76" s="101" t="s">
        <v>176</v>
      </c>
      <c r="B76" s="100"/>
      <c r="C76" s="100"/>
      <c r="D76" s="122"/>
      <c r="E76" s="122"/>
      <c r="F76" s="92">
        <f>+CIFRAS!B91+CIFRAS!B98</f>
        <v>1046</v>
      </c>
      <c r="G76" s="92">
        <f>+CIFRAS!C91+CIFRAS!C98</f>
        <v>1890</v>
      </c>
      <c r="H76" s="150">
        <f>+CIFRAS!D91+CIFRAS!D98</f>
        <v>1942</v>
      </c>
      <c r="I76" s="92"/>
      <c r="J76" s="92"/>
      <c r="K76" s="92"/>
      <c r="L76" s="92"/>
      <c r="M76" s="92"/>
      <c r="N76" s="92"/>
      <c r="O76" s="92"/>
      <c r="P76" s="92"/>
      <c r="Q76" s="92"/>
      <c r="R76" s="92"/>
    </row>
    <row r="77" spans="1:18" ht="21" customHeight="1" x14ac:dyDescent="0.25">
      <c r="A77" s="93" t="s">
        <v>177</v>
      </c>
      <c r="B77" s="100"/>
      <c r="C77" s="100"/>
      <c r="D77" s="122"/>
      <c r="E77" s="122"/>
      <c r="F77" s="100"/>
      <c r="G77" s="100"/>
      <c r="H77" s="127"/>
      <c r="I77" s="249"/>
      <c r="J77" s="249"/>
      <c r="K77" s="249"/>
      <c r="L77" s="249"/>
      <c r="M77" s="249"/>
      <c r="N77" s="249"/>
      <c r="O77" s="249"/>
      <c r="P77" s="249"/>
      <c r="Q77" s="249"/>
      <c r="R77" s="249"/>
    </row>
    <row r="78" spans="1:18" ht="16.5" customHeight="1" x14ac:dyDescent="0.25">
      <c r="A78" s="290" t="s">
        <v>178</v>
      </c>
      <c r="B78" s="291"/>
      <c r="C78" s="291"/>
      <c r="D78" s="122"/>
      <c r="E78" s="122"/>
      <c r="F78" s="92"/>
      <c r="G78" s="134">
        <f>+CIFRAS!B42/(CIFRAS!B91+CIFRAS!C91+CIFRAS!C98+CIFRAS!B98)</f>
        <v>0.19720708446866486</v>
      </c>
      <c r="H78" s="153">
        <f>+CIFRAS!C42/(CIFRAS!C91+CIFRAS!D91+CIFRAS!D98+CIFRAS!C98)</f>
        <v>0.20615866388308976</v>
      </c>
      <c r="I78" s="134"/>
      <c r="J78" s="134"/>
      <c r="K78" s="134"/>
      <c r="L78" s="134"/>
      <c r="M78" s="134"/>
      <c r="N78" s="134"/>
      <c r="O78" s="134"/>
      <c r="P78" s="134"/>
      <c r="Q78" s="134"/>
      <c r="R78" s="134"/>
    </row>
    <row r="79" spans="1:18" x14ac:dyDescent="0.25">
      <c r="A79" s="101"/>
      <c r="B79" s="100"/>
      <c r="C79" s="100"/>
      <c r="D79" s="122"/>
      <c r="E79" s="122"/>
      <c r="F79" s="135"/>
      <c r="G79" s="135"/>
      <c r="H79" s="154"/>
      <c r="I79" s="249"/>
      <c r="J79" s="249"/>
      <c r="K79" s="249"/>
      <c r="L79" s="249"/>
      <c r="M79" s="249"/>
      <c r="N79" s="249"/>
      <c r="O79" s="249"/>
      <c r="P79" s="249"/>
      <c r="Q79" s="249"/>
      <c r="R79" s="249"/>
    </row>
    <row r="80" spans="1:18" x14ac:dyDescent="0.25">
      <c r="A80" s="94" t="s">
        <v>179</v>
      </c>
      <c r="B80" s="100"/>
      <c r="C80" s="100"/>
      <c r="D80" s="122"/>
      <c r="E80" s="122"/>
      <c r="F80" s="135"/>
      <c r="G80" s="135"/>
      <c r="H80" s="154"/>
      <c r="I80" s="249"/>
      <c r="J80" s="249"/>
      <c r="K80" s="249"/>
      <c r="L80" s="249"/>
      <c r="M80" s="249"/>
      <c r="N80" s="249"/>
      <c r="O80" s="249"/>
      <c r="P80" s="249"/>
      <c r="Q80" s="249"/>
      <c r="R80" s="249"/>
    </row>
    <row r="81" spans="1:18" x14ac:dyDescent="0.25">
      <c r="A81" s="94"/>
      <c r="B81" s="100"/>
      <c r="C81" s="100"/>
      <c r="D81" s="122"/>
      <c r="E81" s="122"/>
      <c r="F81" s="135"/>
      <c r="G81" s="135"/>
      <c r="H81" s="154"/>
      <c r="I81" s="249"/>
      <c r="J81" s="249"/>
      <c r="K81" s="249"/>
      <c r="L81" s="249"/>
      <c r="M81" s="249"/>
      <c r="N81" s="249"/>
      <c r="O81" s="249"/>
      <c r="P81" s="249"/>
      <c r="Q81" s="249"/>
      <c r="R81" s="249"/>
    </row>
    <row r="82" spans="1:18" x14ac:dyDescent="0.25">
      <c r="A82" s="149" t="s">
        <v>180</v>
      </c>
      <c r="B82" s="132"/>
      <c r="C82" s="132"/>
      <c r="D82" s="122"/>
      <c r="E82" s="122"/>
      <c r="F82" s="92">
        <f>+F4/CIFRAS!B41</f>
        <v>5.7063903281519863</v>
      </c>
      <c r="G82" s="92">
        <f>+G4/CIFRAS!C41</f>
        <v>5.2582278481012654</v>
      </c>
      <c r="H82" s="150">
        <f>+H4/CIFRAS!D41</f>
        <v>17.817927170868348</v>
      </c>
      <c r="I82" s="92"/>
      <c r="J82" s="92"/>
      <c r="K82" s="92"/>
      <c r="L82" s="92"/>
      <c r="M82" s="92"/>
      <c r="N82" s="92"/>
      <c r="O82" s="92"/>
      <c r="P82" s="92"/>
      <c r="Q82" s="92"/>
      <c r="R82" s="92"/>
    </row>
    <row r="83" spans="1:18" x14ac:dyDescent="0.25">
      <c r="A83" s="101" t="s">
        <v>181</v>
      </c>
      <c r="B83" s="100"/>
      <c r="C83" s="100"/>
      <c r="D83" s="122"/>
      <c r="E83" s="122"/>
      <c r="F83" s="100"/>
      <c r="G83" s="100"/>
      <c r="H83" s="127"/>
      <c r="I83" s="249"/>
      <c r="J83" s="249"/>
      <c r="K83" s="249"/>
      <c r="L83" s="249"/>
      <c r="M83" s="249"/>
      <c r="N83" s="249"/>
      <c r="O83" s="249"/>
      <c r="P83" s="249"/>
      <c r="Q83" s="249"/>
      <c r="R83" s="249"/>
    </row>
    <row r="84" spans="1:18" x14ac:dyDescent="0.25">
      <c r="A84" s="102"/>
      <c r="B84" s="100"/>
      <c r="C84" s="100"/>
      <c r="D84" s="122"/>
      <c r="E84" s="122"/>
      <c r="F84" s="100"/>
      <c r="G84" s="100"/>
      <c r="H84" s="127"/>
      <c r="I84" s="249"/>
      <c r="J84" s="249"/>
      <c r="K84" s="249"/>
      <c r="L84" s="249"/>
      <c r="M84" s="249"/>
      <c r="N84" s="249"/>
      <c r="O84" s="249"/>
      <c r="P84" s="249"/>
      <c r="Q84" s="249"/>
      <c r="R84" s="249"/>
    </row>
    <row r="85" spans="1:18" x14ac:dyDescent="0.25">
      <c r="A85" s="95" t="s">
        <v>182</v>
      </c>
      <c r="B85" s="100"/>
      <c r="C85" s="100"/>
      <c r="D85" s="122"/>
      <c r="E85" s="122"/>
      <c r="F85" s="100"/>
      <c r="G85" s="100"/>
      <c r="H85" s="127"/>
      <c r="I85" s="249"/>
      <c r="J85" s="249"/>
      <c r="K85" s="249"/>
      <c r="L85" s="249"/>
      <c r="M85" s="249"/>
      <c r="N85" s="249"/>
      <c r="O85" s="249"/>
      <c r="P85" s="249"/>
      <c r="Q85" s="249"/>
      <c r="R85" s="249"/>
    </row>
    <row r="86" spans="1:18" x14ac:dyDescent="0.25">
      <c r="A86" s="95"/>
      <c r="B86" s="100"/>
      <c r="C86" s="100"/>
      <c r="D86" s="122"/>
      <c r="E86" s="122"/>
      <c r="F86" s="100"/>
      <c r="G86" s="100"/>
      <c r="H86" s="127"/>
      <c r="I86" s="249"/>
      <c r="J86" s="249"/>
      <c r="K86" s="249"/>
      <c r="L86" s="249"/>
      <c r="M86" s="249"/>
      <c r="N86" s="249"/>
      <c r="O86" s="249"/>
      <c r="P86" s="249"/>
      <c r="Q86" s="249"/>
      <c r="R86" s="249"/>
    </row>
    <row r="87" spans="1:18" x14ac:dyDescent="0.25">
      <c r="A87" s="103" t="s">
        <v>183</v>
      </c>
      <c r="B87" s="104"/>
      <c r="C87" s="104"/>
      <c r="D87" s="122"/>
      <c r="E87" s="122"/>
      <c r="F87" s="136"/>
      <c r="G87" s="136">
        <f>IF(CIFRAS!B25=0,0,(CIFRAS!C25/CIFRAS!B25)-1)</f>
        <v>0.26146569591326996</v>
      </c>
      <c r="H87" s="155">
        <f>IF(CIFRAS!C25=0,0,(CIFRAS!D25/CIFRAS!$D$4*12)/CIFRAS!C25)-1</f>
        <v>0.15460251927370794</v>
      </c>
      <c r="I87" s="250"/>
      <c r="J87" s="250"/>
      <c r="K87" s="250"/>
      <c r="L87" s="250"/>
      <c r="M87" s="250"/>
      <c r="N87" s="250"/>
      <c r="O87" s="250"/>
      <c r="P87" s="250"/>
      <c r="Q87" s="250"/>
      <c r="R87" s="250"/>
    </row>
    <row r="88" spans="1:18" x14ac:dyDescent="0.25">
      <c r="A88" s="149" t="s">
        <v>184</v>
      </c>
      <c r="B88" s="106"/>
      <c r="C88" s="106"/>
      <c r="D88" s="122"/>
      <c r="E88" s="122"/>
      <c r="F88" s="100"/>
      <c r="G88" s="136">
        <f>+G87-CIFRAS!C7</f>
        <v>0.19376569591326998</v>
      </c>
      <c r="H88" s="155">
        <f>+H87-CIFRAS!D7</f>
        <v>6.8602519273707946E-2</v>
      </c>
      <c r="I88" s="136"/>
      <c r="J88" s="136"/>
      <c r="K88" s="136"/>
      <c r="L88" s="136"/>
      <c r="M88" s="136"/>
      <c r="N88" s="136"/>
      <c r="O88" s="136"/>
      <c r="P88" s="136"/>
      <c r="Q88" s="136"/>
      <c r="R88" s="136"/>
    </row>
    <row r="89" spans="1:18" x14ac:dyDescent="0.25">
      <c r="A89" s="105" t="s">
        <v>185</v>
      </c>
      <c r="B89" s="106"/>
      <c r="C89" s="106"/>
      <c r="D89" s="122"/>
      <c r="E89" s="122"/>
      <c r="F89" s="100"/>
      <c r="G89" s="100"/>
      <c r="H89" s="127"/>
      <c r="I89" s="249"/>
      <c r="J89" s="249"/>
      <c r="K89" s="249"/>
      <c r="L89" s="249"/>
      <c r="M89" s="249"/>
      <c r="N89" s="249"/>
      <c r="O89" s="249"/>
      <c r="P89" s="249"/>
      <c r="Q89" s="249"/>
      <c r="R89" s="249"/>
    </row>
    <row r="90" spans="1:18" x14ac:dyDescent="0.25">
      <c r="A90" s="105"/>
      <c r="B90" s="106"/>
      <c r="C90" s="106"/>
      <c r="D90" s="122"/>
      <c r="E90" s="122"/>
      <c r="F90" s="100"/>
      <c r="G90" s="100"/>
      <c r="H90" s="127"/>
      <c r="I90" s="249"/>
      <c r="J90" s="249"/>
      <c r="K90" s="249"/>
      <c r="L90" s="249"/>
      <c r="M90" s="249"/>
      <c r="N90" s="249"/>
      <c r="O90" s="249"/>
      <c r="P90" s="249"/>
      <c r="Q90" s="249"/>
      <c r="R90" s="249"/>
    </row>
    <row r="91" spans="1:18" x14ac:dyDescent="0.25">
      <c r="A91" s="156" t="s">
        <v>186</v>
      </c>
      <c r="B91" s="100"/>
      <c r="C91" s="100"/>
      <c r="D91" s="122"/>
      <c r="E91" s="122"/>
      <c r="F91" s="100">
        <f>IF(CIFRAS!B69=0,0,(CIFRAS!B61/CIFRAS!B69))</f>
        <v>0.22648530732708841</v>
      </c>
      <c r="G91" s="100">
        <f>IF(CIFRAS!C69=0,0,(CIFRAS!C61/((CIFRAS!B69+CIFRAS!C69)/2)))</f>
        <v>0.23954004667843115</v>
      </c>
      <c r="H91" s="127">
        <f>IF(CIFRAS!D69=0,0,(CIFRAS!D61*12/CIFRAS!D4)/((CIFRAS!C69+CIFRAS!C61)/2))</f>
        <v>0.71264522646910244</v>
      </c>
      <c r="I91" s="100"/>
      <c r="J91" s="100"/>
      <c r="K91" s="100"/>
      <c r="L91" s="100"/>
      <c r="M91" s="100"/>
      <c r="N91" s="100"/>
      <c r="O91" s="100"/>
      <c r="P91" s="100"/>
      <c r="Q91" s="100"/>
      <c r="R91" s="100"/>
    </row>
    <row r="92" spans="1:18" x14ac:dyDescent="0.25">
      <c r="A92" s="94" t="s">
        <v>187</v>
      </c>
      <c r="B92" s="100"/>
      <c r="C92" s="100"/>
      <c r="D92" s="122"/>
      <c r="E92" s="122"/>
      <c r="F92" s="100"/>
      <c r="G92" s="100"/>
      <c r="H92" s="127"/>
      <c r="I92" s="249"/>
      <c r="J92" s="249"/>
      <c r="K92" s="249"/>
      <c r="L92" s="249"/>
      <c r="M92" s="249"/>
      <c r="N92" s="249"/>
      <c r="O92" s="249"/>
      <c r="P92" s="249"/>
      <c r="Q92" s="249"/>
      <c r="R92" s="249"/>
    </row>
    <row r="93" spans="1:18" x14ac:dyDescent="0.25">
      <c r="A93" s="94"/>
      <c r="B93" s="100"/>
      <c r="C93" s="100"/>
      <c r="D93" s="122"/>
      <c r="E93" s="122"/>
      <c r="F93" s="100"/>
      <c r="G93" s="100"/>
      <c r="H93" s="127"/>
      <c r="I93" s="249"/>
      <c r="J93" s="249"/>
      <c r="K93" s="249"/>
      <c r="L93" s="249"/>
      <c r="M93" s="249"/>
      <c r="N93" s="249"/>
      <c r="O93" s="249"/>
      <c r="P93" s="249"/>
      <c r="Q93" s="249"/>
      <c r="R93" s="249"/>
    </row>
    <row r="94" spans="1:18" x14ac:dyDescent="0.25">
      <c r="A94" s="149" t="s">
        <v>188</v>
      </c>
      <c r="B94" s="132"/>
      <c r="C94" s="132"/>
      <c r="D94" s="122"/>
      <c r="E94" s="122"/>
      <c r="F94" s="80">
        <f>IF(CIFRAS!B25=0,0,CIFRAS!B72/CIFRAS!B25*360)</f>
        <v>12.129457405537547</v>
      </c>
      <c r="G94" s="80">
        <f>IF(CIFRAS!C25=0,0,CIFRAS!C72/CIFRAS!C25*360)</f>
        <v>7.7271769810843827</v>
      </c>
      <c r="H94" s="125">
        <f>IF(CIFRAS!D25=0,0,CIFRAS!D72/CIFRAS!D25*CIFRAS!$D$4*30)</f>
        <v>7.9403651648495996</v>
      </c>
      <c r="I94" s="251"/>
      <c r="J94" s="251"/>
      <c r="K94" s="251"/>
      <c r="L94" s="251"/>
      <c r="M94" s="251"/>
      <c r="N94" s="251"/>
      <c r="O94" s="251"/>
      <c r="P94" s="251"/>
      <c r="Q94" s="251"/>
      <c r="R94" s="251"/>
    </row>
    <row r="95" spans="1:18" x14ac:dyDescent="0.25">
      <c r="A95" s="149" t="s">
        <v>189</v>
      </c>
      <c r="B95" s="132"/>
      <c r="C95" s="132"/>
      <c r="D95" s="122"/>
      <c r="E95" s="122"/>
      <c r="F95" s="80">
        <f>IF(CIFRAS!B25=0,0,CIFRAS!B73/CIFRAS!B25*360)</f>
        <v>4.3620130732847961</v>
      </c>
      <c r="G95" s="80">
        <f>IF(CIFRAS!C25=0,0,CIFRAS!C73/CIFRAS!C25*360)</f>
        <v>3.7991321565488478</v>
      </c>
      <c r="H95" s="125">
        <f>IF(CIFRAS!D25=0,0,CIFRAS!D73/CIFRAS!D25*CIFRAS!$D$4*30)</f>
        <v>5.1556548009982928</v>
      </c>
      <c r="I95" s="249"/>
      <c r="J95" s="249"/>
      <c r="K95" s="249"/>
      <c r="L95" s="249"/>
      <c r="M95" s="249"/>
      <c r="N95" s="249"/>
      <c r="O95" s="249"/>
      <c r="P95" s="249"/>
      <c r="Q95" s="249"/>
      <c r="R95" s="249"/>
    </row>
    <row r="96" spans="1:18" x14ac:dyDescent="0.25">
      <c r="A96" s="149" t="s">
        <v>190</v>
      </c>
      <c r="B96" s="132"/>
      <c r="C96" s="132"/>
      <c r="D96" s="122"/>
      <c r="E96" s="122"/>
      <c r="F96" s="80">
        <f>IF(CIFRAS!B28=0,0,CIFRAS!B92/CIFRAS!B28*360)</f>
        <v>10.774489370571072</v>
      </c>
      <c r="G96" s="80">
        <f>IF(CIFRAS!C28=0,0,CIFRAS!C92/CIFRAS!C28*360)</f>
        <v>6.4117843990626042</v>
      </c>
      <c r="H96" s="125">
        <f>IF(CIFRAS!D28=0,0,CIFRAS!D92/CIFRAS!D28*CIFRAS!$D$4*30)</f>
        <v>6.0851926977687629</v>
      </c>
      <c r="I96" s="249"/>
      <c r="J96" s="249"/>
      <c r="K96" s="249"/>
      <c r="L96" s="249"/>
      <c r="M96" s="249"/>
      <c r="N96" s="249"/>
      <c r="O96" s="249"/>
      <c r="P96" s="249"/>
      <c r="Q96" s="249"/>
      <c r="R96" s="249"/>
    </row>
    <row r="97" spans="1:18" x14ac:dyDescent="0.25">
      <c r="A97" s="149" t="s">
        <v>191</v>
      </c>
      <c r="B97" s="132"/>
      <c r="C97" s="132"/>
      <c r="D97" s="122"/>
      <c r="E97" s="122"/>
      <c r="F97" s="80">
        <f>+F94+F95-F96</f>
        <v>5.7169811082512716</v>
      </c>
      <c r="G97" s="80">
        <f t="shared" ref="G97:H97" si="14">+G94+G95-G96</f>
        <v>5.1145247385706263</v>
      </c>
      <c r="H97" s="125">
        <f t="shared" si="14"/>
        <v>7.0108272680791295</v>
      </c>
      <c r="I97" s="249"/>
      <c r="J97" s="249"/>
      <c r="K97" s="249"/>
      <c r="L97" s="249"/>
      <c r="M97" s="249"/>
      <c r="N97" s="249"/>
      <c r="O97" s="249"/>
      <c r="P97" s="249"/>
      <c r="Q97" s="249"/>
      <c r="R97" s="249"/>
    </row>
    <row r="98" spans="1:18" x14ac:dyDescent="0.25">
      <c r="A98" s="149" t="s">
        <v>192</v>
      </c>
      <c r="B98" s="131"/>
      <c r="C98" s="131"/>
      <c r="D98" s="122"/>
      <c r="E98" s="122"/>
      <c r="F98" s="106">
        <f>IF(CIFRAS!B25=0,0,CIFRAS!B126/CIFRAS!B25)</f>
        <v>2.9149173619599299E-2</v>
      </c>
      <c r="G98" s="106">
        <f>IF(CIFRAS!C25=0,0,CIFRAS!C126/CIFRAS!C25)</f>
        <v>3.4250326494502256E-2</v>
      </c>
      <c r="H98" s="157">
        <f>IF(CIFRAS!D25=0,0,CIFRAS!D126/CIFRAS!D25*12/CIFRAS!$D$4)</f>
        <v>4.9835807171942734E-2</v>
      </c>
      <c r="I98" s="249"/>
      <c r="J98" s="249"/>
      <c r="K98" s="249"/>
      <c r="L98" s="249"/>
      <c r="M98" s="249"/>
      <c r="N98" s="249"/>
      <c r="O98" s="249"/>
      <c r="P98" s="249"/>
      <c r="Q98" s="249"/>
      <c r="R98" s="249"/>
    </row>
    <row r="99" spans="1:18" x14ac:dyDescent="0.25">
      <c r="A99" s="149" t="s">
        <v>193</v>
      </c>
      <c r="B99" s="131"/>
      <c r="C99" s="131"/>
      <c r="D99" s="122"/>
      <c r="E99" s="122"/>
      <c r="F99" s="106">
        <f>IF(CIFRAS!B91=0,0,CIFRAS!B126/CIFRAS!B91)</f>
        <v>1.3712500000000001</v>
      </c>
      <c r="G99" s="106">
        <f>IF(CIFRAS!C91=0,0,CIFRAS!C126/CIFRAS!C91)</f>
        <v>1.6457489878542511</v>
      </c>
      <c r="H99" s="157">
        <f>IF(CIFRAS!D91=0,0,CIFRAS!D126/CIFRAS!D91*12/CIFRAS!$D$4)</f>
        <v>2.0145132743362835</v>
      </c>
      <c r="I99" s="249"/>
      <c r="J99" s="249"/>
      <c r="K99" s="249"/>
      <c r="L99" s="249"/>
      <c r="M99" s="249"/>
      <c r="N99" s="249"/>
      <c r="O99" s="249"/>
      <c r="P99" s="249"/>
      <c r="Q99" s="249"/>
      <c r="R99" s="249"/>
    </row>
    <row r="100" spans="1:18" ht="15.75" thickBot="1" x14ac:dyDescent="0.3">
      <c r="A100" s="96"/>
      <c r="B100" s="107"/>
      <c r="C100" s="107"/>
      <c r="D100" s="128"/>
      <c r="E100" s="128"/>
      <c r="F100" s="108"/>
      <c r="G100" s="107"/>
      <c r="H100" s="129"/>
      <c r="I100" s="249"/>
      <c r="J100" s="249"/>
      <c r="K100" s="249"/>
      <c r="L100" s="249"/>
      <c r="M100" s="249"/>
      <c r="N100" s="249"/>
      <c r="O100" s="249"/>
      <c r="P100" s="249"/>
      <c r="Q100" s="249"/>
      <c r="R100" s="249"/>
    </row>
    <row r="101" spans="1:18" x14ac:dyDescent="0.25">
      <c r="I101" s="252"/>
      <c r="J101" s="252"/>
      <c r="K101" s="252"/>
      <c r="L101" s="252"/>
      <c r="M101" s="252"/>
      <c r="N101" s="252"/>
      <c r="O101" s="252"/>
      <c r="P101" s="252"/>
      <c r="Q101" s="252"/>
      <c r="R101" s="252"/>
    </row>
    <row r="102" spans="1:18" x14ac:dyDescent="0.25">
      <c r="I102" s="252"/>
      <c r="J102" s="252"/>
      <c r="K102" s="252"/>
      <c r="L102" s="252"/>
      <c r="M102" s="252"/>
      <c r="N102" s="252"/>
      <c r="O102" s="252"/>
      <c r="P102" s="252"/>
      <c r="Q102" s="252"/>
      <c r="R102" s="252"/>
    </row>
    <row r="103" spans="1:18" x14ac:dyDescent="0.25">
      <c r="I103" s="252"/>
      <c r="J103" s="252"/>
      <c r="K103" s="252"/>
      <c r="L103" s="252"/>
      <c r="M103" s="252"/>
      <c r="N103" s="252"/>
      <c r="O103" s="252"/>
      <c r="P103" s="252"/>
      <c r="Q103" s="252"/>
      <c r="R103" s="252"/>
    </row>
    <row r="104" spans="1:18" x14ac:dyDescent="0.25">
      <c r="I104" s="252"/>
      <c r="J104" s="252"/>
      <c r="K104" s="252"/>
      <c r="L104" s="252"/>
      <c r="M104" s="252"/>
      <c r="N104" s="252"/>
      <c r="O104" s="252"/>
      <c r="P104" s="252"/>
      <c r="Q104" s="252"/>
      <c r="R104" s="252"/>
    </row>
    <row r="105" spans="1:18" x14ac:dyDescent="0.25">
      <c r="I105" s="252"/>
      <c r="J105" s="252"/>
      <c r="K105" s="252"/>
      <c r="L105" s="252"/>
      <c r="M105" s="252"/>
      <c r="N105" s="252"/>
      <c r="O105" s="252"/>
      <c r="P105" s="252"/>
      <c r="Q105" s="252"/>
      <c r="R105" s="252"/>
    </row>
    <row r="113" spans="1:6" ht="15.75" x14ac:dyDescent="0.25">
      <c r="A113" s="109"/>
      <c r="B113" s="110"/>
      <c r="C113" s="110"/>
      <c r="D113" s="111" t="s">
        <v>194</v>
      </c>
      <c r="E113" s="112" t="s">
        <v>195</v>
      </c>
      <c r="F113" s="113"/>
    </row>
  </sheetData>
  <sheetProtection algorithmName="SHA-512" hashValue="LNYnHzfSGgbn42h9LsxiKkCJP/9et/QOOsnEuZrP1KCO1hX5CnoU7ekK9qMg0VvMsFpJDp2ux7UeMpLXpfvhQg==" saltValue="NddKWcJlc9Cjatw6a7hGZg==" spinCount="100000" sheet="1" objects="1" scenarios="1" selectLockedCells="1" selectUnlockedCells="1"/>
  <mergeCells count="12">
    <mergeCell ref="I1:R1"/>
    <mergeCell ref="A67:D67"/>
    <mergeCell ref="A68:C68"/>
    <mergeCell ref="A78:C78"/>
    <mergeCell ref="A11:E11"/>
    <mergeCell ref="C1:H1"/>
    <mergeCell ref="A7:E7"/>
    <mergeCell ref="A8:E8"/>
    <mergeCell ref="A9:E9"/>
    <mergeCell ref="A10:E10"/>
    <mergeCell ref="D3:E3"/>
    <mergeCell ref="A5:B5"/>
  </mergeCells>
  <pageMargins left="0.7" right="0.7" top="0.75" bottom="0.75" header="0.3" footer="0.3"/>
  <pageSetup scale="43" orientation="portrait" r:id="rId1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18</vt:i4>
      </vt:variant>
    </vt:vector>
  </HeadingPairs>
  <TitlesOfParts>
    <vt:vector size="21" baseType="lpstr">
      <vt:lpstr>INSTRUCCIONES</vt:lpstr>
      <vt:lpstr>CIFRAS</vt:lpstr>
      <vt:lpstr>FC + INDICADORES</vt:lpstr>
      <vt:lpstr>______________fcl2</vt:lpstr>
      <vt:lpstr>_____________fcl2</vt:lpstr>
      <vt:lpstr>____________fcl2</vt:lpstr>
      <vt:lpstr>___________fcl2</vt:lpstr>
      <vt:lpstr>__________fcl2</vt:lpstr>
      <vt:lpstr>_________fcl2</vt:lpstr>
      <vt:lpstr>________fcl2</vt:lpstr>
      <vt:lpstr>_______fcl2</vt:lpstr>
      <vt:lpstr>______fcl2</vt:lpstr>
      <vt:lpstr>_____fcl2</vt:lpstr>
      <vt:lpstr>____fcl2</vt:lpstr>
      <vt:lpstr>___fcl2</vt:lpstr>
      <vt:lpstr>__fcl2</vt:lpstr>
      <vt:lpstr>_fcl2</vt:lpstr>
      <vt:lpstr>CIFRAS!Área_de_impresión</vt:lpstr>
      <vt:lpstr>INSTRUCCIONES!Área_de_impresión</vt:lpstr>
      <vt:lpstr>ColPRU</vt:lpstr>
      <vt:lpstr>ebitda2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bbva</dc:creator>
  <cp:keywords/>
  <dc:description/>
  <cp:lastModifiedBy>bbva</cp:lastModifiedBy>
  <cp:revision/>
  <cp:lastPrinted>2017-02-24T01:02:28Z</cp:lastPrinted>
  <dcterms:created xsi:type="dcterms:W3CDTF">2016-10-14T02:39:03Z</dcterms:created>
  <dcterms:modified xsi:type="dcterms:W3CDTF">2017-02-24T01:07:07Z</dcterms:modified>
  <cp:category/>
  <cp:contentStatus/>
</cp:coreProperties>
</file>