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 Admin\Downloads\"/>
    </mc:Choice>
  </mc:AlternateContent>
  <xr:revisionPtr revIDLastSave="0" documentId="13_ncr:1_{36D37426-BCBA-4143-875B-CCBDB40BB921}" xr6:coauthVersionLast="47" xr6:coauthVersionMax="47" xr10:uidLastSave="{00000000-0000-0000-0000-000000000000}"/>
  <bookViews>
    <workbookView xWindow="-120" yWindow="-120" windowWidth="20730" windowHeight="11040" xr2:uid="{445F5E93-E8F7-4528-82E9-1D785DC99F19}"/>
  </bookViews>
  <sheets>
    <sheet name="SROI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9" i="2" l="1"/>
  <c r="E16" i="2"/>
  <c r="E30" i="2"/>
  <c r="D33" i="2"/>
  <c r="D58" i="2"/>
  <c r="D54" i="2"/>
  <c r="F39" i="2"/>
  <c r="F38" i="2"/>
  <c r="F37" i="2"/>
  <c r="F40" i="2" s="1"/>
  <c r="D45" i="2" s="1"/>
  <c r="E31" i="2"/>
  <c r="G25" i="2"/>
  <c r="G24" i="2"/>
  <c r="G23" i="2"/>
  <c r="E14" i="2"/>
  <c r="E15" i="2"/>
  <c r="E13" i="2"/>
  <c r="D8" i="2"/>
  <c r="D9" i="2" s="1"/>
  <c r="E17" i="2" l="1"/>
  <c r="D19" i="2" s="1"/>
  <c r="D57" i="2" s="1"/>
</calcChain>
</file>

<file path=xl/sharedStrings.xml><?xml version="1.0" encoding="utf-8"?>
<sst xmlns="http://schemas.openxmlformats.org/spreadsheetml/2006/main" count="81" uniqueCount="75">
  <si>
    <t>SROI</t>
  </si>
  <si>
    <t>N 1</t>
  </si>
  <si>
    <t>N 2</t>
  </si>
  <si>
    <t>N 3</t>
  </si>
  <si>
    <t>Perfil</t>
  </si>
  <si>
    <t>Rango por hora (COP)</t>
  </si>
  <si>
    <t>Promedio por hora (COP)</t>
  </si>
  <si>
    <t>$23.000 – $38.000</t>
  </si>
  <si>
    <t>$28.000 – $50.000</t>
  </si>
  <si>
    <t>$31.000 – $50.000</t>
  </si>
  <si>
    <t>$31.000 – $44.000</t>
  </si>
  <si>
    <t>Fuentes</t>
  </si>
  <si>
    <t>Hays Colombia. (2023). Guía Salarial 2023 Colombia. https://www.hays.com.co
Korn Ferry. (2023). Salary and Benefits Reports – Latin America. https://www.kornferry.com/insights
Ministerio de Trabajo de Colombia. (2023). Observatorio Laboral y Salarial. https://www.mintrabajo.gov.co
Michael Page. (2024). Guía del mercado laboral Colombia 2024. https://www.michaelpage.com.co
Glassdoor. (2024). Sueldos en Colombia. https://www.glassdoor.com.ar</t>
  </si>
  <si>
    <t>Ingeniera Ambiental – 5 años – sector privado</t>
  </si>
  <si>
    <t>Politóloga – 12 años – políticas públicas, Fundación Socya</t>
  </si>
  <si>
    <t>Comunicadora Social – 13 años – ONG social</t>
  </si>
  <si>
    <t>Ingeniera Ambiental – Especialista SIG</t>
  </si>
  <si>
    <t>Salario promedio mensual</t>
  </si>
  <si>
    <t>Salario Investigadoras</t>
  </si>
  <si>
    <t>Horas dedicadas | Investigadoras</t>
  </si>
  <si>
    <t>Semestre</t>
  </si>
  <si>
    <t>Horas por semana</t>
  </si>
  <si>
    <t>Semanas por semestre</t>
  </si>
  <si>
    <t>Total</t>
  </si>
  <si>
    <t>En Total</t>
  </si>
  <si>
    <t>Costo investigadoras</t>
  </si>
  <si>
    <t>Actor entrevistado</t>
  </si>
  <si>
    <t>Tipo de rol</t>
  </si>
  <si>
    <t>Rango por hora (USD)</t>
  </si>
  <si>
    <t>Rango por hora (COP *4.000)</t>
  </si>
  <si>
    <t>Experto académico</t>
  </si>
  <si>
    <t>Consultor / conferencista</t>
  </si>
  <si>
    <t>USD 80 – 150</t>
  </si>
  <si>
    <t>COP 320.000 – 600.000</t>
  </si>
  <si>
    <t>CEO o fundador</t>
  </si>
  <si>
    <t>Alto directivo empresa</t>
  </si>
  <si>
    <t>USD 150 – 250</t>
  </si>
  <si>
    <t>COP 600.000 – 1.000.000</t>
  </si>
  <si>
    <t>Dir. sostenibilidad</t>
  </si>
  <si>
    <t>Gerencia intermedia</t>
  </si>
  <si>
    <t>USD 60 – 120</t>
  </si>
  <si>
    <t>COP 240.000 – 480.000</t>
  </si>
  <si>
    <t>International Labour Organization. (2023). Daily consultant fee ranges by region and expertise level. ILO.
https://www.ilo.org
Glassdoor. (2024). Consultant hourly pay. Glassdoor Salary Database.
https://www.glassdoor.com/Salaries/consultant-hourly-pay-SRCH_KO0,10.htm
Clarity.fm. (2024). Expert call rates. Clarity Expert Marketplace.
https://clarity.fm/explore
Reddit. (2023). What is a reasonable hourly rate for a sustainability consultant? r/consulting.
https://www.reddit.com/r/consulting/</t>
  </si>
  <si>
    <t>Horas dedicadas | Entrevistados (Expertos y Empresas)</t>
  </si>
  <si>
    <t>Salario | Entrevistados (Expertos y Empresas)</t>
  </si>
  <si>
    <t>Promedio conservador expertos</t>
  </si>
  <si>
    <t>Promedio conservador empresas</t>
  </si>
  <si>
    <t>Horas Expertos</t>
  </si>
  <si>
    <t>Horas Empresas</t>
  </si>
  <si>
    <t>Costo Entrevistados</t>
  </si>
  <si>
    <t>Perfil similar</t>
  </si>
  <si>
    <t>Rango por hora (COP*4.000)</t>
  </si>
  <si>
    <t>Consultor internacional senior</t>
  </si>
  <si>
    <t>120 – 250</t>
  </si>
  <si>
    <t>480.000 – 1.000.000</t>
  </si>
  <si>
    <t>Fellow Ashoka / Echoing Green</t>
  </si>
  <si>
    <t>150 – 300</t>
  </si>
  <si>
    <t>600.000 – 1.200.000</t>
  </si>
  <si>
    <t>Docente universitaria + consultora</t>
  </si>
  <si>
    <t>100 – 180</t>
  </si>
  <si>
    <t>400.000 – 720.000</t>
  </si>
  <si>
    <t>Salario | Asesora</t>
  </si>
  <si>
    <t>Korn Ferry. (2023). Global Salary Surveys – Professional and Consulting Services. Korn Ferry. https://www.kornferry.com/insights
Devex. (2024). How much should I charge as a consultant?. https://www.devex.com
Glassdoor. (2024). International Consultant Salaries. https://www.glassdoor.com
Ashoka. (2023). Frequently Asked Questions – Fellow Support and Funding. https://www.ashoka.org
Echoing Green. (2023). Fellowship Funding and Benefits Overview. https://echoinggreen.org</t>
  </si>
  <si>
    <t>Horas dedicadas | Asesora</t>
  </si>
  <si>
    <t>Horas asesoría</t>
  </si>
  <si>
    <t>Costo Asesora</t>
  </si>
  <si>
    <t>"Benchmarking" de consultoras especializadas (como McKinsey Sustainability, Forum for the Future y consultoras regionales como Portafolio Verde), se estimó que el valor de mercado de un estudio de similar alcance y profundidad (incluyendo entrevistas, marco teórico, análisis comparativo y recomendaciones) oscilaría entre $40–100 millones. Para este análisis se tomó un valor promedio conservador de USD $60.000.000.</t>
  </si>
  <si>
    <t>McKinsey &amp; Company. (2024). Sustainability consulting services and pricing insights. https://www.mckinsey.com/business-functions/sustainability
Forum for the Future. (2023). Strategic collaborations for systemic change. https://www.forumforthefuture.org
Portafolio Verde. (2023). Servicios y casos de consultoría en sostenibilidad. https://www.portafolioverde.com
Devex. (2024). Global Development Consulting Fees and Trends. https://www.devex.com
BSD Consulting – Latin America. (2023). Tarifas y metodologías en consultoría de sostenibilidad. https://www.bsdconsulting.com</t>
  </si>
  <si>
    <t>Valor en el Mercado de una consultoría con el alcance de esta investigación</t>
  </si>
  <si>
    <t>Descripción</t>
  </si>
  <si>
    <t>Costo de horas invertidas</t>
  </si>
  <si>
    <t>Valor en el mercado</t>
  </si>
  <si>
    <t>Cada investigadora</t>
  </si>
  <si>
    <t>Variable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</si>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</sst>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\ #,##0;[Red]\-&quot;$&quot;\ #,##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6" fontId="1" fillId="0" borderId="1" xfId="0" applyNumberFormat="1" applyFont="1" applyBorder="1" applyAlignment="1">
      <alignment vertical="center" wrapText="1"/>
    </xf>
    <xf numFmtId="0" fontId="3" fillId="0" borderId="0" xfId="0" applyFont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6" fontId="2" fillId="0" borderId="1" xfId="0" applyNumberFormat="1" applyFont="1" applyBorder="1" applyAlignment="1">
      <alignment vertical="center" wrapText="1"/>
    </xf>
    <xf numFmtId="6" fontId="3" fillId="2" borderId="0" xfId="0" applyNumberFormat="1" applyFont="1" applyFill="1"/>
    <xf numFmtId="0" fontId="3" fillId="0" borderId="0" xfId="0" applyFont="1" applyAlignment="1">
      <alignment horizontal="left" vertical="center" wrapText="1"/>
    </xf>
    <xf numFmtId="6" fontId="3" fillId="0" borderId="0" xfId="0" applyNumberFormat="1" applyFont="1"/>
    <xf numFmtId="0" fontId="3" fillId="0" borderId="1" xfId="0" applyFont="1" applyBorder="1" applyAlignment="1">
      <alignment horizontal="center"/>
    </xf>
    <xf numFmtId="0" fontId="3" fillId="2" borderId="0" xfId="0" applyFont="1" applyFill="1"/>
    <xf numFmtId="0" fontId="4" fillId="3" borderId="3" xfId="0" applyFont="1" applyFill="1" applyBorder="1" applyAlignment="1">
      <alignment horizontal="center" vertical="center"/>
    </xf>
    <xf numFmtId="6" fontId="2" fillId="2" borderId="4" xfId="0" applyNumberFormat="1" applyFont="1" applyFill="1" applyBorder="1" applyAlignment="1">
      <alignment vertical="center"/>
    </xf>
    <xf numFmtId="6" fontId="3" fillId="2" borderId="1" xfId="0" applyNumberFormat="1" applyFont="1" applyFill="1" applyBorder="1" applyAlignment="1">
      <alignment vertical="center" wrapText="1"/>
    </xf>
    <xf numFmtId="6" fontId="2" fillId="2" borderId="1" xfId="0" applyNumberFormat="1" applyFont="1" applyFill="1" applyBorder="1" applyAlignment="1">
      <alignment vertical="center" wrapText="1"/>
    </xf>
    <xf numFmtId="6" fontId="2" fillId="2" borderId="2" xfId="0" applyNumberFormat="1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6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center"/>
    </xf>
    <xf numFmtId="0" fontId="3" fillId="0" borderId="1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15F38-1553-4195-B7CD-FE66A2BC9E34}">
  <dimension ref="A2:G62"/>
  <sheetViews>
    <sheetView tabSelected="1" zoomScale="73" zoomScaleNormal="90" workbookViewId="0"/>
  </sheetViews>
  <sheetFormatPr baseColWidth="10" defaultRowHeight="15" x14ac:dyDescent="0.25"/>
  <cols>
    <col min="1" max="1" width="11.42578125" style="3"/>
    <col min="2" max="2" width="36.28515625" style="3" customWidth="1"/>
    <col min="3" max="3" width="24.140625" style="3" customWidth="1"/>
    <col min="4" max="4" width="17.42578125" style="3" customWidth="1"/>
    <col min="5" max="5" width="105.28515625" style="3" customWidth="1"/>
    <col min="6" max="6" width="11.42578125" style="3"/>
  </cols>
  <sheetData>
    <row r="2" spans="1:7" x14ac:dyDescent="0.25">
      <c r="A2" s="20" t="s">
        <v>18</v>
      </c>
      <c r="B2" s="20"/>
      <c r="C2" s="20"/>
      <c r="D2" s="20"/>
      <c r="E2" s="20"/>
      <c r="F2" s="20"/>
      <c r="G2" s="20"/>
    </row>
    <row r="3" spans="1:7" ht="30.75" customHeight="1" x14ac:dyDescent="0.25">
      <c r="B3" s="4" t="s">
        <v>4</v>
      </c>
      <c r="C3" s="4" t="s">
        <v>5</v>
      </c>
      <c r="D3" s="4" t="s">
        <v>6</v>
      </c>
      <c r="E3" s="4" t="s">
        <v>11</v>
      </c>
    </row>
    <row r="4" spans="1:7" ht="28.5" x14ac:dyDescent="0.25">
      <c r="B4" s="5" t="s">
        <v>14</v>
      </c>
      <c r="C4" s="5" t="s">
        <v>8</v>
      </c>
      <c r="D4" s="6">
        <v>39000</v>
      </c>
      <c r="E4" s="21" t="s">
        <v>12</v>
      </c>
    </row>
    <row r="5" spans="1:7" ht="28.5" x14ac:dyDescent="0.25">
      <c r="B5" s="5" t="s">
        <v>15</v>
      </c>
      <c r="C5" s="5" t="s">
        <v>9</v>
      </c>
      <c r="D5" s="6">
        <v>40500</v>
      </c>
      <c r="E5" s="21"/>
    </row>
    <row r="6" spans="1:7" ht="28.5" x14ac:dyDescent="0.25">
      <c r="B6" s="5" t="s">
        <v>16</v>
      </c>
      <c r="C6" s="5" t="s">
        <v>10</v>
      </c>
      <c r="D6" s="6">
        <v>37500</v>
      </c>
      <c r="E6" s="21"/>
    </row>
    <row r="7" spans="1:7" ht="28.5" x14ac:dyDescent="0.25">
      <c r="B7" s="5" t="s">
        <v>13</v>
      </c>
      <c r="C7" s="5" t="s">
        <v>7</v>
      </c>
      <c r="D7" s="6">
        <v>30500</v>
      </c>
      <c r="E7" s="21"/>
    </row>
    <row r="8" spans="1:7" x14ac:dyDescent="0.25">
      <c r="D8" s="7">
        <f>AVERAGE(D4:D7)</f>
        <v>36875</v>
      </c>
      <c r="E8" s="8"/>
    </row>
    <row r="9" spans="1:7" x14ac:dyDescent="0.25">
      <c r="D9" s="9">
        <f>D8*160</f>
        <v>5900000</v>
      </c>
      <c r="E9" s="3" t="s">
        <v>17</v>
      </c>
    </row>
    <row r="11" spans="1:7" x14ac:dyDescent="0.25">
      <c r="A11" s="20" t="s">
        <v>19</v>
      </c>
      <c r="B11" s="20"/>
      <c r="C11" s="20"/>
      <c r="D11" s="20"/>
      <c r="E11" s="20"/>
      <c r="F11" s="20"/>
      <c r="G11" s="20"/>
    </row>
    <row r="12" spans="1:7" ht="33.75" customHeight="1" x14ac:dyDescent="0.25">
      <c r="B12" s="4" t="s">
        <v>20</v>
      </c>
      <c r="C12" s="4" t="s">
        <v>21</v>
      </c>
      <c r="D12" s="4" t="s">
        <v>22</v>
      </c>
      <c r="E12" s="4" t="s">
        <v>23</v>
      </c>
    </row>
    <row r="13" spans="1:7" x14ac:dyDescent="0.25">
      <c r="B13" s="10">
        <v>1</v>
      </c>
      <c r="C13" s="10">
        <v>2</v>
      </c>
      <c r="D13" s="10">
        <v>8</v>
      </c>
      <c r="E13" s="10">
        <f>D13*C13</f>
        <v>16</v>
      </c>
    </row>
    <row r="14" spans="1:7" x14ac:dyDescent="0.25">
      <c r="B14" s="10">
        <v>2</v>
      </c>
      <c r="C14" s="10">
        <v>3</v>
      </c>
      <c r="D14" s="10">
        <v>20</v>
      </c>
      <c r="E14" s="10">
        <f t="shared" ref="E14:E15" si="0">D14*C14</f>
        <v>60</v>
      </c>
    </row>
    <row r="15" spans="1:7" x14ac:dyDescent="0.25">
      <c r="B15" s="10">
        <v>3</v>
      </c>
      <c r="C15" s="10">
        <v>3</v>
      </c>
      <c r="D15" s="10">
        <v>20</v>
      </c>
      <c r="E15" s="10">
        <f t="shared" si="0"/>
        <v>60</v>
      </c>
    </row>
    <row r="16" spans="1:7" x14ac:dyDescent="0.25">
      <c r="E16" s="3">
        <f>SUM(E13:E15)</f>
        <v>136</v>
      </c>
      <c r="F16" s="3" t="s">
        <v>72</v>
      </c>
    </row>
    <row r="17" spans="1:7" x14ac:dyDescent="0.25">
      <c r="E17" s="11">
        <f>E16*4</f>
        <v>544</v>
      </c>
      <c r="F17" s="3" t="s">
        <v>24</v>
      </c>
    </row>
    <row r="18" spans="1:7" ht="15.75" thickBot="1" x14ac:dyDescent="0.3"/>
    <row r="19" spans="1:7" ht="15.75" thickBot="1" x14ac:dyDescent="0.3">
      <c r="C19" s="12" t="s">
        <v>25</v>
      </c>
      <c r="D19" s="13">
        <f>D8*E17</f>
        <v>20060000</v>
      </c>
    </row>
    <row r="21" spans="1:7" x14ac:dyDescent="0.25">
      <c r="A21" s="20" t="s">
        <v>44</v>
      </c>
      <c r="B21" s="20"/>
      <c r="C21" s="20"/>
      <c r="D21" s="20"/>
      <c r="E21" s="20"/>
      <c r="F21" s="20"/>
      <c r="G21" s="20"/>
    </row>
    <row r="22" spans="1:7" ht="60" x14ac:dyDescent="0.25">
      <c r="B22" s="4" t="s">
        <v>26</v>
      </c>
      <c r="C22" s="4" t="s">
        <v>27</v>
      </c>
      <c r="D22" s="4" t="s">
        <v>28</v>
      </c>
      <c r="E22" s="4" t="s">
        <v>11</v>
      </c>
      <c r="F22" s="4" t="s">
        <v>29</v>
      </c>
      <c r="G22" s="1" t="s">
        <v>6</v>
      </c>
    </row>
    <row r="23" spans="1:7" ht="45" customHeight="1" x14ac:dyDescent="0.25">
      <c r="B23" s="5" t="s">
        <v>30</v>
      </c>
      <c r="C23" s="5" t="s">
        <v>31</v>
      </c>
      <c r="D23" s="5" t="s">
        <v>32</v>
      </c>
      <c r="E23" s="21" t="s">
        <v>42</v>
      </c>
      <c r="F23" s="5" t="s">
        <v>33</v>
      </c>
      <c r="G23" s="2">
        <f>(320000+600000)/2</f>
        <v>460000</v>
      </c>
    </row>
    <row r="24" spans="1:7" ht="42.75" x14ac:dyDescent="0.25">
      <c r="B24" s="5" t="s">
        <v>34</v>
      </c>
      <c r="C24" s="5" t="s">
        <v>35</v>
      </c>
      <c r="D24" s="5" t="s">
        <v>36</v>
      </c>
      <c r="E24" s="21"/>
      <c r="F24" s="5" t="s">
        <v>37</v>
      </c>
      <c r="G24" s="2">
        <f>(600000+1000000)/2</f>
        <v>800000</v>
      </c>
    </row>
    <row r="25" spans="1:7" ht="42.75" x14ac:dyDescent="0.25">
      <c r="B25" s="5" t="s">
        <v>38</v>
      </c>
      <c r="C25" s="5" t="s">
        <v>39</v>
      </c>
      <c r="D25" s="5" t="s">
        <v>40</v>
      </c>
      <c r="E25" s="21"/>
      <c r="F25" s="5" t="s">
        <v>41</v>
      </c>
      <c r="G25" s="2">
        <f>(240000+480000)/2</f>
        <v>360000</v>
      </c>
    </row>
    <row r="26" spans="1:7" ht="28.5" x14ac:dyDescent="0.25">
      <c r="C26" s="5" t="s">
        <v>45</v>
      </c>
      <c r="D26" s="14">
        <v>450000</v>
      </c>
    </row>
    <row r="27" spans="1:7" ht="28.5" x14ac:dyDescent="0.25">
      <c r="C27" s="5" t="s">
        <v>46</v>
      </c>
      <c r="D27" s="14">
        <v>550000</v>
      </c>
    </row>
    <row r="29" spans="1:7" x14ac:dyDescent="0.25">
      <c r="A29" s="20" t="s">
        <v>43</v>
      </c>
      <c r="B29" s="20"/>
      <c r="C29" s="20"/>
      <c r="D29" s="20"/>
      <c r="E29" s="20"/>
      <c r="F29" s="20"/>
    </row>
    <row r="30" spans="1:7" x14ac:dyDescent="0.25">
      <c r="B30" s="3" t="s">
        <v>47</v>
      </c>
      <c r="C30" s="3">
        <v>9</v>
      </c>
      <c r="E30" s="9">
        <f>C30*D26</f>
        <v>4050000</v>
      </c>
    </row>
    <row r="31" spans="1:7" x14ac:dyDescent="0.25">
      <c r="B31" s="3" t="s">
        <v>48</v>
      </c>
      <c r="C31" s="3">
        <v>8</v>
      </c>
      <c r="E31" s="9">
        <f>C31*D27</f>
        <v>4400000</v>
      </c>
    </row>
    <row r="32" spans="1:7" ht="15.75" thickBot="1" x14ac:dyDescent="0.3"/>
    <row r="33" spans="1:6" ht="15.75" thickBot="1" x14ac:dyDescent="0.3">
      <c r="C33" s="12" t="s">
        <v>49</v>
      </c>
      <c r="D33" s="13">
        <f>SUM(E30:E31)</f>
        <v>8450000</v>
      </c>
    </row>
    <row r="35" spans="1:6" x14ac:dyDescent="0.25">
      <c r="A35" s="20" t="s">
        <v>61</v>
      </c>
      <c r="B35" s="20"/>
      <c r="C35" s="20"/>
      <c r="D35" s="20"/>
      <c r="E35" s="20"/>
      <c r="F35" s="20"/>
    </row>
    <row r="36" spans="1:6" ht="45" x14ac:dyDescent="0.25">
      <c r="B36" s="4" t="s">
        <v>50</v>
      </c>
      <c r="C36" s="4" t="s">
        <v>28</v>
      </c>
      <c r="D36" s="4" t="s">
        <v>51</v>
      </c>
      <c r="E36" s="4" t="s">
        <v>11</v>
      </c>
      <c r="F36" s="4" t="s">
        <v>6</v>
      </c>
    </row>
    <row r="37" spans="1:6" ht="28.5" x14ac:dyDescent="0.25">
      <c r="B37" s="5" t="s">
        <v>52</v>
      </c>
      <c r="C37" s="5" t="s">
        <v>53</v>
      </c>
      <c r="D37" s="5" t="s">
        <v>54</v>
      </c>
      <c r="E37" s="21" t="s">
        <v>62</v>
      </c>
      <c r="F37" s="6">
        <f>(480000+1000000)/2</f>
        <v>740000</v>
      </c>
    </row>
    <row r="38" spans="1:6" ht="28.5" x14ac:dyDescent="0.25">
      <c r="B38" s="5" t="s">
        <v>55</v>
      </c>
      <c r="C38" s="5" t="s">
        <v>56</v>
      </c>
      <c r="D38" s="5" t="s">
        <v>57</v>
      </c>
      <c r="E38" s="21"/>
      <c r="F38" s="6">
        <f>(600000+1200000)/2</f>
        <v>900000</v>
      </c>
    </row>
    <row r="39" spans="1:6" ht="28.5" x14ac:dyDescent="0.25">
      <c r="B39" s="5" t="s">
        <v>58</v>
      </c>
      <c r="C39" s="5" t="s">
        <v>59</v>
      </c>
      <c r="D39" s="5" t="s">
        <v>60</v>
      </c>
      <c r="E39" s="21"/>
      <c r="F39" s="6">
        <f>(400000+720000)/2</f>
        <v>560000</v>
      </c>
    </row>
    <row r="40" spans="1:6" x14ac:dyDescent="0.25">
      <c r="F40" s="15">
        <f>AVERAGE(F37:F39)</f>
        <v>733333.33333333337</v>
      </c>
    </row>
    <row r="42" spans="1:6" x14ac:dyDescent="0.25">
      <c r="A42" s="20" t="s">
        <v>63</v>
      </c>
      <c r="B42" s="20"/>
      <c r="C42" s="20"/>
      <c r="D42" s="20"/>
      <c r="E42" s="20"/>
      <c r="F42" s="20"/>
    </row>
    <row r="43" spans="1:6" x14ac:dyDescent="0.25">
      <c r="B43" s="3" t="s">
        <v>64</v>
      </c>
      <c r="C43" s="3">
        <v>5</v>
      </c>
    </row>
    <row r="44" spans="1:6" ht="15.75" thickBot="1" x14ac:dyDescent="0.3"/>
    <row r="45" spans="1:6" ht="15.75" thickBot="1" x14ac:dyDescent="0.3">
      <c r="C45" s="12" t="s">
        <v>65</v>
      </c>
      <c r="D45" s="13">
        <f>C43*F40</f>
        <v>3666666.666666667</v>
      </c>
    </row>
    <row r="47" spans="1:6" x14ac:dyDescent="0.25">
      <c r="A47" s="20" t="s">
        <v>68</v>
      </c>
      <c r="B47" s="20"/>
      <c r="C47" s="20"/>
      <c r="D47" s="20"/>
      <c r="E47" s="20"/>
      <c r="F47" s="20"/>
    </row>
    <row r="48" spans="1:6" ht="22.5" customHeight="1" x14ac:dyDescent="0.25">
      <c r="B48" s="21" t="s">
        <v>66</v>
      </c>
      <c r="C48" s="21"/>
      <c r="D48" s="21"/>
      <c r="E48" s="4" t="s">
        <v>11</v>
      </c>
    </row>
    <row r="49" spans="2:6" ht="21" customHeight="1" x14ac:dyDescent="0.25">
      <c r="B49" s="21"/>
      <c r="C49" s="21"/>
      <c r="D49" s="21"/>
      <c r="E49" s="21" t="s">
        <v>67</v>
      </c>
    </row>
    <row r="50" spans="2:6" ht="21.75" customHeight="1" x14ac:dyDescent="0.25">
      <c r="B50" s="21"/>
      <c r="C50" s="21"/>
      <c r="D50" s="21"/>
      <c r="E50" s="21"/>
    </row>
    <row r="51" spans="2:6" ht="19.5" customHeight="1" x14ac:dyDescent="0.25">
      <c r="B51" s="21"/>
      <c r="C51" s="21"/>
      <c r="D51" s="21"/>
      <c r="E51" s="21"/>
    </row>
    <row r="52" spans="2:6" ht="21" customHeight="1" x14ac:dyDescent="0.25">
      <c r="B52" s="21"/>
      <c r="C52" s="21"/>
      <c r="D52" s="21"/>
      <c r="E52" s="21"/>
    </row>
    <row r="53" spans="2:6" ht="20.25" customHeight="1" thickBot="1" x14ac:dyDescent="0.3">
      <c r="B53" s="21"/>
      <c r="C53" s="21"/>
      <c r="D53" s="21"/>
      <c r="E53" s="21"/>
    </row>
    <row r="54" spans="2:6" ht="15.75" thickBot="1" x14ac:dyDescent="0.3">
      <c r="D54" s="16">
        <f>60000000</f>
        <v>60000000</v>
      </c>
    </row>
    <row r="56" spans="2:6" x14ac:dyDescent="0.25">
      <c r="B56" s="4" t="s">
        <v>73</v>
      </c>
      <c r="C56" s="4" t="s">
        <v>69</v>
      </c>
      <c r="D56" s="4" t="s">
        <v>74</v>
      </c>
    </row>
    <row r="57" spans="2:6" x14ac:dyDescent="0.25">
      <c r="B57" s="17" t="s">
        <v>1</v>
      </c>
      <c r="C57" s="17" t="s">
        <v>70</v>
      </c>
      <c r="D57" s="18">
        <f>SUM(D19+D33+D45)</f>
        <v>32176666.666666668</v>
      </c>
    </row>
    <row r="58" spans="2:6" x14ac:dyDescent="0.25">
      <c r="B58" s="17" t="s">
        <v>2</v>
      </c>
      <c r="C58" s="17" t="s">
        <v>71</v>
      </c>
      <c r="D58" s="18">
        <f>D54</f>
        <v>60000000</v>
      </c>
    </row>
    <row r="59" spans="2:6" ht="15" customHeight="1" x14ac:dyDescent="0.25">
      <c r="B59" s="17" t="s">
        <v>3</v>
      </c>
      <c r="C59" s="4" t="s">
        <v>0</v>
      </c>
      <c r="D59" s="19">
        <f>D58/D57</f>
        <v>1.864705272972133</v>
      </c>
      <c r="E59"/>
      <c r="F59"/>
    </row>
    <row r="60" spans="2:6" x14ac:dyDescent="0.25">
      <c r="E60"/>
      <c r="F60"/>
    </row>
    <row r="61" spans="2:6" x14ac:dyDescent="0.25">
      <c r="E61"/>
      <c r="F61"/>
    </row>
    <row r="62" spans="2:6" x14ac:dyDescent="0.25">
      <c r="E62"/>
      <c r="F62"/>
    </row>
  </sheetData>
  <mergeCells count="12">
    <mergeCell ref="E4:E7"/>
    <mergeCell ref="E23:E25"/>
    <mergeCell ref="A2:G2"/>
    <mergeCell ref="A11:G11"/>
    <mergeCell ref="A21:G21"/>
    <mergeCell ref="A47:F47"/>
    <mergeCell ref="E49:E53"/>
    <mergeCell ref="A29:F29"/>
    <mergeCell ref="A35:F35"/>
    <mergeCell ref="E37:E39"/>
    <mergeCell ref="A42:F42"/>
    <mergeCell ref="B48:D5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79920d8-3d6e-4a4c-9da8-63517e1e27ad">
      <Terms xmlns="http://schemas.microsoft.com/office/infopath/2007/PartnerControls"/>
    </lcf76f155ced4ddcb4097134ff3c332f>
    <TaxCatchAll xmlns="c5132c0c-6962-4db0-8830-741dc8cf583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532F8696FE5D14A96B46C284100118F" ma:contentTypeVersion="12" ma:contentTypeDescription="Crear nuevo documento." ma:contentTypeScope="" ma:versionID="5f572fbde2e66ff980b8eb132f5c50c9">
  <xsd:schema xmlns:xsd="http://www.w3.org/2001/XMLSchema" xmlns:xs="http://www.w3.org/2001/XMLSchema" xmlns:p="http://schemas.microsoft.com/office/2006/metadata/properties" xmlns:ns2="379920d8-3d6e-4a4c-9da8-63517e1e27ad" xmlns:ns3="c5132c0c-6962-4db0-8830-741dc8cf5838" targetNamespace="http://schemas.microsoft.com/office/2006/metadata/properties" ma:root="true" ma:fieldsID="b2f4d1804b3ef712cfb78371cb4f2aa2" ns2:_="" ns3:_="">
    <xsd:import namespace="379920d8-3d6e-4a4c-9da8-63517e1e27ad"/>
    <xsd:import namespace="c5132c0c-6962-4db0-8830-741dc8cf583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9920d8-3d6e-4a4c-9da8-63517e1e27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0aef40d5-b715-412d-bec7-270c581220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132c0c-6962-4db0-8830-741dc8cf5838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bef8405-75ae-4e79-9ab8-8ce60cb83f4a}" ma:internalName="TaxCatchAll" ma:showField="CatchAllData" ma:web="c5132c0c-6962-4db0-8830-741dc8cf583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F3BBBF0-E788-44D3-B71B-309FF83E698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E9EFDAD-C2C7-4177-BEDE-0091FF3D9F53}">
  <ds:schemaRefs>
    <ds:schemaRef ds:uri="http://schemas.microsoft.com/office/2006/metadata/properties"/>
    <ds:schemaRef ds:uri="http://schemas.microsoft.com/office/infopath/2007/PartnerControls"/>
    <ds:schemaRef ds:uri="379920d8-3d6e-4a4c-9da8-63517e1e27ad"/>
    <ds:schemaRef ds:uri="c5132c0c-6962-4db0-8830-741dc8cf5838"/>
  </ds:schemaRefs>
</ds:datastoreItem>
</file>

<file path=customXml/itemProps3.xml><?xml version="1.0" encoding="utf-8"?>
<ds:datastoreItem xmlns:ds="http://schemas.openxmlformats.org/officeDocument/2006/customXml" ds:itemID="{E793B058-2E60-438A-ADE0-6A9A6BAA21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79920d8-3d6e-4a4c-9da8-63517e1e27ad"/>
    <ds:schemaRef ds:uri="c5132c0c-6962-4db0-8830-741dc8cf58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SROI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SANTIAGO ECHEVERRI HERNÁNDEZ</dc:creator>
  <cp:keywords/>
  <dc:description/>
  <cp:lastModifiedBy>Ingrid Stephany Gómez Cardona</cp:lastModifiedBy>
  <cp:revision/>
  <dcterms:created xsi:type="dcterms:W3CDTF">2023-11-07T14:07:18Z</dcterms:created>
  <dcterms:modified xsi:type="dcterms:W3CDTF">2025-06-30T22:40:46Z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0x0101000532F8696FE5D14A96B46C284100118F</vt:lpwstr>
  </property>
  <property fmtid="{D5CDD505-2E9C-101B-9397-08002B2CF9AE}" pid="3" name="MediaServiceImageTags">
    <vt:lpwstr/>
  </property>
</Properties>
</file>