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7380" windowHeight="4890"/>
  </bookViews>
  <sheets>
    <sheet name="Inversiones" sheetId="1" r:id="rId1"/>
    <sheet name="Punto de equilibrio" sheetId="3" r:id="rId2"/>
    <sheet name="@1600" sheetId="4" r:id="rId3"/>
    <sheet name="@1700" sheetId="5" r:id="rId4"/>
    <sheet name="@1800" sheetId="6" r:id="rId5"/>
    <sheet name="@1900" sheetId="7" r:id="rId6"/>
    <sheet name=" @2000" sheetId="2" r:id="rId7"/>
    <sheet name="@2100" sheetId="8" r:id="rId8"/>
    <sheet name="@2200" sheetId="9" r:id="rId9"/>
    <sheet name="2300" sheetId="10" r:id="rId10"/>
    <sheet name="@2400" sheetId="11" r:id="rId11"/>
    <sheet name="@2500" sheetId="12" r:id="rId12"/>
    <sheet name="@2600" sheetId="13" r:id="rId13"/>
    <sheet name="Resumen análisis sensibilidad" sheetId="14" r:id="rId14"/>
  </sheets>
  <calcPr calcId="124519"/>
</workbook>
</file>

<file path=xl/calcChain.xml><?xml version="1.0" encoding="utf-8"?>
<calcChain xmlns="http://schemas.openxmlformats.org/spreadsheetml/2006/main">
  <c r="C5" i="13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14" i="14"/>
  <c r="B22" i="13"/>
  <c r="B14" i="14"/>
  <c r="C5" i="12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13" i="14"/>
  <c r="B22" i="12"/>
  <c r="B13" i="14"/>
  <c r="C5" i="11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12" i="14"/>
  <c r="B22" i="11"/>
  <c r="B12" i="14"/>
  <c r="C5" i="10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11" i="14"/>
  <c r="B22" i="10"/>
  <c r="B11" i="14"/>
  <c r="C5" i="9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10" i="14"/>
  <c r="B22" i="9"/>
  <c r="B10" i="14"/>
  <c r="C5" i="8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9" i="14"/>
  <c r="B22" i="8"/>
  <c r="B9" i="14"/>
  <c r="B17" i="6"/>
  <c r="C5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22"/>
  <c r="B6" i="14"/>
  <c r="B21" i="6"/>
  <c r="C6" i="14"/>
  <c r="B17" i="7"/>
  <c r="C5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22"/>
  <c r="B7" i="14"/>
  <c r="B21" i="7"/>
  <c r="C7" i="14"/>
  <c r="B2" i="2"/>
  <c r="C5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8" i="14"/>
  <c r="B22" i="2"/>
  <c r="B8" i="14"/>
  <c r="C5" i="5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5" i="14"/>
  <c r="B22" i="5"/>
  <c r="B5" i="14"/>
  <c r="C5" i="4"/>
  <c r="C6"/>
  <c r="C7"/>
  <c r="C8"/>
  <c r="C9"/>
  <c r="C10"/>
  <c r="C12"/>
  <c r="C13"/>
  <c r="C14"/>
  <c r="C15"/>
  <c r="C17"/>
  <c r="D5"/>
  <c r="D6"/>
  <c r="D7"/>
  <c r="D8"/>
  <c r="D9"/>
  <c r="D10"/>
  <c r="D12"/>
  <c r="D13"/>
  <c r="D14"/>
  <c r="D15"/>
  <c r="D17"/>
  <c r="E5"/>
  <c r="E6"/>
  <c r="E7"/>
  <c r="E8"/>
  <c r="E9"/>
  <c r="E10"/>
  <c r="E12"/>
  <c r="E13"/>
  <c r="E14"/>
  <c r="E15"/>
  <c r="E17"/>
  <c r="F5"/>
  <c r="F6"/>
  <c r="F7"/>
  <c r="F8"/>
  <c r="F9"/>
  <c r="F10"/>
  <c r="F12"/>
  <c r="F13"/>
  <c r="F14"/>
  <c r="F15"/>
  <c r="F17"/>
  <c r="G5"/>
  <c r="G6"/>
  <c r="G7"/>
  <c r="G8"/>
  <c r="G9"/>
  <c r="G10"/>
  <c r="G12"/>
  <c r="G13"/>
  <c r="G14"/>
  <c r="G15"/>
  <c r="G17"/>
  <c r="B17"/>
  <c r="B21"/>
  <c r="C4" i="14"/>
  <c r="B22" i="4"/>
  <c r="B4" i="14"/>
  <c r="B17" i="3"/>
  <c r="B18"/>
  <c r="G9"/>
  <c r="G15"/>
  <c r="F9"/>
  <c r="F15"/>
  <c r="E9"/>
  <c r="E15"/>
  <c r="D9"/>
  <c r="D15"/>
  <c r="C9"/>
  <c r="C15"/>
  <c r="C7"/>
  <c r="C8"/>
  <c r="C5"/>
  <c r="B18" i="2"/>
  <c r="B18" i="13"/>
  <c r="B18" i="12"/>
  <c r="B18" i="11"/>
  <c r="B18" i="10"/>
  <c r="B18" i="9"/>
  <c r="B18" i="8"/>
  <c r="B18" i="7"/>
  <c r="B18" i="6"/>
  <c r="B18" i="5"/>
  <c r="B18" i="4"/>
  <c r="C6" i="3"/>
  <c r="C10"/>
  <c r="C12"/>
  <c r="D5"/>
  <c r="D7"/>
  <c r="B10" i="1"/>
  <c r="B27"/>
  <c r="B23"/>
  <c r="B15"/>
  <c r="B14"/>
  <c r="B12"/>
  <c r="B19"/>
  <c r="B22"/>
  <c r="B21"/>
  <c r="B20"/>
  <c r="B13"/>
  <c r="C18" i="13"/>
  <c r="D8" i="3"/>
  <c r="E7"/>
  <c r="D6"/>
  <c r="D10"/>
  <c r="D12"/>
  <c r="E5"/>
  <c r="C13"/>
  <c r="C14"/>
  <c r="C17"/>
  <c r="C18" i="2"/>
  <c r="C18" i="12"/>
  <c r="C18" i="11"/>
  <c r="C18" i="10"/>
  <c r="C18" i="9"/>
  <c r="C18" i="8"/>
  <c r="C18" i="7"/>
  <c r="C18" i="6"/>
  <c r="C18" i="5"/>
  <c r="C18" i="4"/>
  <c r="C18" i="3"/>
  <c r="E6"/>
  <c r="F5"/>
  <c r="D13"/>
  <c r="D14"/>
  <c r="D17"/>
  <c r="D18"/>
  <c r="E8"/>
  <c r="F7"/>
  <c r="D18" i="2"/>
  <c r="D18" i="13"/>
  <c r="D18" i="12"/>
  <c r="D18" i="11"/>
  <c r="D18" i="10"/>
  <c r="D18" i="9"/>
  <c r="D18" i="8"/>
  <c r="D18" i="7"/>
  <c r="D18" i="6"/>
  <c r="D18" i="5"/>
  <c r="D18" i="4"/>
  <c r="F8" i="3"/>
  <c r="G7"/>
  <c r="G8"/>
  <c r="F6"/>
  <c r="F10"/>
  <c r="F12"/>
  <c r="G5"/>
  <c r="G6"/>
  <c r="G10"/>
  <c r="G12"/>
  <c r="E10"/>
  <c r="E12"/>
  <c r="E13"/>
  <c r="E14"/>
  <c r="E17"/>
  <c r="G13"/>
  <c r="G14"/>
  <c r="G17"/>
  <c r="F13"/>
  <c r="F14"/>
  <c r="F17"/>
  <c r="E18" i="2"/>
  <c r="E18" i="13"/>
  <c r="E18" i="12"/>
  <c r="E18" i="11"/>
  <c r="E18" i="10"/>
  <c r="E18" i="9"/>
  <c r="E18" i="8"/>
  <c r="E18" i="7"/>
  <c r="E18" i="6"/>
  <c r="E18" i="5"/>
  <c r="E18" i="4"/>
  <c r="B22" i="3"/>
  <c r="B21"/>
  <c r="E18"/>
  <c r="F18"/>
  <c r="F18" i="2"/>
  <c r="F18" i="13"/>
  <c r="F18" i="12"/>
  <c r="F18" i="11"/>
  <c r="F18" i="10"/>
  <c r="F18" i="9"/>
  <c r="F18" i="8"/>
  <c r="F18" i="7"/>
  <c r="F18" i="6"/>
  <c r="F18" i="5"/>
  <c r="F18" i="4"/>
  <c r="G18" i="2"/>
  <c r="G18" i="3"/>
  <c r="G18" i="13"/>
  <c r="G18" i="12"/>
  <c r="G18" i="11"/>
  <c r="G18" i="10"/>
  <c r="G18" i="9"/>
  <c r="G18" i="8"/>
  <c r="G18" i="7"/>
  <c r="G18" i="6"/>
  <c r="G18" i="5"/>
  <c r="G18" i="4"/>
  <c r="B24" i="1" l="1"/>
  <c r="B16"/>
  <c r="B28"/>
</calcChain>
</file>

<file path=xl/sharedStrings.xml><?xml version="1.0" encoding="utf-8"?>
<sst xmlns="http://schemas.openxmlformats.org/spreadsheetml/2006/main" count="286" uniqueCount="50">
  <si>
    <t>Flujo de inversiones</t>
  </si>
  <si>
    <t>Estación de secado</t>
  </si>
  <si>
    <t>Cava para conservación</t>
  </si>
  <si>
    <t>Activos de menor cuantia</t>
  </si>
  <si>
    <t xml:space="preserve">Activos </t>
  </si>
  <si>
    <t>Costos fijos</t>
  </si>
  <si>
    <t>Nomina</t>
  </si>
  <si>
    <t>Arrendamiento</t>
  </si>
  <si>
    <t>Capital de trabajo</t>
  </si>
  <si>
    <t>Flores</t>
  </si>
  <si>
    <t>Material de empaque</t>
  </si>
  <si>
    <t>Fletes y transporte</t>
  </si>
  <si>
    <t>Inermediación aduanera</t>
  </si>
  <si>
    <t>Logistica</t>
  </si>
  <si>
    <t>Servicios publicos</t>
  </si>
  <si>
    <t>Comunicaciones e internet</t>
  </si>
  <si>
    <t>Total</t>
  </si>
  <si>
    <t>Garantias de pago y seguros</t>
  </si>
  <si>
    <t>Diferidos</t>
  </si>
  <si>
    <t>tramites, estudios y capacitaciones</t>
  </si>
  <si>
    <t>Subtotal</t>
  </si>
  <si>
    <t>Mesas de recepción, corte y empaque</t>
  </si>
  <si>
    <t>Mobiliario de oficina</t>
  </si>
  <si>
    <t>Computadores</t>
  </si>
  <si>
    <t>Impresora</t>
  </si>
  <si>
    <t>Tasa de cambio</t>
  </si>
  <si>
    <t>Año</t>
  </si>
  <si>
    <t>Items/Período</t>
  </si>
  <si>
    <t>Ingresos por Ventas</t>
  </si>
  <si>
    <t>TOTAL INGRESOS</t>
  </si>
  <si>
    <t>Costos de comercialización</t>
  </si>
  <si>
    <t>TOTAL EGRESOS</t>
  </si>
  <si>
    <t>Depreciacion</t>
  </si>
  <si>
    <t>Utilidad Operacional (EBIT)</t>
  </si>
  <si>
    <t>Intereses</t>
  </si>
  <si>
    <t>Utilidad antes de Impuestos</t>
  </si>
  <si>
    <t>Impuestos</t>
  </si>
  <si>
    <t>Utilidad Neta</t>
  </si>
  <si>
    <t>Inversiones</t>
  </si>
  <si>
    <t>Flujo de caja neto</t>
  </si>
  <si>
    <t>Flujo de caja acumulado</t>
  </si>
  <si>
    <t xml:space="preserve">TIO </t>
  </si>
  <si>
    <t>VAN</t>
  </si>
  <si>
    <t>TIR</t>
  </si>
  <si>
    <t>VPN</t>
  </si>
  <si>
    <t>PRI</t>
  </si>
  <si>
    <t>TRM</t>
  </si>
  <si>
    <t>Análisis de sensibilidad TRM</t>
  </si>
  <si>
    <t>Nota: este flujo de caja esta hecho a pesos constantes DE 2010</t>
  </si>
  <si>
    <t>Nota: este flujo de caja esta hecho a pesos constantes 2010</t>
  </si>
</sst>
</file>

<file path=xl/styles.xml><?xml version="1.0" encoding="utf-8"?>
<styleSheet xmlns="http://schemas.openxmlformats.org/spreadsheetml/2006/main">
  <numFmts count="3">
    <numFmt numFmtId="164" formatCode="[$COP]\ #,##0"/>
    <numFmt numFmtId="165" formatCode="[$COP]\ #,##0.000000000"/>
    <numFmt numFmtId="166" formatCode="#,##0;[Red]#,##0"/>
  </numFmts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164" fontId="0" fillId="2" borderId="1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0" fontId="0" fillId="2" borderId="4" xfId="0" applyFill="1" applyBorder="1"/>
    <xf numFmtId="164" fontId="0" fillId="2" borderId="5" xfId="0" applyNumberFormat="1" applyFill="1" applyBorder="1" applyAlignment="1">
      <alignment horizontal="center" vertical="center" wrapText="1"/>
    </xf>
    <xf numFmtId="164" fontId="0" fillId="2" borderId="5" xfId="0" applyNumberFormat="1" applyFill="1" applyBorder="1"/>
    <xf numFmtId="164" fontId="0" fillId="0" borderId="0" xfId="0" applyNumberFormat="1"/>
    <xf numFmtId="165" fontId="0" fillId="0" borderId="0" xfId="0" applyNumberFormat="1"/>
    <xf numFmtId="0" fontId="0" fillId="0" borderId="6" xfId="0" applyBorder="1"/>
    <xf numFmtId="0" fontId="0" fillId="0" borderId="7" xfId="0" applyBorder="1"/>
    <xf numFmtId="0" fontId="0" fillId="0" borderId="8" xfId="0" applyBorder="1"/>
    <xf numFmtId="166" fontId="0" fillId="0" borderId="0" xfId="0" applyNumberFormat="1"/>
    <xf numFmtId="0" fontId="0" fillId="3" borderId="7" xfId="0" applyFill="1" applyBorder="1"/>
    <xf numFmtId="0" fontId="0" fillId="0" borderId="7" xfId="0" applyBorder="1" applyAlignment="1">
      <alignment horizontal="left" indent="1"/>
    </xf>
    <xf numFmtId="0" fontId="0" fillId="0" borderId="7" xfId="0" applyFill="1" applyBorder="1"/>
    <xf numFmtId="9" fontId="0" fillId="0" borderId="0" xfId="0" applyNumberFormat="1"/>
    <xf numFmtId="3" fontId="0" fillId="0" borderId="0" xfId="0" applyNumberFormat="1"/>
    <xf numFmtId="9" fontId="0" fillId="0" borderId="7" xfId="0" applyNumberFormat="1" applyBorder="1"/>
    <xf numFmtId="3" fontId="0" fillId="0" borderId="7" xfId="0" applyNumberFormat="1" applyBorder="1"/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 indent="1"/>
    </xf>
    <xf numFmtId="0" fontId="0" fillId="0" borderId="7" xfId="0" applyFill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9" fontId="0" fillId="0" borderId="7" xfId="0" applyNumberFormat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9" fontId="0" fillId="2" borderId="7" xfId="0" applyNumberFormat="1" applyFill="1" applyBorder="1" applyAlignment="1">
      <alignment horizontal="center" vertical="center" wrapText="1"/>
    </xf>
    <xf numFmtId="3" fontId="0" fillId="2" borderId="7" xfId="0" applyNumberFormat="1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2" xfId="0" applyFill="1" applyBorder="1"/>
    <xf numFmtId="164" fontId="0" fillId="5" borderId="3" xfId="0" applyNumberFormat="1" applyFill="1" applyBorder="1"/>
    <xf numFmtId="0" fontId="0" fillId="0" borderId="0" xfId="0" applyAlignment="1"/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0" borderId="1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8"/>
  <sheetViews>
    <sheetView tabSelected="1" workbookViewId="0">
      <selection activeCell="C18" sqref="C18"/>
    </sheetView>
  </sheetViews>
  <sheetFormatPr baseColWidth="10" defaultColWidth="11.42578125" defaultRowHeight="15"/>
  <cols>
    <col min="1" max="1" width="34.85546875" customWidth="1"/>
    <col min="2" max="2" width="21.7109375" customWidth="1"/>
    <col min="3" max="3" width="25.140625" bestFit="1" customWidth="1"/>
    <col min="4" max="4" width="14.28515625" bestFit="1" customWidth="1"/>
  </cols>
  <sheetData>
    <row r="1" spans="1:4" ht="15" customHeight="1">
      <c r="A1" s="38" t="s">
        <v>0</v>
      </c>
      <c r="B1" s="39"/>
    </row>
    <row r="2" spans="1:4" ht="15" customHeight="1">
      <c r="A2" s="40" t="s">
        <v>4</v>
      </c>
      <c r="B2" s="41"/>
    </row>
    <row r="3" spans="1:4" ht="15" customHeight="1">
      <c r="A3" s="2" t="s">
        <v>1</v>
      </c>
      <c r="B3" s="3">
        <v>10000000</v>
      </c>
    </row>
    <row r="4" spans="1:4" ht="15" customHeight="1">
      <c r="A4" s="2" t="s">
        <v>2</v>
      </c>
      <c r="B4" s="3">
        <v>35000000</v>
      </c>
    </row>
    <row r="5" spans="1:4" ht="15" customHeight="1">
      <c r="A5" s="2" t="s">
        <v>23</v>
      </c>
      <c r="B5" s="3">
        <v>5600000</v>
      </c>
    </row>
    <row r="6" spans="1:4" ht="15" customHeight="1">
      <c r="A6" s="2" t="s">
        <v>24</v>
      </c>
      <c r="B6" s="3">
        <v>200000</v>
      </c>
    </row>
    <row r="7" spans="1:4" ht="15" customHeight="1">
      <c r="A7" s="2" t="s">
        <v>3</v>
      </c>
      <c r="B7" s="3">
        <v>1000000</v>
      </c>
    </row>
    <row r="8" spans="1:4" ht="15" customHeight="1">
      <c r="A8" s="2" t="s">
        <v>21</v>
      </c>
      <c r="B8" s="3">
        <v>2500000</v>
      </c>
    </row>
    <row r="9" spans="1:4" ht="15" customHeight="1">
      <c r="A9" s="2" t="s">
        <v>22</v>
      </c>
      <c r="B9" s="3">
        <v>5000000</v>
      </c>
    </row>
    <row r="10" spans="1:4" ht="15" customHeight="1">
      <c r="A10" s="4" t="s">
        <v>20</v>
      </c>
      <c r="B10" s="5">
        <f>SUM(B3:B9)</f>
        <v>59300000</v>
      </c>
    </row>
    <row r="11" spans="1:4" ht="15" customHeight="1">
      <c r="A11" s="40" t="s">
        <v>5</v>
      </c>
      <c r="B11" s="41"/>
    </row>
    <row r="12" spans="1:4" ht="15" customHeight="1">
      <c r="A12" s="2" t="s">
        <v>6</v>
      </c>
      <c r="B12" s="3">
        <f>11254315*6</f>
        <v>67525890</v>
      </c>
    </row>
    <row r="13" spans="1:4" ht="15" customHeight="1">
      <c r="A13" s="2" t="s">
        <v>7</v>
      </c>
      <c r="B13" s="3">
        <f>1500000*6</f>
        <v>9000000</v>
      </c>
    </row>
    <row r="14" spans="1:4" ht="15" customHeight="1">
      <c r="A14" s="2" t="s">
        <v>14</v>
      </c>
      <c r="B14" s="3">
        <f>700000*6</f>
        <v>4200000</v>
      </c>
    </row>
    <row r="15" spans="1:4" ht="15" customHeight="1">
      <c r="A15" s="2" t="s">
        <v>15</v>
      </c>
      <c r="B15" s="3">
        <f>2400000</f>
        <v>2400000</v>
      </c>
    </row>
    <row r="16" spans="1:4" ht="15" customHeight="1">
      <c r="A16" s="4" t="s">
        <v>20</v>
      </c>
      <c r="B16" s="1">
        <f>SUM((B12:B15))</f>
        <v>83125890</v>
      </c>
      <c r="C16" s="7"/>
      <c r="D16" s="7"/>
    </row>
    <row r="17" spans="1:3" ht="15" customHeight="1">
      <c r="A17" s="36" t="s">
        <v>8</v>
      </c>
      <c r="B17" s="37"/>
    </row>
    <row r="18" spans="1:3" ht="15" customHeight="1">
      <c r="A18" s="2" t="s">
        <v>9</v>
      </c>
      <c r="B18" s="3">
        <v>150000000</v>
      </c>
      <c r="C18" s="8"/>
    </row>
    <row r="19" spans="1:3" ht="15" customHeight="1">
      <c r="A19" s="2" t="s">
        <v>10</v>
      </c>
      <c r="B19" s="3">
        <f>B18*0.03</f>
        <v>4500000</v>
      </c>
    </row>
    <row r="20" spans="1:3" ht="15" customHeight="1">
      <c r="A20" s="2" t="s">
        <v>11</v>
      </c>
      <c r="B20" s="3">
        <f>B18*10%</f>
        <v>15000000</v>
      </c>
    </row>
    <row r="21" spans="1:3" ht="15" customHeight="1">
      <c r="A21" s="2" t="s">
        <v>12</v>
      </c>
      <c r="B21" s="3">
        <f>B18*5%</f>
        <v>7500000</v>
      </c>
    </row>
    <row r="22" spans="1:3" ht="15" customHeight="1">
      <c r="A22" s="2" t="s">
        <v>13</v>
      </c>
      <c r="B22" s="3">
        <f>B18*2%</f>
        <v>3000000</v>
      </c>
    </row>
    <row r="23" spans="1:3" ht="15" customHeight="1">
      <c r="A23" s="2" t="s">
        <v>17</v>
      </c>
      <c r="B23" s="3">
        <f>B18*1%</f>
        <v>1500000</v>
      </c>
      <c r="C23" s="7"/>
    </row>
    <row r="24" spans="1:3" ht="15" customHeight="1">
      <c r="A24" s="4" t="s">
        <v>20</v>
      </c>
      <c r="B24" s="6">
        <f>SUM(B18:B23)</f>
        <v>181500000</v>
      </c>
    </row>
    <row r="25" spans="1:3" ht="15" customHeight="1">
      <c r="A25" s="36" t="s">
        <v>18</v>
      </c>
      <c r="B25" s="37"/>
    </row>
    <row r="26" spans="1:3" ht="15" customHeight="1">
      <c r="A26" s="2" t="s">
        <v>19</v>
      </c>
      <c r="B26" s="3">
        <v>5000000</v>
      </c>
    </row>
    <row r="27" spans="1:3" ht="15" customHeight="1">
      <c r="A27" s="4" t="s">
        <v>20</v>
      </c>
      <c r="B27" s="6">
        <f>B26</f>
        <v>5000000</v>
      </c>
    </row>
    <row r="28" spans="1:3" ht="15" customHeight="1">
      <c r="A28" s="33" t="s">
        <v>16</v>
      </c>
      <c r="B28" s="34">
        <f>SUM(B10+B16+B24+B27)</f>
        <v>328925890</v>
      </c>
    </row>
  </sheetData>
  <mergeCells count="5">
    <mergeCell ref="A25:B25"/>
    <mergeCell ref="A1:B1"/>
    <mergeCell ref="A2:B2"/>
    <mergeCell ref="A11:B11"/>
    <mergeCell ref="A17:B17"/>
  </mergeCells>
  <phoneticPr fontId="1" type="noConversion"/>
  <pageMargins left="1.07" right="0.78740157480314965" top="1.1811023622047245" bottom="1.1811023622047245" header="0.31496062992125984" footer="0.31496062992125984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2300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690000000</v>
      </c>
      <c r="D5" s="12">
        <f>C5*1.5</f>
        <v>1035000000</v>
      </c>
      <c r="E5" s="12">
        <f>D5*1.5</f>
        <v>1552500000</v>
      </c>
      <c r="F5" s="12">
        <f>E5*1.05</f>
        <v>1630125000</v>
      </c>
      <c r="G5" s="12">
        <f>F5*1.05</f>
        <v>1711631250</v>
      </c>
    </row>
    <row r="6" spans="1:7">
      <c r="A6" s="13" t="s">
        <v>29</v>
      </c>
      <c r="B6" s="12"/>
      <c r="C6" s="12">
        <f>C5</f>
        <v>690000000</v>
      </c>
      <c r="D6" s="12">
        <f>D5</f>
        <v>1035000000</v>
      </c>
      <c r="E6" s="12">
        <f>E5</f>
        <v>1552500000</v>
      </c>
      <c r="F6" s="12">
        <f>F5</f>
        <v>1630125000</v>
      </c>
      <c r="G6" s="12">
        <f>G5</f>
        <v>1711631250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148888220</v>
      </c>
      <c r="D10" s="12">
        <f>D6+D8+D9</f>
        <v>823637864</v>
      </c>
      <c r="E10" s="12">
        <f>E6+E8+E9</f>
        <v>1301237436.8</v>
      </c>
      <c r="F10" s="12">
        <f>F6+F8+F9</f>
        <v>1366892308.6400001</v>
      </c>
      <c r="G10" s="12">
        <f>G6+G8+G9</f>
        <v>1435829924.072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148888220</v>
      </c>
      <c r="D12" s="12">
        <f>D10-D11</f>
        <v>823637864</v>
      </c>
      <c r="E12" s="12">
        <f>E10-E11</f>
        <v>1301237436.8</v>
      </c>
      <c r="F12" s="12">
        <f>F10-F11</f>
        <v>1366892308.6400001</v>
      </c>
      <c r="G12" s="12">
        <f>G10-G11</f>
        <v>1435829924.072</v>
      </c>
    </row>
    <row r="13" spans="1:7">
      <c r="A13" s="14" t="s">
        <v>36</v>
      </c>
      <c r="B13" s="12"/>
      <c r="C13" s="12">
        <f>C12*33%</f>
        <v>49133112.600000001</v>
      </c>
      <c r="D13" s="12">
        <f>D12*33%</f>
        <v>271800495.12</v>
      </c>
      <c r="E13" s="12">
        <f>E12*33%</f>
        <v>429408354.14399999</v>
      </c>
      <c r="F13" s="12">
        <f>F12*33%</f>
        <v>451074461.85120004</v>
      </c>
      <c r="G13" s="12">
        <f>G12*33%</f>
        <v>473823874.94376004</v>
      </c>
    </row>
    <row r="14" spans="1:7">
      <c r="A14" s="10" t="s">
        <v>37</v>
      </c>
      <c r="B14" s="12"/>
      <c r="C14" s="12">
        <f>C12-C13</f>
        <v>99755107.400000006</v>
      </c>
      <c r="D14" s="12">
        <f>D12-D13</f>
        <v>551837368.88</v>
      </c>
      <c r="E14" s="12">
        <f>E12-E13</f>
        <v>871829082.6559999</v>
      </c>
      <c r="F14" s="12">
        <f>F12-F13</f>
        <v>915817846.7888</v>
      </c>
      <c r="G14" s="12">
        <f>G12-G13</f>
        <v>962006049.12823999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111615107.40000001</v>
      </c>
      <c r="D17" s="12">
        <f t="shared" si="0"/>
        <v>563697368.88</v>
      </c>
      <c r="E17" s="12">
        <f t="shared" si="0"/>
        <v>883689082.6559999</v>
      </c>
      <c r="F17" s="12">
        <f t="shared" si="0"/>
        <v>927677846.7888</v>
      </c>
      <c r="G17" s="12">
        <f t="shared" si="0"/>
        <v>973866049.12823999</v>
      </c>
    </row>
    <row r="18" spans="1:7">
      <c r="A18" s="15" t="s">
        <v>40</v>
      </c>
      <c r="B18" s="12">
        <f>B17</f>
        <v>-328925890</v>
      </c>
      <c r="C18" s="12">
        <f>-FV(B20,1,,B18)+C17</f>
        <v>-335724103</v>
      </c>
      <c r="D18" s="12">
        <f>-FV(B20,1,,C18)+D17</f>
        <v>107112588.80000001</v>
      </c>
      <c r="E18" s="12">
        <f>-FV(C20,1,,D18)+E17</f>
        <v>990801671.45599985</v>
      </c>
      <c r="F18" s="12">
        <f>-FV(D20,1,,E18)+F17</f>
        <v>1918479518.2447999</v>
      </c>
      <c r="G18" s="12">
        <f>-FV(E20,1,,F18)+G17</f>
        <v>2892345567.3730397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889701983.14926553</v>
      </c>
    </row>
    <row r="22" spans="1:7">
      <c r="A22" t="s">
        <v>43</v>
      </c>
      <c r="B22" s="16">
        <f>IRR(B17:G17)</f>
        <v>1.1460967022489095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2400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720000000</v>
      </c>
      <c r="D5" s="12">
        <f>C5*1.5</f>
        <v>1080000000</v>
      </c>
      <c r="E5" s="12">
        <f>D5*1.5</f>
        <v>1620000000</v>
      </c>
      <c r="F5" s="12">
        <f>E5*1.05</f>
        <v>1701000000</v>
      </c>
      <c r="G5" s="12">
        <f>F5*1.05</f>
        <v>1786050000</v>
      </c>
    </row>
    <row r="6" spans="1:7">
      <c r="A6" s="13" t="s">
        <v>29</v>
      </c>
      <c r="B6" s="12"/>
      <c r="C6" s="12">
        <f>C5</f>
        <v>720000000</v>
      </c>
      <c r="D6" s="12">
        <f>D5</f>
        <v>1080000000</v>
      </c>
      <c r="E6" s="12">
        <f>E5</f>
        <v>1620000000</v>
      </c>
      <c r="F6" s="12">
        <f>F5</f>
        <v>1701000000</v>
      </c>
      <c r="G6" s="12">
        <f>G5</f>
        <v>1786050000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178888220</v>
      </c>
      <c r="D10" s="12">
        <f>D6+D8+D9</f>
        <v>868637864</v>
      </c>
      <c r="E10" s="12">
        <f>E6+E8+E9</f>
        <v>1368737436.8</v>
      </c>
      <c r="F10" s="12">
        <f>F6+F8+F9</f>
        <v>1437767308.6400001</v>
      </c>
      <c r="G10" s="12">
        <f>G6+G8+G9</f>
        <v>1510248674.072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178888220</v>
      </c>
      <c r="D12" s="12">
        <f>D10-D11</f>
        <v>868637864</v>
      </c>
      <c r="E12" s="12">
        <f>E10-E11</f>
        <v>1368737436.8</v>
      </c>
      <c r="F12" s="12">
        <f>F10-F11</f>
        <v>1437767308.6400001</v>
      </c>
      <c r="G12" s="12">
        <f>G10-G11</f>
        <v>1510248674.072</v>
      </c>
    </row>
    <row r="13" spans="1:7">
      <c r="A13" s="14" t="s">
        <v>36</v>
      </c>
      <c r="B13" s="12"/>
      <c r="C13" s="12">
        <f>C12*33%</f>
        <v>59033112.600000001</v>
      </c>
      <c r="D13" s="12">
        <f>D12*33%</f>
        <v>286650495.12</v>
      </c>
      <c r="E13" s="12">
        <f>E12*33%</f>
        <v>451683354.14399999</v>
      </c>
      <c r="F13" s="12">
        <f>F12*33%</f>
        <v>474463211.85120004</v>
      </c>
      <c r="G13" s="12">
        <f>G12*33%</f>
        <v>498382062.44376004</v>
      </c>
    </row>
    <row r="14" spans="1:7">
      <c r="A14" s="10" t="s">
        <v>37</v>
      </c>
      <c r="B14" s="12"/>
      <c r="C14" s="12">
        <f>C12-C13</f>
        <v>119855107.40000001</v>
      </c>
      <c r="D14" s="12">
        <f>D12-D13</f>
        <v>581987368.88</v>
      </c>
      <c r="E14" s="12">
        <f>E12-E13</f>
        <v>917054082.6559999</v>
      </c>
      <c r="F14" s="12">
        <f>F12-F13</f>
        <v>963304096.7888</v>
      </c>
      <c r="G14" s="12">
        <f>G12-G13</f>
        <v>1011866611.62824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131715107.40000001</v>
      </c>
      <c r="D17" s="12">
        <f t="shared" si="0"/>
        <v>593847368.88</v>
      </c>
      <c r="E17" s="12">
        <f t="shared" si="0"/>
        <v>928914082.6559999</v>
      </c>
      <c r="F17" s="12">
        <f t="shared" si="0"/>
        <v>975164096.7888</v>
      </c>
      <c r="G17" s="12">
        <f t="shared" si="0"/>
        <v>1023726611.62824</v>
      </c>
    </row>
    <row r="18" spans="1:7">
      <c r="A18" s="15" t="s">
        <v>40</v>
      </c>
      <c r="B18" s="12">
        <f>B17</f>
        <v>-328925890</v>
      </c>
      <c r="C18" s="12">
        <f>-FV(B20,1,,B18)+C17</f>
        <v>-315624103</v>
      </c>
      <c r="D18" s="12">
        <f>-FV(B20,1,,C18)+D17</f>
        <v>164598588.80000001</v>
      </c>
      <c r="E18" s="12">
        <f>-FV(C20,1,,D18)+E17</f>
        <v>1093512671.4559999</v>
      </c>
      <c r="F18" s="12">
        <f>-FV(D20,1,,E18)+F17</f>
        <v>2068676768.2447999</v>
      </c>
      <c r="G18" s="12">
        <f>-FV(E20,1,,F18)+G17</f>
        <v>3092403379.8730397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963358530.64789915</v>
      </c>
    </row>
    <row r="22" spans="1:7">
      <c r="A22" t="s">
        <v>43</v>
      </c>
      <c r="B22" s="16">
        <f>IRR(B17:G17)</f>
        <v>1.2062993362678918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2500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750000000</v>
      </c>
      <c r="D5" s="12">
        <f>C5*1.5</f>
        <v>1125000000</v>
      </c>
      <c r="E5" s="12">
        <f>D5*1.5</f>
        <v>1687500000</v>
      </c>
      <c r="F5" s="12">
        <f>E5*1.05</f>
        <v>1771875000</v>
      </c>
      <c r="G5" s="12">
        <f>F5*1.05</f>
        <v>1860468750</v>
      </c>
    </row>
    <row r="6" spans="1:7">
      <c r="A6" s="13" t="s">
        <v>29</v>
      </c>
      <c r="B6" s="12"/>
      <c r="C6" s="12">
        <f>C5</f>
        <v>750000000</v>
      </c>
      <c r="D6" s="12">
        <f>D5</f>
        <v>1125000000</v>
      </c>
      <c r="E6" s="12">
        <f>E5</f>
        <v>1687500000</v>
      </c>
      <c r="F6" s="12">
        <f>F5</f>
        <v>1771875000</v>
      </c>
      <c r="G6" s="12">
        <f>G5</f>
        <v>1860468750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208888220</v>
      </c>
      <c r="D10" s="12">
        <f>D6+D8+D9</f>
        <v>913637864</v>
      </c>
      <c r="E10" s="12">
        <f>E6+E8+E9</f>
        <v>1436237436.8</v>
      </c>
      <c r="F10" s="12">
        <f>F6+F8+F9</f>
        <v>1508642308.6400001</v>
      </c>
      <c r="G10" s="12">
        <f>G6+G8+G9</f>
        <v>1584667424.072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208888220</v>
      </c>
      <c r="D12" s="12">
        <f>D10-D11</f>
        <v>913637864</v>
      </c>
      <c r="E12" s="12">
        <f>E10-E11</f>
        <v>1436237436.8</v>
      </c>
      <c r="F12" s="12">
        <f>F10-F11</f>
        <v>1508642308.6400001</v>
      </c>
      <c r="G12" s="12">
        <f>G10-G11</f>
        <v>1584667424.072</v>
      </c>
    </row>
    <row r="13" spans="1:7">
      <c r="A13" s="14" t="s">
        <v>36</v>
      </c>
      <c r="B13" s="12"/>
      <c r="C13" s="12">
        <f>C12*33%</f>
        <v>68933112.600000009</v>
      </c>
      <c r="D13" s="12">
        <f>D12*33%</f>
        <v>301500495.12</v>
      </c>
      <c r="E13" s="12">
        <f>E12*33%</f>
        <v>473958354.14399999</v>
      </c>
      <c r="F13" s="12">
        <f>F12*33%</f>
        <v>497851961.85120004</v>
      </c>
      <c r="G13" s="12">
        <f>G12*33%</f>
        <v>522940249.94376004</v>
      </c>
    </row>
    <row r="14" spans="1:7">
      <c r="A14" s="10" t="s">
        <v>37</v>
      </c>
      <c r="B14" s="12"/>
      <c r="C14" s="12">
        <f>C12-C13</f>
        <v>139955107.39999998</v>
      </c>
      <c r="D14" s="12">
        <f>D12-D13</f>
        <v>612137368.88</v>
      </c>
      <c r="E14" s="12">
        <f>E12-E13</f>
        <v>962279082.6559999</v>
      </c>
      <c r="F14" s="12">
        <f>F12-F13</f>
        <v>1010790346.7888</v>
      </c>
      <c r="G14" s="12">
        <f>G12-G13</f>
        <v>1061727174.12824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151815107.39999998</v>
      </c>
      <c r="D17" s="12">
        <f t="shared" si="0"/>
        <v>623997368.88</v>
      </c>
      <c r="E17" s="12">
        <f t="shared" si="0"/>
        <v>974139082.6559999</v>
      </c>
      <c r="F17" s="12">
        <f t="shared" si="0"/>
        <v>1022650346.7888</v>
      </c>
      <c r="G17" s="12">
        <f t="shared" si="0"/>
        <v>1073587174.12824</v>
      </c>
    </row>
    <row r="18" spans="1:7">
      <c r="A18" s="15" t="s">
        <v>40</v>
      </c>
      <c r="B18" s="12">
        <f>B17</f>
        <v>-328925890</v>
      </c>
      <c r="C18" s="12">
        <f>-FV(B20,1,,B18)+C17</f>
        <v>-295524103</v>
      </c>
      <c r="D18" s="12">
        <f>-FV(B20,1,,C18)+D17</f>
        <v>222084588.80000001</v>
      </c>
      <c r="E18" s="12">
        <f>-FV(C20,1,,D18)+E17</f>
        <v>1196223671.4559999</v>
      </c>
      <c r="F18" s="12">
        <f>-FV(D20,1,,E18)+F17</f>
        <v>2218874018.2447996</v>
      </c>
      <c r="G18" s="12">
        <f>-FV(E20,1,,F18)+G17</f>
        <v>3292461192.3730397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1037015078.146533</v>
      </c>
    </row>
    <row r="22" spans="1:7">
      <c r="A22" t="s">
        <v>43</v>
      </c>
      <c r="B22" s="16">
        <f>IRR(B17:G17)</f>
        <v>1.2662089634038793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2600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780000000</v>
      </c>
      <c r="D5" s="12">
        <f>C5*1.5</f>
        <v>1170000000</v>
      </c>
      <c r="E5" s="12">
        <f>D5*1.5</f>
        <v>1755000000</v>
      </c>
      <c r="F5" s="12">
        <f>E5*1.05</f>
        <v>1842750000</v>
      </c>
      <c r="G5" s="12">
        <f>F5*1.05</f>
        <v>1934887500</v>
      </c>
    </row>
    <row r="6" spans="1:7">
      <c r="A6" s="13" t="s">
        <v>29</v>
      </c>
      <c r="B6" s="12"/>
      <c r="C6" s="12">
        <f>C5</f>
        <v>780000000</v>
      </c>
      <c r="D6" s="12">
        <f>D5</f>
        <v>1170000000</v>
      </c>
      <c r="E6" s="12">
        <f>E5</f>
        <v>1755000000</v>
      </c>
      <c r="F6" s="12">
        <f>F5</f>
        <v>1842750000</v>
      </c>
      <c r="G6" s="12">
        <f>G5</f>
        <v>1934887500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238888220</v>
      </c>
      <c r="D10" s="12">
        <f>D6+D8+D9</f>
        <v>958637864</v>
      </c>
      <c r="E10" s="12">
        <f>E6+E8+E9</f>
        <v>1503737436.8</v>
      </c>
      <c r="F10" s="12">
        <f>F6+F8+F9</f>
        <v>1579517308.6400001</v>
      </c>
      <c r="G10" s="12">
        <f>G6+G8+G9</f>
        <v>1659086174.072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238888220</v>
      </c>
      <c r="D12" s="12">
        <f>D10-D11</f>
        <v>958637864</v>
      </c>
      <c r="E12" s="12">
        <f>E10-E11</f>
        <v>1503737436.8</v>
      </c>
      <c r="F12" s="12">
        <f>F10-F11</f>
        <v>1579517308.6400001</v>
      </c>
      <c r="G12" s="12">
        <f>G10-G11</f>
        <v>1659086174.072</v>
      </c>
    </row>
    <row r="13" spans="1:7">
      <c r="A13" s="14" t="s">
        <v>36</v>
      </c>
      <c r="B13" s="12"/>
      <c r="C13" s="12">
        <f>C12*33%</f>
        <v>78833112.600000009</v>
      </c>
      <c r="D13" s="12">
        <f>D12*33%</f>
        <v>316350495.12</v>
      </c>
      <c r="E13" s="12">
        <f>E12*33%</f>
        <v>496233354.14399999</v>
      </c>
      <c r="F13" s="12">
        <f>F12*33%</f>
        <v>521240711.85120004</v>
      </c>
      <c r="G13" s="12">
        <f>G12*33%</f>
        <v>547498437.44376004</v>
      </c>
    </row>
    <row r="14" spans="1:7">
      <c r="A14" s="10" t="s">
        <v>37</v>
      </c>
      <c r="B14" s="12"/>
      <c r="C14" s="12">
        <f>C12-C13</f>
        <v>160055107.39999998</v>
      </c>
      <c r="D14" s="12">
        <f>D12-D13</f>
        <v>642287368.88</v>
      </c>
      <c r="E14" s="12">
        <f>E12-E13</f>
        <v>1007504082.6559999</v>
      </c>
      <c r="F14" s="12">
        <f>F12-F13</f>
        <v>1058276596.7888</v>
      </c>
      <c r="G14" s="12">
        <f>G12-G13</f>
        <v>1111587736.6282401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171915107.39999998</v>
      </c>
      <c r="D17" s="12">
        <f t="shared" si="0"/>
        <v>654147368.88</v>
      </c>
      <c r="E17" s="12">
        <f t="shared" si="0"/>
        <v>1019364082.6559999</v>
      </c>
      <c r="F17" s="12">
        <f t="shared" si="0"/>
        <v>1070136596.7888</v>
      </c>
      <c r="G17" s="12">
        <f t="shared" si="0"/>
        <v>1123447736.6282401</v>
      </c>
    </row>
    <row r="18" spans="1:7">
      <c r="A18" s="15" t="s">
        <v>40</v>
      </c>
      <c r="B18" s="12">
        <f>B17</f>
        <v>-328925890</v>
      </c>
      <c r="C18" s="12">
        <f>-FV(B20,1,,B18)+C17</f>
        <v>-275424103</v>
      </c>
      <c r="D18" s="12">
        <f>-FV(B20,1,,C18)+D17</f>
        <v>279570588.80000001</v>
      </c>
      <c r="E18" s="12">
        <f>-FV(C20,1,,D18)+E17</f>
        <v>1298934671.4559999</v>
      </c>
      <c r="F18" s="12">
        <f>-FV(D20,1,,E18)+F17</f>
        <v>2369071268.2447996</v>
      </c>
      <c r="G18" s="12">
        <f>-FV(E20,1,,F18)+G17</f>
        <v>3492519004.8730397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1110671625.6451664</v>
      </c>
    </row>
    <row r="22" spans="1:7">
      <c r="A22" t="s">
        <v>43</v>
      </c>
      <c r="B22" s="16">
        <f>IRR(B17:G17)</f>
        <v>1.3258692689317442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4"/>
  <sheetViews>
    <sheetView workbookViewId="0">
      <selection activeCell="E3" sqref="E3"/>
    </sheetView>
  </sheetViews>
  <sheetFormatPr baseColWidth="10" defaultColWidth="11.42578125" defaultRowHeight="15"/>
  <cols>
    <col min="1" max="1" width="13.28515625" customWidth="1"/>
    <col min="3" max="3" width="16" customWidth="1"/>
    <col min="4" max="4" width="16.28515625" customWidth="1"/>
  </cols>
  <sheetData>
    <row r="1" spans="1:7">
      <c r="A1" s="46" t="s">
        <v>48</v>
      </c>
      <c r="B1" s="46"/>
      <c r="C1" s="46"/>
      <c r="D1" s="46"/>
      <c r="E1" s="35"/>
      <c r="F1" s="35"/>
      <c r="G1" s="35"/>
    </row>
    <row r="2" spans="1:7">
      <c r="A2" s="43" t="s">
        <v>47</v>
      </c>
      <c r="B2" s="44"/>
      <c r="C2" s="44"/>
      <c r="D2" s="45"/>
    </row>
    <row r="3" spans="1:7">
      <c r="A3" s="32" t="s">
        <v>46</v>
      </c>
      <c r="B3" s="32" t="s">
        <v>43</v>
      </c>
      <c r="C3" s="32" t="s">
        <v>44</v>
      </c>
      <c r="D3" s="32" t="s">
        <v>45</v>
      </c>
    </row>
    <row r="4" spans="1:7">
      <c r="A4" s="26">
        <v>1600</v>
      </c>
      <c r="B4" s="27">
        <f>'@1600'!B22</f>
        <v>0.71071129605273997</v>
      </c>
      <c r="C4" s="28">
        <f>'@1600'!B21</f>
        <v>374106150.65882933</v>
      </c>
      <c r="D4" s="26">
        <v>3</v>
      </c>
    </row>
    <row r="5" spans="1:7">
      <c r="A5" s="29">
        <v>1700</v>
      </c>
      <c r="B5" s="30">
        <f>'@1700'!B22</f>
        <v>0.77509113185612288</v>
      </c>
      <c r="C5" s="31">
        <f>'@1700'!B21</f>
        <v>447762698.15746295</v>
      </c>
      <c r="D5" s="29">
        <v>3</v>
      </c>
    </row>
    <row r="6" spans="1:7">
      <c r="A6" s="26">
        <v>1800</v>
      </c>
      <c r="B6" s="27">
        <f>'@1800'!B22</f>
        <v>0.83853088503244155</v>
      </c>
      <c r="C6" s="28">
        <f>'@1800'!$B21</f>
        <v>521419245.6560967</v>
      </c>
      <c r="D6" s="26">
        <v>3</v>
      </c>
    </row>
    <row r="7" spans="1:7">
      <c r="A7" s="29">
        <v>1900</v>
      </c>
      <c r="B7" s="30">
        <f>'@1900'!B22</f>
        <v>0.90118285117487029</v>
      </c>
      <c r="C7" s="31">
        <f>'@1900'!B21</f>
        <v>595075793.15473032</v>
      </c>
      <c r="D7" s="29">
        <v>3</v>
      </c>
    </row>
    <row r="8" spans="1:7">
      <c r="A8" s="26">
        <v>2000</v>
      </c>
      <c r="B8" s="27">
        <f>' @2000'!B22</f>
        <v>0.96317126102375628</v>
      </c>
      <c r="C8" s="28">
        <f>' @2000'!B21</f>
        <v>668732340.65336442</v>
      </c>
      <c r="D8" s="26">
        <v>3</v>
      </c>
    </row>
    <row r="9" spans="1:7">
      <c r="A9" s="29">
        <v>2100</v>
      </c>
      <c r="B9" s="30">
        <f>'@2100'!B22</f>
        <v>1.0245985319775976</v>
      </c>
      <c r="C9" s="31">
        <f>'@2100'!B21</f>
        <v>742388888.15199804</v>
      </c>
      <c r="D9" s="29">
        <v>3</v>
      </c>
    </row>
    <row r="10" spans="1:7">
      <c r="A10" s="26">
        <v>2200</v>
      </c>
      <c r="B10" s="27">
        <f>'@2200'!B22</f>
        <v>1.0855498669433943</v>
      </c>
      <c r="C10" s="28">
        <f>'@2200'!B21</f>
        <v>816045435.65063167</v>
      </c>
      <c r="D10" s="26">
        <v>2</v>
      </c>
    </row>
    <row r="11" spans="1:7">
      <c r="A11" s="29">
        <v>2300</v>
      </c>
      <c r="B11" s="30">
        <f>'2300'!B22</f>
        <v>1.1460967022489095</v>
      </c>
      <c r="C11" s="31">
        <f>'2300'!B21</f>
        <v>889701983.14926553</v>
      </c>
      <c r="D11" s="29">
        <v>2</v>
      </c>
    </row>
    <row r="12" spans="1:7">
      <c r="A12" s="26">
        <v>2400</v>
      </c>
      <c r="B12" s="27">
        <f>'@2400'!B22</f>
        <v>1.2062993362678918</v>
      </c>
      <c r="C12" s="28">
        <f>'@2400'!B21</f>
        <v>963358530.64789915</v>
      </c>
      <c r="D12" s="26">
        <v>2</v>
      </c>
    </row>
    <row r="13" spans="1:7">
      <c r="A13" s="29">
        <v>2500</v>
      </c>
      <c r="B13" s="30">
        <f>'@2500'!B22</f>
        <v>1.2662089634038793</v>
      </c>
      <c r="C13" s="31">
        <f>'@2500'!B21</f>
        <v>1037015078.146533</v>
      </c>
      <c r="D13" s="29">
        <v>2</v>
      </c>
    </row>
    <row r="14" spans="1:7">
      <c r="A14" s="26">
        <v>2600</v>
      </c>
      <c r="B14" s="27">
        <f>'@2600'!B22</f>
        <v>1.3258692689317442</v>
      </c>
      <c r="C14" s="28">
        <f>'@2600'!B21</f>
        <v>1110671625.6451664</v>
      </c>
      <c r="D14" s="26">
        <v>2</v>
      </c>
    </row>
  </sheetData>
  <mergeCells count="2">
    <mergeCell ref="A2:D2"/>
    <mergeCell ref="A1:D1"/>
  </mergeCells>
  <phoneticPr fontId="1" type="noConversion"/>
  <printOptions horizontalCentered="1"/>
  <pageMargins left="1.5748031496062993" right="0.78740157480314965" top="1.82" bottom="1.1811023622047245" header="0.31496062992125984" footer="0.31496062992125984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5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1092.0938282292302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327628148.46876907</v>
      </c>
      <c r="D5" s="12">
        <f>C5*1.5</f>
        <v>491442222.70315361</v>
      </c>
      <c r="E5" s="12">
        <f>D5*1.5</f>
        <v>737163334.05473042</v>
      </c>
      <c r="F5" s="12">
        <f>E5*1.05</f>
        <v>774021500.75746691</v>
      </c>
      <c r="G5" s="12">
        <f>F5*1.05</f>
        <v>812722575.7953403</v>
      </c>
    </row>
    <row r="6" spans="1:7">
      <c r="A6" s="13" t="s">
        <v>29</v>
      </c>
      <c r="B6" s="12"/>
      <c r="C6" s="12">
        <f>C5</f>
        <v>327628148.46876907</v>
      </c>
      <c r="D6" s="12">
        <f>D5</f>
        <v>491442222.70315361</v>
      </c>
      <c r="E6" s="12">
        <f>E5</f>
        <v>737163334.05473042</v>
      </c>
      <c r="F6" s="12">
        <f>F5</f>
        <v>774021500.75746691</v>
      </c>
      <c r="G6" s="12">
        <f>G5</f>
        <v>812722575.7953403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-213483631.53123093</v>
      </c>
      <c r="D10" s="12">
        <f>D6+D8+D9</f>
        <v>280080086.70315361</v>
      </c>
      <c r="E10" s="12">
        <f>E6+E8+E9</f>
        <v>485900770.85473043</v>
      </c>
      <c r="F10" s="12">
        <f>F6+F8+F9</f>
        <v>510788809.3974669</v>
      </c>
      <c r="G10" s="12">
        <f>G6+G8+G9</f>
        <v>536921249.86734033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-213483631.53123093</v>
      </c>
      <c r="D12" s="12">
        <f>D10-D11</f>
        <v>280080086.70315361</v>
      </c>
      <c r="E12" s="12">
        <f>E10-E11</f>
        <v>485900770.85473043</v>
      </c>
      <c r="F12" s="12">
        <f>F10-F11</f>
        <v>510788809.3974669</v>
      </c>
      <c r="G12" s="12">
        <f>G10-G11</f>
        <v>536921249.86734033</v>
      </c>
    </row>
    <row r="13" spans="1:7">
      <c r="A13" s="14" t="s">
        <v>36</v>
      </c>
      <c r="B13" s="12"/>
      <c r="C13" s="12">
        <f>C12*33%</f>
        <v>-70449598.405306205</v>
      </c>
      <c r="D13" s="12">
        <f>D12*33%</f>
        <v>92426428.612040699</v>
      </c>
      <c r="E13" s="12">
        <f>E12*33%</f>
        <v>160347254.38206103</v>
      </c>
      <c r="F13" s="12">
        <f>F12*33%</f>
        <v>168560307.10116407</v>
      </c>
      <c r="G13" s="12">
        <f>G12*33%</f>
        <v>177184012.45622233</v>
      </c>
    </row>
    <row r="14" spans="1:7">
      <c r="A14" s="10" t="s">
        <v>37</v>
      </c>
      <c r="B14" s="12"/>
      <c r="C14" s="12">
        <f>C12-C13</f>
        <v>-143034033.12592471</v>
      </c>
      <c r="D14" s="12">
        <f>D12-D13</f>
        <v>187653658.09111291</v>
      </c>
      <c r="E14" s="12">
        <f>E12-E13</f>
        <v>325553516.47266936</v>
      </c>
      <c r="F14" s="12">
        <f>F12-F13</f>
        <v>342228502.2963028</v>
      </c>
      <c r="G14" s="12">
        <f>G12-G13</f>
        <v>359737237.41111803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8">
      <c r="A17" s="10" t="s">
        <v>39</v>
      </c>
      <c r="B17" s="12">
        <f t="shared" ref="B17:G17" si="0">B14+B15+B16</f>
        <v>-328925890</v>
      </c>
      <c r="C17" s="12">
        <f t="shared" si="0"/>
        <v>-131174033.12592471</v>
      </c>
      <c r="D17" s="12">
        <f t="shared" si="0"/>
        <v>199513658.09111291</v>
      </c>
      <c r="E17" s="12">
        <f t="shared" si="0"/>
        <v>337413516.47266936</v>
      </c>
      <c r="F17" s="12">
        <f t="shared" si="0"/>
        <v>354088502.2963028</v>
      </c>
      <c r="G17" s="12">
        <f t="shared" si="0"/>
        <v>371597237.41111803</v>
      </c>
    </row>
    <row r="18" spans="1:8">
      <c r="A18" s="15" t="s">
        <v>40</v>
      </c>
      <c r="B18" s="12">
        <f>B17</f>
        <v>-328925890</v>
      </c>
      <c r="C18" s="12">
        <f>-FV(B20,1,,B18)+C17</f>
        <v>-578513243.52592468</v>
      </c>
      <c r="D18" s="12">
        <f>-FV(B20,1,,C18)+D17</f>
        <v>-587264353.10414457</v>
      </c>
      <c r="E18" s="12">
        <f>-FV(C20,1,,D18)+E17</f>
        <v>-249850836.63147521</v>
      </c>
      <c r="F18" s="12">
        <f>-FV(D20,1,,E18)+F17</f>
        <v>104237665.66482759</v>
      </c>
      <c r="G18" s="12">
        <f>-FV(E20,1,,F18)+G17</f>
        <v>475834903.07594562</v>
      </c>
    </row>
    <row r="20" spans="1:8">
      <c r="A20" t="s">
        <v>41</v>
      </c>
      <c r="B20" s="16">
        <v>0.36</v>
      </c>
    </row>
    <row r="21" spans="1:8">
      <c r="A21" t="s">
        <v>42</v>
      </c>
      <c r="B21" s="17">
        <f>NPV(B20,C17:G17)+B17</f>
        <v>0</v>
      </c>
    </row>
    <row r="22" spans="1:8">
      <c r="A22" t="s">
        <v>43</v>
      </c>
      <c r="B22" s="16">
        <f>IRR(B17:G17)</f>
        <v>0.35999999999999988</v>
      </c>
    </row>
    <row r="25" spans="1:8">
      <c r="C25" s="17"/>
      <c r="D25" s="17"/>
      <c r="E25" s="17"/>
      <c r="F25" s="17"/>
      <c r="G25" s="17"/>
      <c r="H25" s="17"/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1600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480000000</v>
      </c>
      <c r="D5" s="12">
        <f>C5*1.5</f>
        <v>720000000</v>
      </c>
      <c r="E5" s="12">
        <f>D5*1.5</f>
        <v>1080000000</v>
      </c>
      <c r="F5" s="12">
        <f>E5*1.05</f>
        <v>1134000000</v>
      </c>
      <c r="G5" s="12">
        <f>F5*1.05</f>
        <v>1190700000</v>
      </c>
    </row>
    <row r="6" spans="1:7">
      <c r="A6" s="13" t="s">
        <v>29</v>
      </c>
      <c r="B6" s="12"/>
      <c r="C6" s="12">
        <f>C5</f>
        <v>480000000</v>
      </c>
      <c r="D6" s="12">
        <f>D5</f>
        <v>720000000</v>
      </c>
      <c r="E6" s="12">
        <f>E5</f>
        <v>1080000000</v>
      </c>
      <c r="F6" s="12">
        <f>F5</f>
        <v>1134000000</v>
      </c>
      <c r="G6" s="12">
        <f>G5</f>
        <v>1190700000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-61111780</v>
      </c>
      <c r="D10" s="12">
        <f>D6+D8+D9</f>
        <v>508637864</v>
      </c>
      <c r="E10" s="12">
        <f>E6+E8+E9</f>
        <v>828737436.79999995</v>
      </c>
      <c r="F10" s="12">
        <f>F6+F8+F9</f>
        <v>870767308.63999999</v>
      </c>
      <c r="G10" s="12">
        <f>G6+G8+G9</f>
        <v>914898674.07200003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-61111780</v>
      </c>
      <c r="D12" s="12">
        <f>D10-D11</f>
        <v>508637864</v>
      </c>
      <c r="E12" s="12">
        <f>E10-E11</f>
        <v>828737436.79999995</v>
      </c>
      <c r="F12" s="12">
        <f>F10-F11</f>
        <v>870767308.63999999</v>
      </c>
      <c r="G12" s="12">
        <f>G10-G11</f>
        <v>914898674.07200003</v>
      </c>
    </row>
    <row r="13" spans="1:7">
      <c r="A13" s="14" t="s">
        <v>36</v>
      </c>
      <c r="B13" s="12"/>
      <c r="C13" s="12">
        <f>C12*33%</f>
        <v>-20166887.400000002</v>
      </c>
      <c r="D13" s="12">
        <f>D12*33%</f>
        <v>167850495.12</v>
      </c>
      <c r="E13" s="12">
        <f>E12*33%</f>
        <v>273483354.14399999</v>
      </c>
      <c r="F13" s="12">
        <f>F12*33%</f>
        <v>287353211.85119998</v>
      </c>
      <c r="G13" s="12">
        <f>G12*33%</f>
        <v>301916562.44376004</v>
      </c>
    </row>
    <row r="14" spans="1:7">
      <c r="A14" s="10" t="s">
        <v>37</v>
      </c>
      <c r="B14" s="12"/>
      <c r="C14" s="12">
        <f>C12-C13</f>
        <v>-40944892.599999994</v>
      </c>
      <c r="D14" s="12">
        <f>D12-D13</f>
        <v>340787368.88</v>
      </c>
      <c r="E14" s="12">
        <f>E12-E13</f>
        <v>555254082.6559999</v>
      </c>
      <c r="F14" s="12">
        <f>F12-F13</f>
        <v>583414096.7888</v>
      </c>
      <c r="G14" s="12">
        <f>G12-G13</f>
        <v>612982111.62823999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-29084892.599999994</v>
      </c>
      <c r="D17" s="12">
        <f t="shared" si="0"/>
        <v>352647368.88</v>
      </c>
      <c r="E17" s="12">
        <f t="shared" si="0"/>
        <v>567114082.6559999</v>
      </c>
      <c r="F17" s="12">
        <f t="shared" si="0"/>
        <v>595274096.7888</v>
      </c>
      <c r="G17" s="12">
        <f t="shared" si="0"/>
        <v>624842111.62823999</v>
      </c>
    </row>
    <row r="18" spans="1:7">
      <c r="A18" s="15" t="s">
        <v>40</v>
      </c>
      <c r="B18" s="12">
        <f>B17</f>
        <v>-328925890</v>
      </c>
      <c r="C18" s="12">
        <f>-FV(B20,1,,B18)+C17</f>
        <v>-476424103</v>
      </c>
      <c r="D18" s="12">
        <f>-FV(B20,1,,C18)+D17</f>
        <v>-295289411.19999993</v>
      </c>
      <c r="E18" s="12">
        <f>-FV(C20,1,,D18)+E17</f>
        <v>271824671.45599997</v>
      </c>
      <c r="F18" s="12">
        <f>-FV(D20,1,,E18)+F17</f>
        <v>867098768.24479997</v>
      </c>
      <c r="G18" s="12">
        <f>-FV(E20,1,,F18)+G17</f>
        <v>1491940879.87304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374106150.65882933</v>
      </c>
    </row>
    <row r="22" spans="1:7">
      <c r="A22" t="s">
        <v>43</v>
      </c>
      <c r="B22" s="16">
        <f>IRR(B17:G17)</f>
        <v>0.71071129605273997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1700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510000000</v>
      </c>
      <c r="D5" s="12">
        <f>C5*1.5</f>
        <v>765000000</v>
      </c>
      <c r="E5" s="12">
        <f>D5*1.5</f>
        <v>1147500000</v>
      </c>
      <c r="F5" s="12">
        <f>E5*1.05</f>
        <v>1204875000</v>
      </c>
      <c r="G5" s="12">
        <f>F5*1.05</f>
        <v>1265118750</v>
      </c>
    </row>
    <row r="6" spans="1:7">
      <c r="A6" s="13" t="s">
        <v>29</v>
      </c>
      <c r="B6" s="12"/>
      <c r="C6" s="12">
        <f>C5</f>
        <v>510000000</v>
      </c>
      <c r="D6" s="12">
        <f>D5</f>
        <v>765000000</v>
      </c>
      <c r="E6" s="12">
        <f>E5</f>
        <v>1147500000</v>
      </c>
      <c r="F6" s="12">
        <f>F5</f>
        <v>1204875000</v>
      </c>
      <c r="G6" s="12">
        <f>G5</f>
        <v>1265118750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-31111780</v>
      </c>
      <c r="D10" s="12">
        <f>D6+D8+D9</f>
        <v>553637864</v>
      </c>
      <c r="E10" s="12">
        <f>E6+E8+E9</f>
        <v>896237436.79999995</v>
      </c>
      <c r="F10" s="12">
        <f>F6+F8+F9</f>
        <v>941642308.63999999</v>
      </c>
      <c r="G10" s="12">
        <f>G6+G8+G9</f>
        <v>989317424.07200003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-31111780</v>
      </c>
      <c r="D12" s="12">
        <f>D10-D11</f>
        <v>553637864</v>
      </c>
      <c r="E12" s="12">
        <f>E10-E11</f>
        <v>896237436.79999995</v>
      </c>
      <c r="F12" s="12">
        <f>F10-F11</f>
        <v>941642308.63999999</v>
      </c>
      <c r="G12" s="12">
        <f>G10-G11</f>
        <v>989317424.07200003</v>
      </c>
    </row>
    <row r="13" spans="1:7">
      <c r="A13" s="14" t="s">
        <v>36</v>
      </c>
      <c r="B13" s="12"/>
      <c r="C13" s="12">
        <f>C12*33%</f>
        <v>-10266887.4</v>
      </c>
      <c r="D13" s="12">
        <f>D12*33%</f>
        <v>182700495.12</v>
      </c>
      <c r="E13" s="12">
        <f>E12*33%</f>
        <v>295758354.14399999</v>
      </c>
      <c r="F13" s="12">
        <f>F12*33%</f>
        <v>310741961.85119998</v>
      </c>
      <c r="G13" s="12">
        <f>G12*33%</f>
        <v>326474749.94376004</v>
      </c>
    </row>
    <row r="14" spans="1:7">
      <c r="A14" s="10" t="s">
        <v>37</v>
      </c>
      <c r="B14" s="12"/>
      <c r="C14" s="12">
        <f>C12-C13</f>
        <v>-20844892.600000001</v>
      </c>
      <c r="D14" s="12">
        <f>D12-D13</f>
        <v>370937368.88</v>
      </c>
      <c r="E14" s="12">
        <f>E12-E13</f>
        <v>600479082.6559999</v>
      </c>
      <c r="F14" s="12">
        <f>F12-F13</f>
        <v>630900346.7888</v>
      </c>
      <c r="G14" s="12">
        <f>G12-G13</f>
        <v>662842674.12823999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-8984892.6000000015</v>
      </c>
      <c r="D17" s="12">
        <f t="shared" si="0"/>
        <v>382797368.88</v>
      </c>
      <c r="E17" s="12">
        <f t="shared" si="0"/>
        <v>612339082.6559999</v>
      </c>
      <c r="F17" s="12">
        <f t="shared" si="0"/>
        <v>642760346.7888</v>
      </c>
      <c r="G17" s="12">
        <f t="shared" si="0"/>
        <v>674702674.12823999</v>
      </c>
    </row>
    <row r="18" spans="1:7">
      <c r="A18" s="15" t="s">
        <v>40</v>
      </c>
      <c r="B18" s="12">
        <f>B17</f>
        <v>-328925890</v>
      </c>
      <c r="C18" s="12">
        <f>-FV(B20,1,,B18)+C17</f>
        <v>-456324103</v>
      </c>
      <c r="D18" s="12">
        <f>-FV(B20,1,,C18)+D17</f>
        <v>-237803411.19999993</v>
      </c>
      <c r="E18" s="12">
        <f>-FV(C20,1,,D18)+E17</f>
        <v>374535671.45599997</v>
      </c>
      <c r="F18" s="12">
        <f>-FV(D20,1,,E18)+F17</f>
        <v>1017296018.2448</v>
      </c>
      <c r="G18" s="12">
        <f>-FV(E20,1,,F18)+G17</f>
        <v>1691998692.37304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447762698.15746295</v>
      </c>
    </row>
    <row r="22" spans="1:7">
      <c r="A22" t="s">
        <v>43</v>
      </c>
      <c r="B22" s="16">
        <f>IRR(B17:G17)</f>
        <v>0.77509113185612288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1800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540000000</v>
      </c>
      <c r="D5" s="12">
        <f>C5*1.5</f>
        <v>810000000</v>
      </c>
      <c r="E5" s="12">
        <f>D5*1.5</f>
        <v>1215000000</v>
      </c>
      <c r="F5" s="12">
        <f>E5*1.05</f>
        <v>1275750000</v>
      </c>
      <c r="G5" s="12">
        <f>F5*1.05</f>
        <v>1339537500</v>
      </c>
    </row>
    <row r="6" spans="1:7">
      <c r="A6" s="13" t="s">
        <v>29</v>
      </c>
      <c r="B6" s="12"/>
      <c r="C6" s="12">
        <f>C5</f>
        <v>540000000</v>
      </c>
      <c r="D6" s="12">
        <f>D5</f>
        <v>810000000</v>
      </c>
      <c r="E6" s="12">
        <f>E5</f>
        <v>1215000000</v>
      </c>
      <c r="F6" s="12">
        <f>F5</f>
        <v>1275750000</v>
      </c>
      <c r="G6" s="12">
        <f>G5</f>
        <v>1339537500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-1111780</v>
      </c>
      <c r="D10" s="12">
        <f>D6+D8+D9</f>
        <v>598637864</v>
      </c>
      <c r="E10" s="12">
        <f>E6+E8+E9</f>
        <v>963737436.79999995</v>
      </c>
      <c r="F10" s="12">
        <f>F6+F8+F9</f>
        <v>1012517308.64</v>
      </c>
      <c r="G10" s="12">
        <f>G6+G8+G9</f>
        <v>1063736174.072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-1111780</v>
      </c>
      <c r="D12" s="12">
        <f>D10-D11</f>
        <v>598637864</v>
      </c>
      <c r="E12" s="12">
        <f>E10-E11</f>
        <v>963737436.79999995</v>
      </c>
      <c r="F12" s="12">
        <f>F10-F11</f>
        <v>1012517308.64</v>
      </c>
      <c r="G12" s="12">
        <f>G10-G11</f>
        <v>1063736174.072</v>
      </c>
    </row>
    <row r="13" spans="1:7">
      <c r="A13" s="14" t="s">
        <v>36</v>
      </c>
      <c r="B13" s="12"/>
      <c r="C13" s="12">
        <f>C12*33%</f>
        <v>-366887.4</v>
      </c>
      <c r="D13" s="12">
        <f>D12*33%</f>
        <v>197550495.12</v>
      </c>
      <c r="E13" s="12">
        <f>E12*33%</f>
        <v>318033354.14399999</v>
      </c>
      <c r="F13" s="12">
        <f>F12*33%</f>
        <v>334130711.85119998</v>
      </c>
      <c r="G13" s="12">
        <f>G12*33%</f>
        <v>351032937.44376004</v>
      </c>
    </row>
    <row r="14" spans="1:7">
      <c r="A14" s="10" t="s">
        <v>37</v>
      </c>
      <c r="B14" s="12"/>
      <c r="C14" s="12">
        <f>C12-C13</f>
        <v>-744892.6</v>
      </c>
      <c r="D14" s="12">
        <f>D12-D13</f>
        <v>401087368.88</v>
      </c>
      <c r="E14" s="12">
        <f>E12-E13</f>
        <v>645704082.6559999</v>
      </c>
      <c r="F14" s="12">
        <f>F12-F13</f>
        <v>678386596.7888</v>
      </c>
      <c r="G14" s="12">
        <f>G12-G13</f>
        <v>712703236.62823999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11115107.4</v>
      </c>
      <c r="D17" s="12">
        <f t="shared" si="0"/>
        <v>412947368.88</v>
      </c>
      <c r="E17" s="12">
        <f t="shared" si="0"/>
        <v>657564082.6559999</v>
      </c>
      <c r="F17" s="12">
        <f t="shared" si="0"/>
        <v>690246596.7888</v>
      </c>
      <c r="G17" s="12">
        <f t="shared" si="0"/>
        <v>724563236.62823999</v>
      </c>
    </row>
    <row r="18" spans="1:7">
      <c r="A18" s="15" t="s">
        <v>40</v>
      </c>
      <c r="B18" s="12">
        <f>B17</f>
        <v>-328925890</v>
      </c>
      <c r="C18" s="12">
        <f>-FV(B20,1,,B18)+C17</f>
        <v>-436224103</v>
      </c>
      <c r="D18" s="12">
        <f>-FV(B20,1,,C18)+D17</f>
        <v>-180317411.19999993</v>
      </c>
      <c r="E18" s="12">
        <f>-FV(C20,1,,D18)+E17</f>
        <v>477246671.45599997</v>
      </c>
      <c r="F18" s="12">
        <f>-FV(D20,1,,E18)+F17</f>
        <v>1167493268.2448001</v>
      </c>
      <c r="G18" s="12">
        <f>-FV(E20,1,,F18)+G17</f>
        <v>1892056504.8730402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521419245.6560967</v>
      </c>
    </row>
    <row r="22" spans="1:7">
      <c r="A22" t="s">
        <v>43</v>
      </c>
      <c r="B22" s="16">
        <f>IRR(B17:G17)</f>
        <v>0.83853088503244155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1900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570000000</v>
      </c>
      <c r="D5" s="12">
        <f>C5*1.5</f>
        <v>855000000</v>
      </c>
      <c r="E5" s="12">
        <f>D5*1.5</f>
        <v>1282500000</v>
      </c>
      <c r="F5" s="12">
        <f>E5*1.05</f>
        <v>1346625000</v>
      </c>
      <c r="G5" s="12">
        <f>F5*1.05</f>
        <v>1413956250</v>
      </c>
    </row>
    <row r="6" spans="1:7">
      <c r="A6" s="13" t="s">
        <v>29</v>
      </c>
      <c r="B6" s="12"/>
      <c r="C6" s="12">
        <f>C5</f>
        <v>570000000</v>
      </c>
      <c r="D6" s="12">
        <f>D5</f>
        <v>855000000</v>
      </c>
      <c r="E6" s="12">
        <f>E5</f>
        <v>1282500000</v>
      </c>
      <c r="F6" s="12">
        <f>F5</f>
        <v>1346625000</v>
      </c>
      <c r="G6" s="12">
        <f>G5</f>
        <v>1413956250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28888220</v>
      </c>
      <c r="D10" s="12">
        <f>D6+D8+D9</f>
        <v>643637864</v>
      </c>
      <c r="E10" s="12">
        <f>E6+E8+E9</f>
        <v>1031237436.8</v>
      </c>
      <c r="F10" s="12">
        <f>F6+F8+F9</f>
        <v>1083392308.6400001</v>
      </c>
      <c r="G10" s="12">
        <f>G6+G8+G9</f>
        <v>1138154924.072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28888220</v>
      </c>
      <c r="D12" s="12">
        <f>D10-D11</f>
        <v>643637864</v>
      </c>
      <c r="E12" s="12">
        <f>E10-E11</f>
        <v>1031237436.8</v>
      </c>
      <c r="F12" s="12">
        <f>F10-F11</f>
        <v>1083392308.6400001</v>
      </c>
      <c r="G12" s="12">
        <f>G10-G11</f>
        <v>1138154924.072</v>
      </c>
    </row>
    <row r="13" spans="1:7">
      <c r="A13" s="14" t="s">
        <v>36</v>
      </c>
      <c r="B13" s="12"/>
      <c r="C13" s="12">
        <f>C12*33%</f>
        <v>9533112.5999999996</v>
      </c>
      <c r="D13" s="12">
        <f>D12*33%</f>
        <v>212400495.12</v>
      </c>
      <c r="E13" s="12">
        <f>E12*33%</f>
        <v>340308354.14399999</v>
      </c>
      <c r="F13" s="12">
        <f>F12*33%</f>
        <v>357519461.85120004</v>
      </c>
      <c r="G13" s="12">
        <f>G12*33%</f>
        <v>375591124.94376004</v>
      </c>
    </row>
    <row r="14" spans="1:7">
      <c r="A14" s="10" t="s">
        <v>37</v>
      </c>
      <c r="B14" s="12"/>
      <c r="C14" s="12">
        <f>C12-C13</f>
        <v>19355107.399999999</v>
      </c>
      <c r="D14" s="12">
        <f>D12-D13</f>
        <v>431237368.88</v>
      </c>
      <c r="E14" s="12">
        <f>E12-E13</f>
        <v>690929082.6559999</v>
      </c>
      <c r="F14" s="12">
        <f>F12-F13</f>
        <v>725872846.7888</v>
      </c>
      <c r="G14" s="12">
        <f>G12-G13</f>
        <v>762563799.12823999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31215107.399999999</v>
      </c>
      <c r="D17" s="12">
        <f t="shared" si="0"/>
        <v>443097368.88</v>
      </c>
      <c r="E17" s="12">
        <f t="shared" si="0"/>
        <v>702789082.6559999</v>
      </c>
      <c r="F17" s="12">
        <f t="shared" si="0"/>
        <v>737732846.7888</v>
      </c>
      <c r="G17" s="12">
        <f t="shared" si="0"/>
        <v>774423799.12823999</v>
      </c>
    </row>
    <row r="18" spans="1:7">
      <c r="A18" s="15" t="s">
        <v>40</v>
      </c>
      <c r="B18" s="12">
        <f>B17</f>
        <v>-328925890</v>
      </c>
      <c r="C18" s="12">
        <f>-FV(B20,1,,B18)+C17</f>
        <v>-416124103</v>
      </c>
      <c r="D18" s="12">
        <f>-FV(B20,1,,C18)+D17</f>
        <v>-122831411.19999993</v>
      </c>
      <c r="E18" s="12">
        <f>-FV(C20,1,,D18)+E17</f>
        <v>579957671.45599997</v>
      </c>
      <c r="F18" s="12">
        <f>-FV(D20,1,,E18)+F17</f>
        <v>1317690518.2448001</v>
      </c>
      <c r="G18" s="12">
        <f>-FV(E20,1,,F18)+G17</f>
        <v>2092114317.3730402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595075793.15473032</v>
      </c>
    </row>
    <row r="22" spans="1:7">
      <c r="A22" t="s">
        <v>43</v>
      </c>
      <c r="B22" s="16">
        <f>IRR(B17:G17)</f>
        <v>0.90118285117487029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0.28515625" customWidth="1"/>
    <col min="2" max="2" width="11.5703125" customWidth="1"/>
    <col min="3" max="3" width="11" customWidth="1"/>
    <col min="4" max="4" width="11.85546875" customWidth="1"/>
    <col min="5" max="5" width="12.7109375" customWidth="1"/>
    <col min="6" max="6" width="13.42578125" customWidth="1"/>
    <col min="7" max="7" width="13.5703125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 ht="17.25" customHeight="1">
      <c r="A2" s="20" t="s">
        <v>25</v>
      </c>
      <c r="B2" s="10">
        <f>2000</f>
        <v>2000</v>
      </c>
    </row>
    <row r="3" spans="1:7">
      <c r="A3" s="21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 ht="15.75" customHeight="1">
      <c r="A4" s="21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 ht="18" customHeight="1">
      <c r="A5" s="22" t="s">
        <v>28</v>
      </c>
      <c r="B5" s="12"/>
      <c r="C5" s="12">
        <f>300000*$B$2</f>
        <v>600000000</v>
      </c>
      <c r="D5" s="12">
        <f>C5*1.5</f>
        <v>900000000</v>
      </c>
      <c r="E5" s="12">
        <f>D5*1.5</f>
        <v>1350000000</v>
      </c>
      <c r="F5" s="12">
        <f>E5*1.05</f>
        <v>1417500000</v>
      </c>
      <c r="G5" s="12">
        <f>F5*1.05</f>
        <v>1488375000</v>
      </c>
    </row>
    <row r="6" spans="1:7" ht="20.25" customHeight="1">
      <c r="A6" s="23" t="s">
        <v>29</v>
      </c>
      <c r="B6" s="12"/>
      <c r="C6" s="12">
        <f>C5</f>
        <v>600000000</v>
      </c>
      <c r="D6" s="12">
        <f>D5</f>
        <v>900000000</v>
      </c>
      <c r="E6" s="12">
        <f>E5</f>
        <v>1350000000</v>
      </c>
      <c r="F6" s="12">
        <f>F5</f>
        <v>1417500000</v>
      </c>
      <c r="G6" s="12">
        <f>G5</f>
        <v>1488375000</v>
      </c>
    </row>
    <row r="7" spans="1:7" ht="30.75" customHeight="1">
      <c r="A7" s="2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 ht="18.75" customHeight="1">
      <c r="A8" s="2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 ht="17.25" customHeight="1">
      <c r="A9" s="2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 ht="31.5" customHeight="1">
      <c r="A10" s="21" t="s">
        <v>33</v>
      </c>
      <c r="B10" s="12"/>
      <c r="C10" s="12">
        <f>C6+C8+C9</f>
        <v>58888220</v>
      </c>
      <c r="D10" s="12">
        <f>D6+D8+D9</f>
        <v>688637864</v>
      </c>
      <c r="E10" s="12">
        <f>E6+E8+E9</f>
        <v>1098737436.8</v>
      </c>
      <c r="F10" s="12">
        <f>F6+F8+F9</f>
        <v>1154267308.6400001</v>
      </c>
      <c r="G10" s="12">
        <f>G6+G8+G9</f>
        <v>1212573674.072</v>
      </c>
    </row>
    <row r="11" spans="1:7">
      <c r="A11" s="2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 ht="29.25" customHeight="1">
      <c r="A12" s="21" t="s">
        <v>35</v>
      </c>
      <c r="B12" s="12"/>
      <c r="C12" s="12">
        <f>C10-C11</f>
        <v>58888220</v>
      </c>
      <c r="D12" s="12">
        <f>D10-D11</f>
        <v>688637864</v>
      </c>
      <c r="E12" s="12">
        <f>E10-E11</f>
        <v>1098737436.8</v>
      </c>
      <c r="F12" s="12">
        <f>F10-F11</f>
        <v>1154267308.6400001</v>
      </c>
      <c r="G12" s="12">
        <f>G10-G11</f>
        <v>1212573674.072</v>
      </c>
    </row>
    <row r="13" spans="1:7">
      <c r="A13" s="24" t="s">
        <v>36</v>
      </c>
      <c r="B13" s="12"/>
      <c r="C13" s="12">
        <f>C12*33%</f>
        <v>19433112.600000001</v>
      </c>
      <c r="D13" s="12">
        <f>D12*33%</f>
        <v>227250495.12</v>
      </c>
      <c r="E13" s="12">
        <f>E12*33%</f>
        <v>362583354.14399999</v>
      </c>
      <c r="F13" s="12">
        <f>F12*33%</f>
        <v>380908211.85120004</v>
      </c>
      <c r="G13" s="12">
        <f>G12*33%</f>
        <v>400149312.44376004</v>
      </c>
    </row>
    <row r="14" spans="1:7" ht="16.5" customHeight="1">
      <c r="A14" s="21" t="s">
        <v>37</v>
      </c>
      <c r="B14" s="12"/>
      <c r="C14" s="12">
        <f>C12-C13</f>
        <v>39455107.399999999</v>
      </c>
      <c r="D14" s="12">
        <f>D12-D13</f>
        <v>461387368.88</v>
      </c>
      <c r="E14" s="12">
        <f>E12-E13</f>
        <v>736154082.6559999</v>
      </c>
      <c r="F14" s="12">
        <f>F12-F13</f>
        <v>773359096.7888</v>
      </c>
      <c r="G14" s="12">
        <f>G12-G13</f>
        <v>812424361.62823999</v>
      </c>
    </row>
    <row r="15" spans="1:7" ht="15.75" customHeight="1">
      <c r="A15" s="21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21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 ht="20.25" customHeight="1">
      <c r="A17" s="21" t="s">
        <v>39</v>
      </c>
      <c r="B17" s="12">
        <f t="shared" ref="B17:G17" si="0">B14+B15+B16</f>
        <v>-328925890</v>
      </c>
      <c r="C17" s="12">
        <f t="shared" si="0"/>
        <v>51315107.399999999</v>
      </c>
      <c r="D17" s="12">
        <f t="shared" si="0"/>
        <v>473247368.88</v>
      </c>
      <c r="E17" s="12">
        <f t="shared" si="0"/>
        <v>748014082.6559999</v>
      </c>
      <c r="F17" s="12">
        <f t="shared" si="0"/>
        <v>785219096.7888</v>
      </c>
      <c r="G17" s="12">
        <f t="shared" si="0"/>
        <v>824284361.62823999</v>
      </c>
    </row>
    <row r="18" spans="1:7" ht="32.25" customHeight="1">
      <c r="A18" s="25" t="s">
        <v>40</v>
      </c>
      <c r="B18" s="12">
        <f>B17</f>
        <v>-328925890</v>
      </c>
      <c r="C18" s="12">
        <f>-FV(B20,1,,B18)+C17</f>
        <v>-396024103</v>
      </c>
      <c r="D18" s="12">
        <f>-FV(B20,1,,C18)+D17</f>
        <v>-65345411.199999928</v>
      </c>
      <c r="E18" s="12">
        <f>-FV(C20,1,,D18)+E17</f>
        <v>682668671.45599997</v>
      </c>
      <c r="F18" s="12">
        <f>-FV(D20,1,,E18)+F17</f>
        <v>1467887768.2448001</v>
      </c>
      <c r="G18" s="12">
        <f>-FV(E20,1,,F18)+G17</f>
        <v>2292172129.8730402</v>
      </c>
    </row>
    <row r="20" spans="1:7">
      <c r="A20" s="10" t="s">
        <v>41</v>
      </c>
      <c r="B20" s="18">
        <v>0.36</v>
      </c>
    </row>
    <row r="21" spans="1:7">
      <c r="A21" s="10" t="s">
        <v>42</v>
      </c>
      <c r="B21" s="19">
        <f>NPV(B20,C17:G17)+B17</f>
        <v>668732340.65336442</v>
      </c>
    </row>
    <row r="22" spans="1:7">
      <c r="A22" s="10" t="s">
        <v>43</v>
      </c>
      <c r="B22" s="18">
        <f>IRR(B17:G17)</f>
        <v>0.96317126102375628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2100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630000000</v>
      </c>
      <c r="D5" s="12">
        <f>C5*1.5</f>
        <v>945000000</v>
      </c>
      <c r="E5" s="12">
        <f>D5*1.5</f>
        <v>1417500000</v>
      </c>
      <c r="F5" s="12">
        <f>E5*1.05</f>
        <v>1488375000</v>
      </c>
      <c r="G5" s="12">
        <f>F5*1.05</f>
        <v>1562793750</v>
      </c>
    </row>
    <row r="6" spans="1:7">
      <c r="A6" s="13" t="s">
        <v>29</v>
      </c>
      <c r="B6" s="12"/>
      <c r="C6" s="12">
        <f>C5</f>
        <v>630000000</v>
      </c>
      <c r="D6" s="12">
        <f>D5</f>
        <v>945000000</v>
      </c>
      <c r="E6" s="12">
        <f>E5</f>
        <v>1417500000</v>
      </c>
      <c r="F6" s="12">
        <f>F5</f>
        <v>1488375000</v>
      </c>
      <c r="G6" s="12">
        <f>G5</f>
        <v>1562793750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88888220</v>
      </c>
      <c r="D10" s="12">
        <f>D6+D8+D9</f>
        <v>733637864</v>
      </c>
      <c r="E10" s="12">
        <f>E6+E8+E9</f>
        <v>1166237436.8</v>
      </c>
      <c r="F10" s="12">
        <f>F6+F8+F9</f>
        <v>1225142308.6400001</v>
      </c>
      <c r="G10" s="12">
        <f>G6+G8+G9</f>
        <v>1286992424.072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88888220</v>
      </c>
      <c r="D12" s="12">
        <f>D10-D11</f>
        <v>733637864</v>
      </c>
      <c r="E12" s="12">
        <f>E10-E11</f>
        <v>1166237436.8</v>
      </c>
      <c r="F12" s="12">
        <f>F10-F11</f>
        <v>1225142308.6400001</v>
      </c>
      <c r="G12" s="12">
        <f>G10-G11</f>
        <v>1286992424.072</v>
      </c>
    </row>
    <row r="13" spans="1:7">
      <c r="A13" s="14" t="s">
        <v>36</v>
      </c>
      <c r="B13" s="12"/>
      <c r="C13" s="12">
        <f>C12*33%</f>
        <v>29333112.600000001</v>
      </c>
      <c r="D13" s="12">
        <f>D12*33%</f>
        <v>242100495.12</v>
      </c>
      <c r="E13" s="12">
        <f>E12*33%</f>
        <v>384858354.14399999</v>
      </c>
      <c r="F13" s="12">
        <f>F12*33%</f>
        <v>404296961.85120004</v>
      </c>
      <c r="G13" s="12">
        <f>G12*33%</f>
        <v>424707499.94376004</v>
      </c>
    </row>
    <row r="14" spans="1:7">
      <c r="A14" s="10" t="s">
        <v>37</v>
      </c>
      <c r="B14" s="12"/>
      <c r="C14" s="12">
        <f>C12-C13</f>
        <v>59555107.399999999</v>
      </c>
      <c r="D14" s="12">
        <f>D12-D13</f>
        <v>491537368.88</v>
      </c>
      <c r="E14" s="12">
        <f>E12-E13</f>
        <v>781379082.6559999</v>
      </c>
      <c r="F14" s="12">
        <f>F12-F13</f>
        <v>820845346.7888</v>
      </c>
      <c r="G14" s="12">
        <f>G12-G13</f>
        <v>862284924.12823999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71415107.400000006</v>
      </c>
      <c r="D17" s="12">
        <f t="shared" si="0"/>
        <v>503397368.88</v>
      </c>
      <c r="E17" s="12">
        <f t="shared" si="0"/>
        <v>793239082.6559999</v>
      </c>
      <c r="F17" s="12">
        <f t="shared" si="0"/>
        <v>832705346.7888</v>
      </c>
      <c r="G17" s="12">
        <f t="shared" si="0"/>
        <v>874144924.12823999</v>
      </c>
    </row>
    <row r="18" spans="1:7">
      <c r="A18" s="15" t="s">
        <v>40</v>
      </c>
      <c r="B18" s="12">
        <f>B17</f>
        <v>-328925890</v>
      </c>
      <c r="C18" s="12">
        <f>-FV(B20,1,,B18)+C17</f>
        <v>-375924103</v>
      </c>
      <c r="D18" s="12">
        <f>-FV(B20,1,,C18)+D17</f>
        <v>-7859411.1999999285</v>
      </c>
      <c r="E18" s="12">
        <f>-FV(C20,1,,D18)+E17</f>
        <v>785379671.45599997</v>
      </c>
      <c r="F18" s="12">
        <f>-FV(D20,1,,E18)+F17</f>
        <v>1618085018.2448001</v>
      </c>
      <c r="G18" s="12">
        <f>-FV(E20,1,,F18)+G17</f>
        <v>2492229942.3730402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742388888.15199804</v>
      </c>
    </row>
    <row r="22" spans="1:7">
      <c r="A22" t="s">
        <v>43</v>
      </c>
      <c r="B22" s="16">
        <f>IRR(B17:G17)</f>
        <v>1.0245985319775976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sqref="A1:G1"/>
    </sheetView>
  </sheetViews>
  <sheetFormatPr baseColWidth="10" defaultColWidth="11.42578125" defaultRowHeight="15"/>
  <cols>
    <col min="1" max="1" width="26.85546875" bestFit="1" customWidth="1"/>
    <col min="2" max="2" width="15.28515625" bestFit="1" customWidth="1"/>
    <col min="3" max="3" width="16.7109375" bestFit="1" customWidth="1"/>
    <col min="4" max="4" width="18.28515625" bestFit="1" customWidth="1"/>
    <col min="5" max="5" width="17.5703125" bestFit="1" customWidth="1"/>
    <col min="6" max="6" width="18.28515625" bestFit="1" customWidth="1"/>
    <col min="7" max="7" width="17.5703125" bestFit="1" customWidth="1"/>
  </cols>
  <sheetData>
    <row r="1" spans="1:7">
      <c r="A1" s="42" t="s">
        <v>49</v>
      </c>
      <c r="B1" s="42"/>
      <c r="C1" s="42"/>
      <c r="D1" s="42"/>
      <c r="E1" s="42"/>
      <c r="F1" s="42"/>
      <c r="G1" s="42"/>
    </row>
    <row r="2" spans="1:7">
      <c r="A2" s="9" t="s">
        <v>25</v>
      </c>
      <c r="B2" s="10">
        <v>2200</v>
      </c>
    </row>
    <row r="3" spans="1:7">
      <c r="A3" s="10" t="s">
        <v>26</v>
      </c>
      <c r="B3" s="10">
        <v>2010</v>
      </c>
      <c r="C3" s="10">
        <v>2011</v>
      </c>
      <c r="D3" s="10">
        <v>2012</v>
      </c>
      <c r="E3" s="10">
        <v>2013</v>
      </c>
      <c r="F3" s="10">
        <v>2014</v>
      </c>
      <c r="G3" s="10">
        <v>2015</v>
      </c>
    </row>
    <row r="4" spans="1:7">
      <c r="A4" s="10" t="s">
        <v>27</v>
      </c>
      <c r="B4" s="10">
        <v>0</v>
      </c>
      <c r="C4" s="10">
        <v>1</v>
      </c>
      <c r="D4" s="10">
        <v>2</v>
      </c>
      <c r="E4" s="10">
        <v>3</v>
      </c>
      <c r="F4" s="10">
        <v>4</v>
      </c>
      <c r="G4" s="10">
        <v>5</v>
      </c>
    </row>
    <row r="5" spans="1:7">
      <c r="A5" s="11" t="s">
        <v>28</v>
      </c>
      <c r="B5" s="12"/>
      <c r="C5" s="12">
        <f>300000*$B$2</f>
        <v>660000000</v>
      </c>
      <c r="D5" s="12">
        <f>C5*1.5</f>
        <v>990000000</v>
      </c>
      <c r="E5" s="12">
        <f>D5*1.5</f>
        <v>1485000000</v>
      </c>
      <c r="F5" s="12">
        <f>E5*1.05</f>
        <v>1559250000</v>
      </c>
      <c r="G5" s="12">
        <f>F5*1.05</f>
        <v>1637212500</v>
      </c>
    </row>
    <row r="6" spans="1:7">
      <c r="A6" s="13" t="s">
        <v>29</v>
      </c>
      <c r="B6" s="12"/>
      <c r="C6" s="12">
        <f>C5</f>
        <v>660000000</v>
      </c>
      <c r="D6" s="12">
        <f>D5</f>
        <v>990000000</v>
      </c>
      <c r="E6" s="12">
        <f>E5</f>
        <v>1485000000</v>
      </c>
      <c r="F6" s="12">
        <f>F5</f>
        <v>1559250000</v>
      </c>
      <c r="G6" s="12">
        <f>G5</f>
        <v>1637212500</v>
      </c>
    </row>
    <row r="7" spans="1:7">
      <c r="A7" s="14" t="s">
        <v>30</v>
      </c>
      <c r="B7" s="12"/>
      <c r="C7" s="12">
        <f>-529251780</f>
        <v>-529251780</v>
      </c>
      <c r="D7" s="12">
        <f>(C7+(181500000*2))*1.2</f>
        <v>-199502136</v>
      </c>
      <c r="E7" s="12">
        <f>D7*1.2</f>
        <v>-239402563.19999999</v>
      </c>
      <c r="F7" s="12">
        <f>E7*1.05</f>
        <v>-251372691.35999998</v>
      </c>
      <c r="G7" s="12">
        <f>F7*1.05</f>
        <v>-263941325.928</v>
      </c>
    </row>
    <row r="8" spans="1:7">
      <c r="A8" s="13" t="s">
        <v>31</v>
      </c>
      <c r="B8" s="12"/>
      <c r="C8" s="12">
        <f>C7</f>
        <v>-529251780</v>
      </c>
      <c r="D8" s="12">
        <f>D7</f>
        <v>-199502136</v>
      </c>
      <c r="E8" s="12">
        <f>E7</f>
        <v>-239402563.19999999</v>
      </c>
      <c r="F8" s="12">
        <f>F7</f>
        <v>-251372691.35999998</v>
      </c>
      <c r="G8" s="12">
        <f>G7</f>
        <v>-263941325.928</v>
      </c>
    </row>
    <row r="9" spans="1:7">
      <c r="A9" s="14" t="s">
        <v>32</v>
      </c>
      <c r="B9" s="12"/>
      <c r="C9" s="12">
        <f>-(59300000/5)</f>
        <v>-11860000</v>
      </c>
      <c r="D9" s="12">
        <f>-(59300000/5)</f>
        <v>-11860000</v>
      </c>
      <c r="E9" s="12">
        <f>-(59300000/5)</f>
        <v>-11860000</v>
      </c>
      <c r="F9" s="12">
        <f>-(59300000/5)</f>
        <v>-11860000</v>
      </c>
      <c r="G9" s="12">
        <f>-(59300000/5)</f>
        <v>-11860000</v>
      </c>
    </row>
    <row r="10" spans="1:7">
      <c r="A10" s="10" t="s">
        <v>33</v>
      </c>
      <c r="B10" s="12"/>
      <c r="C10" s="12">
        <f>C6+C8+C9</f>
        <v>118888220</v>
      </c>
      <c r="D10" s="12">
        <f>D6+D8+D9</f>
        <v>778637864</v>
      </c>
      <c r="E10" s="12">
        <f>E6+E8+E9</f>
        <v>1233737436.8</v>
      </c>
      <c r="F10" s="12">
        <f>F6+F8+F9</f>
        <v>1296017308.6400001</v>
      </c>
      <c r="G10" s="12">
        <f>G6+G8+G9</f>
        <v>1361411174.072</v>
      </c>
    </row>
    <row r="11" spans="1:7">
      <c r="A11" s="14" t="s">
        <v>34</v>
      </c>
      <c r="B11" s="12"/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7">
      <c r="A12" s="10" t="s">
        <v>35</v>
      </c>
      <c r="B12" s="12"/>
      <c r="C12" s="12">
        <f>C10-C11</f>
        <v>118888220</v>
      </c>
      <c r="D12" s="12">
        <f>D10-D11</f>
        <v>778637864</v>
      </c>
      <c r="E12" s="12">
        <f>E10-E11</f>
        <v>1233737436.8</v>
      </c>
      <c r="F12" s="12">
        <f>F10-F11</f>
        <v>1296017308.6400001</v>
      </c>
      <c r="G12" s="12">
        <f>G10-G11</f>
        <v>1361411174.072</v>
      </c>
    </row>
    <row r="13" spans="1:7">
      <c r="A13" s="14" t="s">
        <v>36</v>
      </c>
      <c r="B13" s="12"/>
      <c r="C13" s="12">
        <f>C12*33%</f>
        <v>39233112.600000001</v>
      </c>
      <c r="D13" s="12">
        <f>D12*33%</f>
        <v>256950495.12</v>
      </c>
      <c r="E13" s="12">
        <f>E12*33%</f>
        <v>407133354.14399999</v>
      </c>
      <c r="F13" s="12">
        <f>F12*33%</f>
        <v>427685711.85120004</v>
      </c>
      <c r="G13" s="12">
        <f>G12*33%</f>
        <v>449265687.44376004</v>
      </c>
    </row>
    <row r="14" spans="1:7">
      <c r="A14" s="10" t="s">
        <v>37</v>
      </c>
      <c r="B14" s="12"/>
      <c r="C14" s="12">
        <f>C12-C13</f>
        <v>79655107.400000006</v>
      </c>
      <c r="D14" s="12">
        <f>D12-D13</f>
        <v>521687368.88</v>
      </c>
      <c r="E14" s="12">
        <f>E12-E13</f>
        <v>826604082.6559999</v>
      </c>
      <c r="F14" s="12">
        <f>F12-F13</f>
        <v>868331596.7888</v>
      </c>
      <c r="G14" s="12">
        <f>G12-G13</f>
        <v>912145486.62823999</v>
      </c>
    </row>
    <row r="15" spans="1:7">
      <c r="A15" s="10" t="s">
        <v>32</v>
      </c>
      <c r="B15" s="12"/>
      <c r="C15" s="12">
        <f>-C9</f>
        <v>11860000</v>
      </c>
      <c r="D15" s="12">
        <f>-D9</f>
        <v>11860000</v>
      </c>
      <c r="E15" s="12">
        <f>-E9</f>
        <v>11860000</v>
      </c>
      <c r="F15" s="12">
        <f>-F9</f>
        <v>11860000</v>
      </c>
      <c r="G15" s="12">
        <f>-G9</f>
        <v>11860000</v>
      </c>
    </row>
    <row r="16" spans="1:7">
      <c r="A16" s="10" t="s">
        <v>38</v>
      </c>
      <c r="B16" s="12">
        <v>-328925890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>
      <c r="A17" s="10" t="s">
        <v>39</v>
      </c>
      <c r="B17" s="12">
        <f t="shared" ref="B17:G17" si="0">B14+B15+B16</f>
        <v>-328925890</v>
      </c>
      <c r="C17" s="12">
        <f t="shared" si="0"/>
        <v>91515107.400000006</v>
      </c>
      <c r="D17" s="12">
        <f t="shared" si="0"/>
        <v>533547368.88</v>
      </c>
      <c r="E17" s="12">
        <f t="shared" si="0"/>
        <v>838464082.6559999</v>
      </c>
      <c r="F17" s="12">
        <f t="shared" si="0"/>
        <v>880191596.7888</v>
      </c>
      <c r="G17" s="12">
        <f t="shared" si="0"/>
        <v>924005486.62823999</v>
      </c>
    </row>
    <row r="18" spans="1:7">
      <c r="A18" s="15" t="s">
        <v>40</v>
      </c>
      <c r="B18" s="12">
        <f>B17</f>
        <v>-328925890</v>
      </c>
      <c r="C18" s="12">
        <f>-FV(B20,1,,B18)+C17</f>
        <v>-355824103</v>
      </c>
      <c r="D18" s="12">
        <f>-FV(B20,1,,C18)+D17</f>
        <v>49626588.800000012</v>
      </c>
      <c r="E18" s="12">
        <f>-FV(C20,1,,D18)+E17</f>
        <v>888090671.45599985</v>
      </c>
      <c r="F18" s="12">
        <f>-FV(D20,1,,E18)+F17</f>
        <v>1768282268.2447999</v>
      </c>
      <c r="G18" s="12">
        <f>-FV(E20,1,,F18)+G17</f>
        <v>2692287754.8730397</v>
      </c>
    </row>
    <row r="20" spans="1:7">
      <c r="A20" t="s">
        <v>41</v>
      </c>
      <c r="B20" s="16">
        <v>0.36</v>
      </c>
    </row>
    <row r="21" spans="1:7">
      <c r="A21" t="s">
        <v>42</v>
      </c>
      <c r="B21" s="17">
        <f>NPV(B20,C17:G17)+B17</f>
        <v>816045435.65063167</v>
      </c>
    </row>
    <row r="22" spans="1:7">
      <c r="A22" t="s">
        <v>43</v>
      </c>
      <c r="B22" s="16">
        <f>IRR(B17:G17)</f>
        <v>1.0855498669433943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scale="9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Inversiones</vt:lpstr>
      <vt:lpstr>Punto de equilibrio</vt:lpstr>
      <vt:lpstr>@1600</vt:lpstr>
      <vt:lpstr>@1700</vt:lpstr>
      <vt:lpstr>@1800</vt:lpstr>
      <vt:lpstr>@1900</vt:lpstr>
      <vt:lpstr> @2000</vt:lpstr>
      <vt:lpstr>@2100</vt:lpstr>
      <vt:lpstr>@2200</vt:lpstr>
      <vt:lpstr>2300</vt:lpstr>
      <vt:lpstr>@2400</vt:lpstr>
      <vt:lpstr>@2500</vt:lpstr>
      <vt:lpstr>@2600</vt:lpstr>
      <vt:lpstr>Resumen análisis sensibilidad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Reymont</dc:creator>
  <cp:lastModifiedBy>Eafit</cp:lastModifiedBy>
  <cp:lastPrinted>2010-05-25T19:11:27Z</cp:lastPrinted>
  <dcterms:created xsi:type="dcterms:W3CDTF">2010-04-08T03:58:26Z</dcterms:created>
  <dcterms:modified xsi:type="dcterms:W3CDTF">2010-06-16T17:43:49Z</dcterms:modified>
</cp:coreProperties>
</file>