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codeName="ThisWorkbook"/>
  <bookViews>
    <workbookView xWindow="0" yWindow="0" windowWidth="20490" windowHeight="7155" activeTab="1"/>
  </bookViews>
  <sheets>
    <sheet name=" Metodos de Costeo" sheetId="1" r:id="rId1"/>
    <sheet name="Gráficos" sheetId="10" r:id="rId2"/>
    <sheet name="Costo Accidentalidad" sheetId="14" r:id="rId3"/>
    <sheet name="Metodo Simplificado" sheetId="11" r:id="rId4"/>
    <sheet name="Clasificación PUC" sheetId="12" r:id="rId5"/>
    <sheet name="Total Costos" sheetId="13" r:id="rId6"/>
    <sheet name="Formulas Financieras" sheetId="8" r:id="rId7"/>
  </sheets>
  <definedNames>
    <definedName name="_xlnm._FilterDatabase" localSheetId="2" hidden="1">'Costo Accidentalidad'!$A$1:$E$32</definedName>
    <definedName name="_xlnm.Print_Titles" localSheetId="1">Gráficos!$1:$2</definedName>
  </definedName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79" i="11" l="1"/>
  <c r="D77" i="11"/>
  <c r="D78" i="11"/>
  <c r="HB8" i="14"/>
  <c r="HB29" i="14"/>
  <c r="GO29" i="14"/>
  <c r="GO8" i="14"/>
  <c r="GC30" i="14" l="1"/>
  <c r="GC29" i="14"/>
  <c r="D66" i="11"/>
  <c r="D65" i="11"/>
  <c r="D64" i="11"/>
  <c r="D63" i="11"/>
  <c r="D61" i="11"/>
  <c r="D60" i="11"/>
  <c r="D59" i="11"/>
  <c r="D48" i="11"/>
  <c r="D49" i="11"/>
  <c r="ES32" i="14"/>
  <c r="ES24" i="14"/>
  <c r="ES23" i="14"/>
  <c r="ES22" i="14"/>
  <c r="ES20" i="14"/>
  <c r="ES18" i="14"/>
  <c r="ES16" i="14"/>
  <c r="ES15" i="14"/>
  <c r="ES13" i="14"/>
  <c r="ES12" i="14"/>
  <c r="ES14" i="14"/>
  <c r="ES11" i="14"/>
  <c r="ES8" i="14"/>
  <c r="ES5" i="14"/>
  <c r="ES4" i="14"/>
  <c r="ES6" i="14"/>
  <c r="ES7" i="14"/>
  <c r="ES19" i="14"/>
  <c r="ES26" i="14"/>
  <c r="ES27" i="14"/>
  <c r="ES28" i="14"/>
  <c r="EM33" i="14" l="1"/>
  <c r="EI33" i="14"/>
  <c r="EE33" i="14"/>
  <c r="EA33" i="14"/>
  <c r="DW33" i="14"/>
  <c r="DS33" i="14"/>
  <c r="DO33" i="14"/>
  <c r="DG33" i="14"/>
  <c r="DK33" i="14"/>
  <c r="DC33" i="14"/>
  <c r="CY33" i="14"/>
  <c r="CS32" i="14"/>
  <c r="CS22" i="14"/>
  <c r="CS20" i="14"/>
  <c r="CS8" i="14"/>
  <c r="CO32" i="14"/>
  <c r="CO26" i="14"/>
  <c r="CO22" i="14"/>
  <c r="CO20" i="14"/>
  <c r="CO18" i="14"/>
  <c r="CO14" i="14"/>
  <c r="CO11" i="14"/>
  <c r="CO8" i="14"/>
  <c r="CM8" i="14"/>
  <c r="CO5" i="14"/>
  <c r="CO4" i="14"/>
  <c r="CK8" i="14"/>
  <c r="CG14" i="14"/>
  <c r="CG8" i="14"/>
  <c r="CG5" i="14"/>
  <c r="CG4" i="14"/>
  <c r="CF33" i="14"/>
  <c r="CE33" i="14"/>
  <c r="CC29" i="14"/>
  <c r="CC8" i="14"/>
  <c r="CB33" i="14"/>
  <c r="CA33" i="14"/>
  <c r="BY8" i="14"/>
  <c r="BY7" i="14"/>
  <c r="BX33" i="14"/>
  <c r="BW33" i="14"/>
  <c r="BU8" i="14"/>
  <c r="BU7" i="14"/>
  <c r="BU4" i="14"/>
  <c r="BT33" i="14"/>
  <c r="BS33" i="14"/>
  <c r="BQ8" i="14"/>
  <c r="BQ3" i="14"/>
  <c r="BP33" i="14"/>
  <c r="BO33" i="14"/>
  <c r="BI29" i="14"/>
  <c r="BI8" i="14"/>
  <c r="CG33" i="14" l="1"/>
  <c r="CC33" i="14"/>
  <c r="BL33" i="14"/>
  <c r="BK33" i="14"/>
  <c r="BI33" i="14"/>
  <c r="BH33" i="14"/>
  <c r="BG33" i="14"/>
  <c r="BE32" i="14"/>
  <c r="BF32" i="14" s="1"/>
  <c r="BE31" i="14"/>
  <c r="BE29" i="14"/>
  <c r="BE26" i="14"/>
  <c r="BE25" i="14"/>
  <c r="BE22" i="14"/>
  <c r="BF22" i="14" s="1"/>
  <c r="BE21" i="14"/>
  <c r="BE20" i="14"/>
  <c r="BF20" i="14" s="1"/>
  <c r="BE19" i="14"/>
  <c r="BE18" i="14"/>
  <c r="BF18" i="14" s="1"/>
  <c r="BE17" i="14"/>
  <c r="BE16" i="14"/>
  <c r="BE15" i="14"/>
  <c r="BE14" i="14"/>
  <c r="BF14" i="14" s="1"/>
  <c r="BE12" i="14"/>
  <c r="BE11" i="14"/>
  <c r="BF11" i="14" s="1"/>
  <c r="BE10" i="14"/>
  <c r="BE9" i="14"/>
  <c r="BE8" i="14"/>
  <c r="BE7" i="14"/>
  <c r="BE6" i="14"/>
  <c r="BE5" i="14"/>
  <c r="BE4" i="14"/>
  <c r="BA32" i="14"/>
  <c r="BB32" i="14" s="1"/>
  <c r="BA29" i="14"/>
  <c r="BA26" i="14"/>
  <c r="BA25" i="14"/>
  <c r="BA21" i="14"/>
  <c r="BA19" i="14"/>
  <c r="BA17" i="14"/>
  <c r="BA16" i="14"/>
  <c r="BA15" i="14"/>
  <c r="BA12" i="14"/>
  <c r="BA10" i="14"/>
  <c r="BA9" i="14"/>
  <c r="BA8" i="14"/>
  <c r="BA7" i="14"/>
  <c r="BB7" i="14" s="1"/>
  <c r="BA6" i="14"/>
  <c r="BA22" i="14"/>
  <c r="BB22" i="14" s="1"/>
  <c r="BA20" i="14"/>
  <c r="BB20" i="14" s="1"/>
  <c r="BA18" i="14"/>
  <c r="BB18" i="14" s="1"/>
  <c r="BA14" i="14"/>
  <c r="BB14" i="14" s="1"/>
  <c r="BA11" i="14"/>
  <c r="BB11" i="14" s="1"/>
  <c r="BA5" i="14"/>
  <c r="BA4" i="14"/>
  <c r="BA3" i="14"/>
  <c r="AW31" i="14"/>
  <c r="AW30" i="14"/>
  <c r="AW29" i="14"/>
  <c r="AW26" i="14"/>
  <c r="AW25" i="14"/>
  <c r="AW21" i="14"/>
  <c r="AW19" i="14"/>
  <c r="AW17" i="14"/>
  <c r="AW16" i="14"/>
  <c r="AW15" i="14"/>
  <c r="AW12" i="14"/>
  <c r="AW9" i="14"/>
  <c r="AW8" i="14"/>
  <c r="AW7" i="14"/>
  <c r="AW6" i="14"/>
  <c r="AW32" i="14"/>
  <c r="AW22" i="14"/>
  <c r="AW20" i="14"/>
  <c r="AW18" i="14"/>
  <c r="AW14" i="14"/>
  <c r="AW11" i="14"/>
  <c r="AW5" i="14"/>
  <c r="AW4" i="14"/>
  <c r="AS18" i="14"/>
  <c r="AS10" i="14"/>
  <c r="AS8" i="14"/>
  <c r="AS7" i="14"/>
  <c r="AS4" i="14"/>
  <c r="AO32" i="14" l="1"/>
  <c r="AO31" i="14"/>
  <c r="AO30" i="14"/>
  <c r="AO29" i="14"/>
  <c r="AO28" i="14"/>
  <c r="AO27" i="14"/>
  <c r="AO26" i="14"/>
  <c r="AO25" i="14"/>
  <c r="AO24" i="14"/>
  <c r="AO23" i="14"/>
  <c r="AO22" i="14"/>
  <c r="AO21" i="14"/>
  <c r="AO20" i="14"/>
  <c r="AO19" i="14"/>
  <c r="AO18" i="14"/>
  <c r="AO17" i="14"/>
  <c r="AO16" i="14"/>
  <c r="AO15" i="14"/>
  <c r="AO14" i="14"/>
  <c r="AO13" i="14"/>
  <c r="AO12" i="14"/>
  <c r="AO11" i="14"/>
  <c r="AO10" i="14"/>
  <c r="AO9" i="14"/>
  <c r="AO8" i="14"/>
  <c r="AO7" i="14"/>
  <c r="AO6" i="14"/>
  <c r="AO5" i="14"/>
  <c r="AO4" i="14"/>
  <c r="AO3" i="14"/>
  <c r="AK30" i="14"/>
  <c r="AK29" i="14"/>
  <c r="AK28" i="14"/>
  <c r="AK27" i="14"/>
  <c r="AK26" i="14"/>
  <c r="AK25" i="14"/>
  <c r="AK21" i="14"/>
  <c r="AK19" i="14"/>
  <c r="AK15" i="14"/>
  <c r="AK13" i="14"/>
  <c r="AK12" i="14"/>
  <c r="AK10" i="14"/>
  <c r="AK9" i="14"/>
  <c r="AK8" i="14"/>
  <c r="AK32" i="14"/>
  <c r="AL32" i="14" s="1"/>
  <c r="AK24" i="14"/>
  <c r="AL24" i="14" s="1"/>
  <c r="AK23" i="14"/>
  <c r="AL23" i="14" s="1"/>
  <c r="AK22" i="14"/>
  <c r="AL22" i="14" s="1"/>
  <c r="AK20" i="14"/>
  <c r="AL20" i="14" s="1"/>
  <c r="AK18" i="14"/>
  <c r="AL18" i="14" s="1"/>
  <c r="AK14" i="14"/>
  <c r="AL14" i="14" s="1"/>
  <c r="AK11" i="14"/>
  <c r="AL11" i="14" s="1"/>
  <c r="AK5" i="14"/>
  <c r="AK4" i="14"/>
  <c r="AG31" i="14" l="1"/>
  <c r="AG29" i="14"/>
  <c r="AG26" i="14"/>
  <c r="AG25" i="14"/>
  <c r="AG21" i="14"/>
  <c r="AG19" i="14"/>
  <c r="AG12" i="14"/>
  <c r="AG10" i="14"/>
  <c r="AG9" i="14"/>
  <c r="AG8" i="14"/>
  <c r="AG7" i="14"/>
  <c r="AG6" i="14"/>
  <c r="AG32" i="14"/>
  <c r="AG22" i="14"/>
  <c r="AG20" i="14"/>
  <c r="AG18" i="14"/>
  <c r="AG11" i="14"/>
  <c r="AG5" i="14"/>
  <c r="AG4" i="14"/>
  <c r="AG3" i="14"/>
  <c r="D80" i="11" l="1"/>
  <c r="HQ33" i="14"/>
  <c r="F80" i="11" s="1"/>
  <c r="HP33" i="14"/>
  <c r="E80" i="11" s="1"/>
  <c r="HR23" i="14"/>
  <c r="HR24" i="14"/>
  <c r="HR25" i="14"/>
  <c r="HR26" i="14"/>
  <c r="HR27" i="14"/>
  <c r="HR28" i="14"/>
  <c r="HR29" i="14"/>
  <c r="HR30" i="14"/>
  <c r="HR31" i="14"/>
  <c r="HR32" i="14"/>
  <c r="HR4" i="14"/>
  <c r="HR5" i="14"/>
  <c r="HR6" i="14"/>
  <c r="HR7" i="14"/>
  <c r="HR8" i="14"/>
  <c r="HR9" i="14"/>
  <c r="HR10" i="14"/>
  <c r="HR11" i="14"/>
  <c r="HR12" i="14"/>
  <c r="HR13" i="14"/>
  <c r="HR14" i="14"/>
  <c r="HR15" i="14"/>
  <c r="HR16" i="14"/>
  <c r="HR17" i="14"/>
  <c r="HR18" i="14"/>
  <c r="HR19" i="14"/>
  <c r="HR20" i="14"/>
  <c r="HR21" i="14"/>
  <c r="HR3" i="14"/>
  <c r="HR22" i="14"/>
  <c r="HK33" i="14"/>
  <c r="F77" i="11" s="1"/>
  <c r="HJ33" i="14"/>
  <c r="E77" i="11" s="1"/>
  <c r="HL4" i="14"/>
  <c r="HL5" i="14"/>
  <c r="HL6" i="14"/>
  <c r="HL7" i="14"/>
  <c r="HL8" i="14"/>
  <c r="HL9" i="14"/>
  <c r="HL10" i="14"/>
  <c r="HL11" i="14"/>
  <c r="HL12" i="14"/>
  <c r="HL13" i="14"/>
  <c r="HL14" i="14"/>
  <c r="HL15" i="14"/>
  <c r="HL16" i="14"/>
  <c r="HL17" i="14"/>
  <c r="HL18" i="14"/>
  <c r="HL19" i="14"/>
  <c r="HL20" i="14"/>
  <c r="HL21" i="14"/>
  <c r="HL22" i="14"/>
  <c r="HL23" i="14"/>
  <c r="HL24" i="14"/>
  <c r="HL25" i="14"/>
  <c r="HL26" i="14"/>
  <c r="HL27" i="14"/>
  <c r="HL28" i="14"/>
  <c r="HL29" i="14"/>
  <c r="HL30" i="14"/>
  <c r="HL31" i="14"/>
  <c r="HL32" i="14"/>
  <c r="HL3" i="14"/>
  <c r="D75" i="11"/>
  <c r="HF33" i="14"/>
  <c r="F75" i="11" s="1"/>
  <c r="HE33" i="14"/>
  <c r="E75" i="11" s="1"/>
  <c r="HG4" i="14"/>
  <c r="HG5" i="14"/>
  <c r="HG6" i="14"/>
  <c r="HG7" i="14"/>
  <c r="HG8" i="14"/>
  <c r="HG9" i="14"/>
  <c r="HG10" i="14"/>
  <c r="HG11" i="14"/>
  <c r="HG12" i="14"/>
  <c r="HG13" i="14"/>
  <c r="HG14" i="14"/>
  <c r="HG15" i="14"/>
  <c r="HG16" i="14"/>
  <c r="HG17" i="14"/>
  <c r="HG18" i="14"/>
  <c r="HG19" i="14"/>
  <c r="HG20" i="14"/>
  <c r="HG21" i="14"/>
  <c r="HG22" i="14"/>
  <c r="HG23" i="14"/>
  <c r="HG24" i="14"/>
  <c r="HG25" i="14"/>
  <c r="HG26" i="14"/>
  <c r="HG27" i="14"/>
  <c r="HG28" i="14"/>
  <c r="HG29" i="14"/>
  <c r="HG30" i="14"/>
  <c r="HG31" i="14"/>
  <c r="HG32" i="14"/>
  <c r="HG3" i="14"/>
  <c r="D74" i="11"/>
  <c r="HB33" i="14"/>
  <c r="F74" i="11" s="1"/>
  <c r="HA33" i="14"/>
  <c r="E74" i="11" s="1"/>
  <c r="HC4" i="14"/>
  <c r="HC5" i="14"/>
  <c r="HC6" i="14"/>
  <c r="HC7" i="14"/>
  <c r="HC8" i="14"/>
  <c r="HC9" i="14"/>
  <c r="HC10" i="14"/>
  <c r="HC11" i="14"/>
  <c r="HC12" i="14"/>
  <c r="HC13" i="14"/>
  <c r="HC14" i="14"/>
  <c r="HC15" i="14"/>
  <c r="HC16" i="14"/>
  <c r="HC17" i="14"/>
  <c r="HC18" i="14"/>
  <c r="HC19" i="14"/>
  <c r="HC20" i="14"/>
  <c r="HC21" i="14"/>
  <c r="HC22" i="14"/>
  <c r="HC23" i="14"/>
  <c r="HC24" i="14"/>
  <c r="HC25" i="14"/>
  <c r="HC26" i="14"/>
  <c r="HC27" i="14"/>
  <c r="HC28" i="14"/>
  <c r="HC29" i="14"/>
  <c r="HC30" i="14"/>
  <c r="HC31" i="14"/>
  <c r="HC32" i="14"/>
  <c r="HC3" i="14"/>
  <c r="D72" i="11"/>
  <c r="GW33" i="14"/>
  <c r="F72" i="11" s="1"/>
  <c r="GV33" i="14"/>
  <c r="E72" i="11" s="1"/>
  <c r="GX4" i="14"/>
  <c r="GX5" i="14"/>
  <c r="GX6" i="14"/>
  <c r="GX7" i="14"/>
  <c r="GX8" i="14"/>
  <c r="GX9" i="14"/>
  <c r="GX10" i="14"/>
  <c r="GX11" i="14"/>
  <c r="GX12" i="14"/>
  <c r="GX13" i="14"/>
  <c r="GX14" i="14"/>
  <c r="GX15" i="14"/>
  <c r="GX16" i="14"/>
  <c r="GX17" i="14"/>
  <c r="GX18" i="14"/>
  <c r="GX19" i="14"/>
  <c r="GX20" i="14"/>
  <c r="GX21" i="14"/>
  <c r="GX22" i="14"/>
  <c r="GX23" i="14"/>
  <c r="GX24" i="14"/>
  <c r="GX25" i="14"/>
  <c r="GX26" i="14"/>
  <c r="GX27" i="14"/>
  <c r="GX28" i="14"/>
  <c r="GX29" i="14"/>
  <c r="GX30" i="14"/>
  <c r="GX31" i="14"/>
  <c r="GX32" i="14"/>
  <c r="GX3" i="14"/>
  <c r="D71" i="11"/>
  <c r="GS33" i="14"/>
  <c r="F71" i="11" s="1"/>
  <c r="GR33" i="14"/>
  <c r="E71" i="11" s="1"/>
  <c r="GT4" i="14"/>
  <c r="GT5" i="14"/>
  <c r="GT6" i="14"/>
  <c r="GT7" i="14"/>
  <c r="GT8" i="14"/>
  <c r="GT9" i="14"/>
  <c r="GT10" i="14"/>
  <c r="GT11" i="14"/>
  <c r="GT12" i="14"/>
  <c r="GT13" i="14"/>
  <c r="GT14" i="14"/>
  <c r="GT15" i="14"/>
  <c r="GT16" i="14"/>
  <c r="GT17" i="14"/>
  <c r="GT18" i="14"/>
  <c r="GT19" i="14"/>
  <c r="GT20" i="14"/>
  <c r="GT21" i="14"/>
  <c r="GT22" i="14"/>
  <c r="GT23" i="14"/>
  <c r="GT24" i="14"/>
  <c r="GT25" i="14"/>
  <c r="GT26" i="14"/>
  <c r="GT27" i="14"/>
  <c r="GT28" i="14"/>
  <c r="GT29" i="14"/>
  <c r="GT30" i="14"/>
  <c r="GT31" i="14"/>
  <c r="GT32" i="14"/>
  <c r="GT3" i="14"/>
  <c r="D70" i="11"/>
  <c r="GO33" i="14"/>
  <c r="F70" i="11" s="1"/>
  <c r="GN33" i="14"/>
  <c r="E70" i="11" s="1"/>
  <c r="GP4" i="14"/>
  <c r="GP5" i="14"/>
  <c r="GP6" i="14"/>
  <c r="GP7" i="14"/>
  <c r="GP8" i="14"/>
  <c r="GP9" i="14"/>
  <c r="GP10" i="14"/>
  <c r="GP11" i="14"/>
  <c r="GP12" i="14"/>
  <c r="GP13" i="14"/>
  <c r="GP14" i="14"/>
  <c r="GP15" i="14"/>
  <c r="GP16" i="14"/>
  <c r="GP17" i="14"/>
  <c r="GP18" i="14"/>
  <c r="GP19" i="14"/>
  <c r="GP20" i="14"/>
  <c r="GP21" i="14"/>
  <c r="GP22" i="14"/>
  <c r="GP23" i="14"/>
  <c r="GP24" i="14"/>
  <c r="GP25" i="14"/>
  <c r="GP26" i="14"/>
  <c r="GP27" i="14"/>
  <c r="GP28" i="14"/>
  <c r="GP29" i="14"/>
  <c r="GP30" i="14"/>
  <c r="GP31" i="14"/>
  <c r="GP32" i="14"/>
  <c r="GP3" i="14"/>
  <c r="D69" i="11"/>
  <c r="GK33" i="14"/>
  <c r="F69" i="11" s="1"/>
  <c r="GJ33" i="14"/>
  <c r="E69" i="11" s="1"/>
  <c r="GL24" i="14"/>
  <c r="GL25" i="14"/>
  <c r="GL26" i="14"/>
  <c r="GL27" i="14"/>
  <c r="GL28" i="14"/>
  <c r="GL29" i="14"/>
  <c r="GL30" i="14"/>
  <c r="GL31" i="14"/>
  <c r="GL32" i="14"/>
  <c r="GL4" i="14"/>
  <c r="GL5" i="14"/>
  <c r="GL6" i="14"/>
  <c r="GL7" i="14"/>
  <c r="GL8" i="14"/>
  <c r="GL9" i="14"/>
  <c r="GL10" i="14"/>
  <c r="GL11" i="14"/>
  <c r="GL12" i="14"/>
  <c r="GL13" i="14"/>
  <c r="GL14" i="14"/>
  <c r="GL15" i="14"/>
  <c r="GL16" i="14"/>
  <c r="GL17" i="14"/>
  <c r="GL18" i="14"/>
  <c r="GL19" i="14"/>
  <c r="GL20" i="14"/>
  <c r="GL21" i="14"/>
  <c r="GL22" i="14"/>
  <c r="GL3" i="14"/>
  <c r="GL23" i="14"/>
  <c r="D68" i="11"/>
  <c r="GG33" i="14"/>
  <c r="F68" i="11" s="1"/>
  <c r="GF33" i="14"/>
  <c r="E68" i="11" s="1"/>
  <c r="GH23" i="14"/>
  <c r="GH24" i="14"/>
  <c r="GH25" i="14"/>
  <c r="GH26" i="14"/>
  <c r="GH27" i="14"/>
  <c r="GH28" i="14"/>
  <c r="GH29" i="14"/>
  <c r="GH30" i="14"/>
  <c r="GH31" i="14"/>
  <c r="GH32" i="14"/>
  <c r="GH4" i="14"/>
  <c r="GH5" i="14"/>
  <c r="GH6" i="14"/>
  <c r="GH7" i="14"/>
  <c r="GH8" i="14"/>
  <c r="GH9" i="14"/>
  <c r="GH10" i="14"/>
  <c r="GH11" i="14"/>
  <c r="GH12" i="14"/>
  <c r="GH13" i="14"/>
  <c r="GH14" i="14"/>
  <c r="GH15" i="14"/>
  <c r="GH16" i="14"/>
  <c r="GH17" i="14"/>
  <c r="GH18" i="14"/>
  <c r="GH19" i="14"/>
  <c r="GH20" i="14"/>
  <c r="GH21" i="14"/>
  <c r="GH3" i="14"/>
  <c r="GH22" i="14"/>
  <c r="D67" i="11"/>
  <c r="GB33" i="14"/>
  <c r="E67" i="11" s="1"/>
  <c r="GD4" i="14"/>
  <c r="GD5" i="14"/>
  <c r="GD6" i="14"/>
  <c r="GD7" i="14"/>
  <c r="GD9" i="14"/>
  <c r="GD10" i="14"/>
  <c r="GD11" i="14"/>
  <c r="GD12" i="14"/>
  <c r="GD13" i="14"/>
  <c r="GD14" i="14"/>
  <c r="GD15" i="14"/>
  <c r="GD16" i="14"/>
  <c r="GD17" i="14"/>
  <c r="GD18" i="14"/>
  <c r="GD19" i="14"/>
  <c r="GD20" i="14"/>
  <c r="GD21" i="14"/>
  <c r="GD22" i="14"/>
  <c r="GD23" i="14"/>
  <c r="GD24" i="14"/>
  <c r="GD25" i="14"/>
  <c r="GD26" i="14"/>
  <c r="GD27" i="14"/>
  <c r="GD28" i="14"/>
  <c r="GD29" i="14"/>
  <c r="GD30" i="14"/>
  <c r="GD31" i="14"/>
  <c r="GD32" i="14"/>
  <c r="GD3" i="14"/>
  <c r="FX33" i="14"/>
  <c r="F65" i="11" s="1"/>
  <c r="FW33" i="14"/>
  <c r="E65" i="11" s="1"/>
  <c r="FY8" i="14"/>
  <c r="FY7" i="14"/>
  <c r="FY6" i="14"/>
  <c r="FY5" i="14"/>
  <c r="FY4" i="14"/>
  <c r="FY3" i="14"/>
  <c r="FY9" i="14"/>
  <c r="FY10" i="14"/>
  <c r="FY11" i="14"/>
  <c r="FY12" i="14"/>
  <c r="FY13" i="14"/>
  <c r="FY14" i="14"/>
  <c r="FY15" i="14"/>
  <c r="FY16" i="14"/>
  <c r="FY17" i="14"/>
  <c r="FY18" i="14"/>
  <c r="FY19" i="14"/>
  <c r="FY20" i="14"/>
  <c r="FY21" i="14"/>
  <c r="FY28" i="14"/>
  <c r="FY29" i="14"/>
  <c r="FY30" i="14"/>
  <c r="FY31" i="14"/>
  <c r="FY32" i="14"/>
  <c r="FY23" i="14"/>
  <c r="FY24" i="14"/>
  <c r="FY25" i="14"/>
  <c r="FY26" i="14"/>
  <c r="FY27" i="14"/>
  <c r="FY22" i="14"/>
  <c r="D62" i="11"/>
  <c r="FR33" i="14"/>
  <c r="F62" i="11" s="1"/>
  <c r="FQ33" i="14"/>
  <c r="E62" i="11" s="1"/>
  <c r="FS32" i="14"/>
  <c r="FS31" i="14"/>
  <c r="FS30" i="14"/>
  <c r="FS29" i="14"/>
  <c r="FS28" i="14"/>
  <c r="FS27" i="14"/>
  <c r="FS26" i="14"/>
  <c r="FS25" i="14"/>
  <c r="FS24" i="14"/>
  <c r="FS23" i="14"/>
  <c r="FS22" i="14"/>
  <c r="FS21" i="14"/>
  <c r="FS20" i="14"/>
  <c r="FS19" i="14"/>
  <c r="FS18" i="14"/>
  <c r="FS17" i="14"/>
  <c r="FS16" i="14"/>
  <c r="FS15" i="14"/>
  <c r="FS14" i="14"/>
  <c r="FS13" i="14"/>
  <c r="FS12" i="14"/>
  <c r="FS11" i="14"/>
  <c r="FS10" i="14"/>
  <c r="FS9" i="14"/>
  <c r="FS8" i="14"/>
  <c r="FS7" i="14"/>
  <c r="FS6" i="14"/>
  <c r="FS5" i="14"/>
  <c r="FS4" i="14"/>
  <c r="FS3" i="14"/>
  <c r="FM33" i="14"/>
  <c r="E61" i="11" s="1"/>
  <c r="FO4" i="14"/>
  <c r="FO6" i="14"/>
  <c r="FO7" i="14"/>
  <c r="FO9" i="14"/>
  <c r="FO10" i="14"/>
  <c r="FO15" i="14"/>
  <c r="FO16" i="14"/>
  <c r="FO17" i="14"/>
  <c r="FO19" i="14"/>
  <c r="FO20" i="14"/>
  <c r="FO25" i="14"/>
  <c r="FO31" i="14"/>
  <c r="FO3" i="14"/>
  <c r="D55" i="11"/>
  <c r="FI33" i="14"/>
  <c r="G55" i="11" s="1"/>
  <c r="D54" i="11"/>
  <c r="FG33" i="14"/>
  <c r="G54" i="11" s="1"/>
  <c r="D53" i="11"/>
  <c r="FE33" i="14"/>
  <c r="G53" i="11" s="1"/>
  <c r="D52" i="11"/>
  <c r="FC33" i="14"/>
  <c r="G52" i="11" s="1"/>
  <c r="D51" i="11"/>
  <c r="FA33" i="14"/>
  <c r="G51" i="11" s="1"/>
  <c r="F49" i="11"/>
  <c r="F50" i="11"/>
  <c r="D50" i="11"/>
  <c r="EY33" i="14"/>
  <c r="G50" i="11" s="1"/>
  <c r="EV33" i="14"/>
  <c r="G49" i="11" s="1"/>
  <c r="ES33" i="14"/>
  <c r="G48" i="11" s="1"/>
  <c r="F48" i="11"/>
  <c r="EO33" i="14"/>
  <c r="F44" i="11" s="1"/>
  <c r="EN33" i="14"/>
  <c r="E44" i="11" s="1"/>
  <c r="EP4" i="14"/>
  <c r="EP5" i="14"/>
  <c r="EP6" i="14"/>
  <c r="EP7" i="14"/>
  <c r="EP8" i="14"/>
  <c r="EP9" i="14"/>
  <c r="EP10" i="14"/>
  <c r="EP11" i="14"/>
  <c r="EP12" i="14"/>
  <c r="EP13" i="14"/>
  <c r="EP14" i="14"/>
  <c r="EP15" i="14"/>
  <c r="EP16" i="14"/>
  <c r="EP17" i="14"/>
  <c r="EP18" i="14"/>
  <c r="EP19" i="14"/>
  <c r="EP20" i="14"/>
  <c r="EP21" i="14"/>
  <c r="EP22" i="14"/>
  <c r="EP23" i="14"/>
  <c r="EP24" i="14"/>
  <c r="EP25" i="14"/>
  <c r="EP26" i="14"/>
  <c r="EP27" i="14"/>
  <c r="EP28" i="14"/>
  <c r="EP29" i="14"/>
  <c r="EP30" i="14"/>
  <c r="EP31" i="14"/>
  <c r="EP32" i="14"/>
  <c r="EP3" i="14"/>
  <c r="EK33" i="14"/>
  <c r="F43" i="11" s="1"/>
  <c r="EJ33" i="14"/>
  <c r="E43" i="11" s="1"/>
  <c r="EL4" i="14"/>
  <c r="EL5" i="14"/>
  <c r="EL6" i="14"/>
  <c r="EL7" i="14"/>
  <c r="EL8" i="14"/>
  <c r="EL9" i="14"/>
  <c r="EL10" i="14"/>
  <c r="EL11" i="14"/>
  <c r="EL12" i="14"/>
  <c r="EL13" i="14"/>
  <c r="EL14" i="14"/>
  <c r="EL15" i="14"/>
  <c r="EL16" i="14"/>
  <c r="EL17" i="14"/>
  <c r="EL18" i="14"/>
  <c r="EL19" i="14"/>
  <c r="EL20" i="14"/>
  <c r="EL21" i="14"/>
  <c r="EL22" i="14"/>
  <c r="EL23" i="14"/>
  <c r="EL24" i="14"/>
  <c r="EL25" i="14"/>
  <c r="EL26" i="14"/>
  <c r="EL27" i="14"/>
  <c r="EL28" i="14"/>
  <c r="EL29" i="14"/>
  <c r="EL30" i="14"/>
  <c r="EL31" i="14"/>
  <c r="EL32" i="14"/>
  <c r="EL3" i="14"/>
  <c r="EG33" i="14"/>
  <c r="F42" i="11" s="1"/>
  <c r="EF33" i="14"/>
  <c r="E42" i="11" s="1"/>
  <c r="EH4" i="14"/>
  <c r="EH5" i="14"/>
  <c r="EH6" i="14"/>
  <c r="EH7" i="14"/>
  <c r="EH8" i="14"/>
  <c r="EH9" i="14"/>
  <c r="EH10" i="14"/>
  <c r="EH11" i="14"/>
  <c r="EH12" i="14"/>
  <c r="EH13" i="14"/>
  <c r="EH14" i="14"/>
  <c r="EH15" i="14"/>
  <c r="EH16" i="14"/>
  <c r="EH17" i="14"/>
  <c r="EH18" i="14"/>
  <c r="EH19" i="14"/>
  <c r="EH20" i="14"/>
  <c r="EH21" i="14"/>
  <c r="EH22" i="14"/>
  <c r="EH23" i="14"/>
  <c r="EH24" i="14"/>
  <c r="EH25" i="14"/>
  <c r="EH26" i="14"/>
  <c r="EH27" i="14"/>
  <c r="EH28" i="14"/>
  <c r="EH29" i="14"/>
  <c r="EH30" i="14"/>
  <c r="EH31" i="14"/>
  <c r="EH32" i="14"/>
  <c r="EH3" i="14"/>
  <c r="EC33" i="14"/>
  <c r="F41" i="11" s="1"/>
  <c r="EB33" i="14"/>
  <c r="E41" i="11" s="1"/>
  <c r="DY33" i="14"/>
  <c r="F40" i="11" s="1"/>
  <c r="DX33" i="14"/>
  <c r="E40" i="11" s="1"/>
  <c r="ED4" i="14"/>
  <c r="ED5" i="14"/>
  <c r="ED6" i="14"/>
  <c r="ED7" i="14"/>
  <c r="ED8" i="14"/>
  <c r="ED9" i="14"/>
  <c r="ED10" i="14"/>
  <c r="ED11" i="14"/>
  <c r="ED12" i="14"/>
  <c r="ED13" i="14"/>
  <c r="ED14" i="14"/>
  <c r="ED15" i="14"/>
  <c r="ED16" i="14"/>
  <c r="ED17" i="14"/>
  <c r="ED18" i="14"/>
  <c r="ED19" i="14"/>
  <c r="ED20" i="14"/>
  <c r="ED21" i="14"/>
  <c r="ED22" i="14"/>
  <c r="ED23" i="14"/>
  <c r="ED24" i="14"/>
  <c r="ED25" i="14"/>
  <c r="ED26" i="14"/>
  <c r="ED27" i="14"/>
  <c r="ED28" i="14"/>
  <c r="ED29" i="14"/>
  <c r="ED30" i="14"/>
  <c r="ED31" i="14"/>
  <c r="ED32" i="14"/>
  <c r="ED3" i="14"/>
  <c r="DZ4" i="14"/>
  <c r="DZ5" i="14"/>
  <c r="DZ6" i="14"/>
  <c r="DZ7" i="14"/>
  <c r="DZ8" i="14"/>
  <c r="DZ9" i="14"/>
  <c r="DZ10" i="14"/>
  <c r="DZ11" i="14"/>
  <c r="DZ12" i="14"/>
  <c r="DZ13" i="14"/>
  <c r="DZ14" i="14"/>
  <c r="DZ15" i="14"/>
  <c r="DZ16" i="14"/>
  <c r="DZ17" i="14"/>
  <c r="DZ18" i="14"/>
  <c r="DZ19" i="14"/>
  <c r="DZ20" i="14"/>
  <c r="DZ21" i="14"/>
  <c r="DZ22" i="14"/>
  <c r="DZ23" i="14"/>
  <c r="DZ24" i="14"/>
  <c r="DZ25" i="14"/>
  <c r="DZ26" i="14"/>
  <c r="DZ27" i="14"/>
  <c r="DZ28" i="14"/>
  <c r="DZ29" i="14"/>
  <c r="DZ30" i="14"/>
  <c r="DZ31" i="14"/>
  <c r="DZ32" i="14"/>
  <c r="DZ3" i="14"/>
  <c r="DU33" i="14"/>
  <c r="F39" i="11" s="1"/>
  <c r="DT33" i="14"/>
  <c r="E39" i="11" s="1"/>
  <c r="DV4" i="14"/>
  <c r="DV5" i="14"/>
  <c r="DV6" i="14"/>
  <c r="DV7" i="14"/>
  <c r="DV8" i="14"/>
  <c r="DV9" i="14"/>
  <c r="DV10" i="14"/>
  <c r="DV11" i="14"/>
  <c r="DV12" i="14"/>
  <c r="DV13" i="14"/>
  <c r="DV14" i="14"/>
  <c r="DV15" i="14"/>
  <c r="DV16" i="14"/>
  <c r="DV17" i="14"/>
  <c r="DV18" i="14"/>
  <c r="DV19" i="14"/>
  <c r="DV20" i="14"/>
  <c r="DV21" i="14"/>
  <c r="DV22" i="14"/>
  <c r="DV23" i="14"/>
  <c r="DV24" i="14"/>
  <c r="DV25" i="14"/>
  <c r="DV26" i="14"/>
  <c r="DV27" i="14"/>
  <c r="DV28" i="14"/>
  <c r="DV29" i="14"/>
  <c r="DV30" i="14"/>
  <c r="DV31" i="14"/>
  <c r="DV32" i="14"/>
  <c r="DV3" i="14"/>
  <c r="DQ33" i="14"/>
  <c r="F38" i="11" s="1"/>
  <c r="DP33" i="14"/>
  <c r="E38" i="11" s="1"/>
  <c r="DR4" i="14"/>
  <c r="DR5" i="14"/>
  <c r="DR6" i="14"/>
  <c r="DR7" i="14"/>
  <c r="DR8" i="14"/>
  <c r="DR9" i="14"/>
  <c r="DR10" i="14"/>
  <c r="DR11" i="14"/>
  <c r="DR12" i="14"/>
  <c r="DR13" i="14"/>
  <c r="DR14" i="14"/>
  <c r="DR15" i="14"/>
  <c r="DR16" i="14"/>
  <c r="DR17" i="14"/>
  <c r="DR18" i="14"/>
  <c r="DR19" i="14"/>
  <c r="DR20" i="14"/>
  <c r="DR21" i="14"/>
  <c r="DR22" i="14"/>
  <c r="DR23" i="14"/>
  <c r="DR24" i="14"/>
  <c r="DR25" i="14"/>
  <c r="DR26" i="14"/>
  <c r="DR27" i="14"/>
  <c r="DR28" i="14"/>
  <c r="DR29" i="14"/>
  <c r="DR30" i="14"/>
  <c r="DR31" i="14"/>
  <c r="DR32" i="14"/>
  <c r="DR3" i="14"/>
  <c r="DM33" i="14"/>
  <c r="F37" i="11" s="1"/>
  <c r="DL33" i="14"/>
  <c r="E37" i="11" s="1"/>
  <c r="DN4" i="14"/>
  <c r="DN5" i="14"/>
  <c r="DN6" i="14"/>
  <c r="DN7" i="14"/>
  <c r="DN8" i="14"/>
  <c r="DN9" i="14"/>
  <c r="DN10" i="14"/>
  <c r="DN11" i="14"/>
  <c r="DN12" i="14"/>
  <c r="DN13" i="14"/>
  <c r="DN14" i="14"/>
  <c r="DN15" i="14"/>
  <c r="DN16" i="14"/>
  <c r="DN17" i="14"/>
  <c r="DN18" i="14"/>
  <c r="DN19" i="14"/>
  <c r="DN20" i="14"/>
  <c r="DN21" i="14"/>
  <c r="DN22" i="14"/>
  <c r="DN23" i="14"/>
  <c r="DN24" i="14"/>
  <c r="DN25" i="14"/>
  <c r="DN26" i="14"/>
  <c r="DN27" i="14"/>
  <c r="DN28" i="14"/>
  <c r="DN29" i="14"/>
  <c r="DN30" i="14"/>
  <c r="DN31" i="14"/>
  <c r="DN32" i="14"/>
  <c r="DN3" i="14"/>
  <c r="DI33" i="14"/>
  <c r="F36" i="11" s="1"/>
  <c r="DH33" i="14"/>
  <c r="E36" i="11" s="1"/>
  <c r="DJ4" i="14"/>
  <c r="DJ5" i="14"/>
  <c r="DJ6" i="14"/>
  <c r="DJ7" i="14"/>
  <c r="DJ8" i="14"/>
  <c r="DJ9" i="14"/>
  <c r="DJ10" i="14"/>
  <c r="DJ11" i="14"/>
  <c r="DJ12" i="14"/>
  <c r="DJ13" i="14"/>
  <c r="DJ14" i="14"/>
  <c r="DJ15" i="14"/>
  <c r="DJ16" i="14"/>
  <c r="DJ17" i="14"/>
  <c r="DJ18" i="14"/>
  <c r="DJ19" i="14"/>
  <c r="DJ20" i="14"/>
  <c r="DJ21" i="14"/>
  <c r="DJ22" i="14"/>
  <c r="DJ23" i="14"/>
  <c r="DJ24" i="14"/>
  <c r="DJ25" i="14"/>
  <c r="DJ26" i="14"/>
  <c r="DJ27" i="14"/>
  <c r="DJ28" i="14"/>
  <c r="DJ29" i="14"/>
  <c r="DJ30" i="14"/>
  <c r="DJ31" i="14"/>
  <c r="DJ32" i="14"/>
  <c r="DJ3" i="14"/>
  <c r="DE33" i="14"/>
  <c r="F35" i="11" s="1"/>
  <c r="DD33" i="14"/>
  <c r="E35" i="11" s="1"/>
  <c r="DF4" i="14"/>
  <c r="DF5" i="14"/>
  <c r="DF6" i="14"/>
  <c r="DF7" i="14"/>
  <c r="DF8" i="14"/>
  <c r="DF9" i="14"/>
  <c r="DF10" i="14"/>
  <c r="DF11" i="14"/>
  <c r="DF12" i="14"/>
  <c r="DF13" i="14"/>
  <c r="DF14" i="14"/>
  <c r="DF15" i="14"/>
  <c r="DF16" i="14"/>
  <c r="DF17" i="14"/>
  <c r="DF18" i="14"/>
  <c r="DF19" i="14"/>
  <c r="DF20" i="14"/>
  <c r="DF21" i="14"/>
  <c r="DF22" i="14"/>
  <c r="DF23" i="14"/>
  <c r="DF24" i="14"/>
  <c r="DF25" i="14"/>
  <c r="DF26" i="14"/>
  <c r="DF27" i="14"/>
  <c r="DF28" i="14"/>
  <c r="DF29" i="14"/>
  <c r="DF30" i="14"/>
  <c r="DF31" i="14"/>
  <c r="DF32" i="14"/>
  <c r="DF3" i="14"/>
  <c r="DA33" i="14"/>
  <c r="F34" i="11" s="1"/>
  <c r="CZ33" i="14"/>
  <c r="E34" i="11" s="1"/>
  <c r="DB32" i="14"/>
  <c r="DB31" i="14"/>
  <c r="DB30" i="14"/>
  <c r="DB29" i="14"/>
  <c r="DB28" i="14"/>
  <c r="DB27" i="14"/>
  <c r="DB26" i="14"/>
  <c r="DB25" i="14"/>
  <c r="DB24" i="14"/>
  <c r="DB23" i="14"/>
  <c r="DB22" i="14"/>
  <c r="DB21" i="14"/>
  <c r="DB20" i="14"/>
  <c r="DB19" i="14"/>
  <c r="DB18" i="14"/>
  <c r="DB17" i="14"/>
  <c r="DB16" i="14"/>
  <c r="DB15" i="14"/>
  <c r="DB14" i="14"/>
  <c r="DB13" i="14"/>
  <c r="DB12" i="14"/>
  <c r="DB11" i="14"/>
  <c r="DB10" i="14"/>
  <c r="DB9" i="14"/>
  <c r="DB8" i="14"/>
  <c r="DB7" i="14"/>
  <c r="DB6" i="14"/>
  <c r="DB5" i="14"/>
  <c r="DB4" i="14"/>
  <c r="DB3" i="14"/>
  <c r="D33" i="11"/>
  <c r="CW33" i="14"/>
  <c r="F33" i="11" s="1"/>
  <c r="CV33" i="14"/>
  <c r="E33" i="11" s="1"/>
  <c r="CR33" i="14"/>
  <c r="E29" i="11" s="1"/>
  <c r="CQ33" i="14"/>
  <c r="D29" i="11" s="1"/>
  <c r="CM33" i="14"/>
  <c r="D28" i="11" s="1"/>
  <c r="CN33" i="14"/>
  <c r="E28" i="11" s="1"/>
  <c r="CJ33" i="14"/>
  <c r="CI33" i="14"/>
  <c r="D27" i="11" s="1"/>
  <c r="CX32" i="14"/>
  <c r="CX31" i="14"/>
  <c r="CX30" i="14"/>
  <c r="CX29" i="14"/>
  <c r="CX28" i="14"/>
  <c r="CX27" i="14"/>
  <c r="CX26" i="14"/>
  <c r="CX25" i="14"/>
  <c r="CX24" i="14"/>
  <c r="CX23" i="14"/>
  <c r="CX22" i="14"/>
  <c r="CX21" i="14"/>
  <c r="CX20" i="14"/>
  <c r="CX19" i="14"/>
  <c r="CX18" i="14"/>
  <c r="CX17" i="14"/>
  <c r="CX16" i="14"/>
  <c r="CX15" i="14"/>
  <c r="CX14" i="14"/>
  <c r="CX13" i="14"/>
  <c r="CX12" i="14"/>
  <c r="CX11" i="14"/>
  <c r="CX10" i="14"/>
  <c r="CX9" i="14"/>
  <c r="CX8" i="14"/>
  <c r="CX7" i="14"/>
  <c r="CX6" i="14"/>
  <c r="CX5" i="14"/>
  <c r="CX4" i="14"/>
  <c r="CX3" i="14"/>
  <c r="CT32" i="14"/>
  <c r="CT31" i="14"/>
  <c r="CT30" i="14"/>
  <c r="CT29" i="14"/>
  <c r="CT28" i="14"/>
  <c r="CT27" i="14"/>
  <c r="CT26" i="14"/>
  <c r="CT25" i="14"/>
  <c r="CT24" i="14"/>
  <c r="CT23" i="14"/>
  <c r="CT22" i="14"/>
  <c r="CT21" i="14"/>
  <c r="CT20" i="14"/>
  <c r="CT19" i="14"/>
  <c r="CT18" i="14"/>
  <c r="CT17" i="14"/>
  <c r="CT16" i="14"/>
  <c r="CT15" i="14"/>
  <c r="CT14" i="14"/>
  <c r="CT13" i="14"/>
  <c r="CT12" i="14"/>
  <c r="CT11" i="14"/>
  <c r="CT10" i="14"/>
  <c r="CT9" i="14"/>
  <c r="CT8" i="14"/>
  <c r="CT7" i="14"/>
  <c r="CT6" i="14"/>
  <c r="CT5" i="14"/>
  <c r="CT4" i="14"/>
  <c r="CT3" i="14"/>
  <c r="CP32" i="14"/>
  <c r="CP31" i="14"/>
  <c r="CP30" i="14"/>
  <c r="CP29" i="14"/>
  <c r="CP28" i="14"/>
  <c r="CP27" i="14"/>
  <c r="CP26" i="14"/>
  <c r="CP25" i="14"/>
  <c r="CP24" i="14"/>
  <c r="CP23" i="14"/>
  <c r="CP22" i="14"/>
  <c r="CP21" i="14"/>
  <c r="CP20" i="14"/>
  <c r="CP19" i="14"/>
  <c r="CP18" i="14"/>
  <c r="CP17" i="14"/>
  <c r="CP16" i="14"/>
  <c r="CP15" i="14"/>
  <c r="CP14" i="14"/>
  <c r="CP13" i="14"/>
  <c r="CP12" i="14"/>
  <c r="CP11" i="14"/>
  <c r="CP10" i="14"/>
  <c r="CP9" i="14"/>
  <c r="CP8" i="14"/>
  <c r="CP7" i="14"/>
  <c r="CP6" i="14"/>
  <c r="CP5" i="14"/>
  <c r="CP4" i="14"/>
  <c r="CP3" i="14"/>
  <c r="E27" i="11"/>
  <c r="CL32" i="14"/>
  <c r="CL31" i="14"/>
  <c r="CL30" i="14"/>
  <c r="CL29" i="14"/>
  <c r="CL28" i="14"/>
  <c r="CL27" i="14"/>
  <c r="CL26" i="14"/>
  <c r="CL25" i="14"/>
  <c r="CL24" i="14"/>
  <c r="CL23" i="14"/>
  <c r="CL22" i="14"/>
  <c r="CL21" i="14"/>
  <c r="CL20" i="14"/>
  <c r="CL19" i="14"/>
  <c r="CL18" i="14"/>
  <c r="CL17" i="14"/>
  <c r="CL16" i="14"/>
  <c r="CL15" i="14"/>
  <c r="CL14" i="14"/>
  <c r="CL13" i="14"/>
  <c r="CL12" i="14"/>
  <c r="CL11" i="14"/>
  <c r="CL10" i="14"/>
  <c r="CL9" i="14"/>
  <c r="CL8" i="14"/>
  <c r="CL7" i="14"/>
  <c r="CL6" i="14"/>
  <c r="CL5" i="14"/>
  <c r="CL4" i="14"/>
  <c r="E26" i="11"/>
  <c r="D26" i="11"/>
  <c r="CH32" i="14"/>
  <c r="CH31" i="14"/>
  <c r="CH30" i="14"/>
  <c r="CH29" i="14"/>
  <c r="CH28" i="14"/>
  <c r="CH27" i="14"/>
  <c r="CH26" i="14"/>
  <c r="CH25" i="14"/>
  <c r="CH24" i="14"/>
  <c r="CH23" i="14"/>
  <c r="CH22" i="14"/>
  <c r="CH21" i="14"/>
  <c r="CH20" i="14"/>
  <c r="CH19" i="14"/>
  <c r="CH18" i="14"/>
  <c r="CH17" i="14"/>
  <c r="CH16" i="14"/>
  <c r="CH15" i="14"/>
  <c r="CH14" i="14"/>
  <c r="CH13" i="14"/>
  <c r="CH12" i="14"/>
  <c r="CH11" i="14"/>
  <c r="CH10" i="14"/>
  <c r="CH9" i="14"/>
  <c r="CH8" i="14"/>
  <c r="CH7" i="14"/>
  <c r="CH6" i="14"/>
  <c r="CH5" i="14"/>
  <c r="CH4" i="14"/>
  <c r="E25" i="11"/>
  <c r="D25" i="11"/>
  <c r="CD32" i="14"/>
  <c r="CD31" i="14"/>
  <c r="CD30" i="14"/>
  <c r="CD29" i="14"/>
  <c r="CD28" i="14"/>
  <c r="CD27" i="14"/>
  <c r="CD26" i="14"/>
  <c r="CD25" i="14"/>
  <c r="CD24" i="14"/>
  <c r="CD23" i="14"/>
  <c r="CD22" i="14"/>
  <c r="CD21" i="14"/>
  <c r="CD20" i="14"/>
  <c r="CD19" i="14"/>
  <c r="CD18" i="14"/>
  <c r="CD17" i="14"/>
  <c r="CD16" i="14"/>
  <c r="CD15" i="14"/>
  <c r="CD14" i="14"/>
  <c r="CD13" i="14"/>
  <c r="CD12" i="14"/>
  <c r="CD11" i="14"/>
  <c r="CD10" i="14"/>
  <c r="CD9" i="14"/>
  <c r="CD8" i="14"/>
  <c r="CD7" i="14"/>
  <c r="CD6" i="14"/>
  <c r="CD5" i="14"/>
  <c r="CD3" i="14"/>
  <c r="E24" i="11"/>
  <c r="D24" i="11"/>
  <c r="BZ32" i="14"/>
  <c r="BZ31" i="14"/>
  <c r="BZ30" i="14"/>
  <c r="BZ29" i="14"/>
  <c r="BZ28" i="14"/>
  <c r="BZ27" i="14"/>
  <c r="BZ26" i="14"/>
  <c r="BZ25" i="14"/>
  <c r="BZ24" i="14"/>
  <c r="BZ23" i="14"/>
  <c r="BZ22" i="14"/>
  <c r="BZ21" i="14"/>
  <c r="BZ20" i="14"/>
  <c r="BZ19" i="14"/>
  <c r="BY18" i="14"/>
  <c r="BZ18" i="14" s="1"/>
  <c r="BZ17" i="14"/>
  <c r="BZ16" i="14"/>
  <c r="BZ15" i="14"/>
  <c r="BZ14" i="14"/>
  <c r="BZ13" i="14"/>
  <c r="BZ12" i="14"/>
  <c r="BZ11" i="14"/>
  <c r="BZ10" i="14"/>
  <c r="BZ9" i="14"/>
  <c r="BZ8" i="14"/>
  <c r="BZ7" i="14"/>
  <c r="BZ6" i="14"/>
  <c r="BY5" i="14"/>
  <c r="BZ5" i="14" s="1"/>
  <c r="BY4" i="14"/>
  <c r="BZ3" i="14"/>
  <c r="BW1" i="14"/>
  <c r="E23" i="11"/>
  <c r="D23" i="11"/>
  <c r="BV32" i="14"/>
  <c r="BV31" i="14"/>
  <c r="BV30" i="14"/>
  <c r="BV29" i="14"/>
  <c r="BV28" i="14"/>
  <c r="BV27" i="14"/>
  <c r="BV26" i="14"/>
  <c r="BV25" i="14"/>
  <c r="BV24" i="14"/>
  <c r="BV23" i="14"/>
  <c r="BV22" i="14"/>
  <c r="BV21" i="14"/>
  <c r="BV20" i="14"/>
  <c r="BV19" i="14"/>
  <c r="BU18" i="14"/>
  <c r="BV18" i="14" s="1"/>
  <c r="BV17" i="14"/>
  <c r="BV16" i="14"/>
  <c r="BV15" i="14"/>
  <c r="BV14" i="14"/>
  <c r="BV13" i="14"/>
  <c r="BV12" i="14"/>
  <c r="BV11" i="14"/>
  <c r="BV10" i="14"/>
  <c r="BV9" i="14"/>
  <c r="BV8" i="14"/>
  <c r="BV7" i="14"/>
  <c r="BV6" i="14"/>
  <c r="BU5" i="14"/>
  <c r="BV4" i="14"/>
  <c r="E22" i="11"/>
  <c r="D22" i="11"/>
  <c r="BQ32" i="14"/>
  <c r="BR32" i="14" s="1"/>
  <c r="BQ31" i="14"/>
  <c r="BR31" i="14" s="1"/>
  <c r="BR30" i="14"/>
  <c r="BQ29" i="14"/>
  <c r="BR29" i="14" s="1"/>
  <c r="BR28" i="14"/>
  <c r="BR27" i="14"/>
  <c r="BQ26" i="14"/>
  <c r="BR26" i="14" s="1"/>
  <c r="BQ25" i="14"/>
  <c r="BR25" i="14" s="1"/>
  <c r="BR24" i="14"/>
  <c r="BR23" i="14"/>
  <c r="BQ22" i="14"/>
  <c r="BR22" i="14" s="1"/>
  <c r="BQ21" i="14"/>
  <c r="BR21" i="14" s="1"/>
  <c r="BQ20" i="14"/>
  <c r="BR20" i="14" s="1"/>
  <c r="BQ19" i="14"/>
  <c r="BR19" i="14" s="1"/>
  <c r="BQ18" i="14"/>
  <c r="BR18" i="14" s="1"/>
  <c r="BQ17" i="14"/>
  <c r="BR17" i="14" s="1"/>
  <c r="BQ16" i="14"/>
  <c r="BR16" i="14" s="1"/>
  <c r="BQ15" i="14"/>
  <c r="BR15" i="14" s="1"/>
  <c r="BQ14" i="14"/>
  <c r="BR14" i="14" s="1"/>
  <c r="BR13" i="14"/>
  <c r="BQ12" i="14"/>
  <c r="BR12" i="14" s="1"/>
  <c r="BQ11" i="14"/>
  <c r="BR11" i="14" s="1"/>
  <c r="BQ10" i="14"/>
  <c r="BR10" i="14" s="1"/>
  <c r="BQ9" i="14"/>
  <c r="BR9" i="14" s="1"/>
  <c r="BR8" i="14"/>
  <c r="BQ7" i="14"/>
  <c r="BR7" i="14" s="1"/>
  <c r="BQ6" i="14"/>
  <c r="BR6" i="14" s="1"/>
  <c r="BQ5" i="14"/>
  <c r="BR5" i="14" s="1"/>
  <c r="BQ4" i="14"/>
  <c r="BR3" i="14"/>
  <c r="E20" i="11"/>
  <c r="D20" i="11"/>
  <c r="BM32" i="14"/>
  <c r="BN32" i="14" s="1"/>
  <c r="BM31" i="14"/>
  <c r="BN31" i="14" s="1"/>
  <c r="BM30" i="14"/>
  <c r="BN30" i="14" s="1"/>
  <c r="BM29" i="14"/>
  <c r="BN29" i="14" s="1"/>
  <c r="BM28" i="14"/>
  <c r="BN28" i="14" s="1"/>
  <c r="BM27" i="14"/>
  <c r="BN27" i="14" s="1"/>
  <c r="BM26" i="14"/>
  <c r="BN26" i="14" s="1"/>
  <c r="BM25" i="14"/>
  <c r="BN25" i="14" s="1"/>
  <c r="BM24" i="14"/>
  <c r="BN24" i="14" s="1"/>
  <c r="BM23" i="14"/>
  <c r="BN23" i="14" s="1"/>
  <c r="BM22" i="14"/>
  <c r="BN22" i="14" s="1"/>
  <c r="BM21" i="14"/>
  <c r="BN21" i="14" s="1"/>
  <c r="BM20" i="14"/>
  <c r="BN20" i="14" s="1"/>
  <c r="BM19" i="14"/>
  <c r="BN19" i="14" s="1"/>
  <c r="BM18" i="14"/>
  <c r="BN18" i="14" s="1"/>
  <c r="BM17" i="14"/>
  <c r="BN17" i="14" s="1"/>
  <c r="BM16" i="14"/>
  <c r="BN16" i="14" s="1"/>
  <c r="BM15" i="14"/>
  <c r="BN15" i="14" s="1"/>
  <c r="BM14" i="14"/>
  <c r="BN14" i="14" s="1"/>
  <c r="BM13" i="14"/>
  <c r="BN13" i="14" s="1"/>
  <c r="BM12" i="14"/>
  <c r="BN12" i="14" s="1"/>
  <c r="BM11" i="14"/>
  <c r="BN11" i="14" s="1"/>
  <c r="BM10" i="14"/>
  <c r="BN10" i="14" s="1"/>
  <c r="BM9" i="14"/>
  <c r="BN9" i="14" s="1"/>
  <c r="BM8" i="14"/>
  <c r="BN8" i="14" s="1"/>
  <c r="BM7" i="14"/>
  <c r="BN7" i="14" s="1"/>
  <c r="BM6" i="14"/>
  <c r="BN6" i="14" s="1"/>
  <c r="BM5" i="14"/>
  <c r="BN5" i="14" s="1"/>
  <c r="BM4" i="14"/>
  <c r="BN3" i="14"/>
  <c r="E21" i="11"/>
  <c r="D21" i="11"/>
  <c r="BJ32" i="14"/>
  <c r="BJ29" i="14"/>
  <c r="BJ28" i="14"/>
  <c r="BJ27" i="14"/>
  <c r="BJ26" i="14"/>
  <c r="BJ25" i="14"/>
  <c r="BJ24" i="14"/>
  <c r="BJ23" i="14"/>
  <c r="BJ22" i="14"/>
  <c r="BJ21" i="14"/>
  <c r="BJ20" i="14"/>
  <c r="BJ19" i="14"/>
  <c r="BJ18" i="14"/>
  <c r="BJ17" i="14"/>
  <c r="BJ16" i="14"/>
  <c r="BJ15" i="14"/>
  <c r="BJ14" i="14"/>
  <c r="BJ13" i="14"/>
  <c r="BJ12" i="14"/>
  <c r="BJ11" i="14"/>
  <c r="BJ10" i="14"/>
  <c r="BJ9" i="14"/>
  <c r="BJ8" i="14"/>
  <c r="BJ7" i="14"/>
  <c r="BJ6" i="14"/>
  <c r="BJ4" i="14"/>
  <c r="BJ3" i="14"/>
  <c r="BD33" i="14"/>
  <c r="E19" i="11" s="1"/>
  <c r="BC33" i="14"/>
  <c r="D19" i="11" s="1"/>
  <c r="BF31" i="14"/>
  <c r="BF30" i="14"/>
  <c r="BF29" i="14"/>
  <c r="BF28" i="14"/>
  <c r="BF27" i="14"/>
  <c r="BF26" i="14"/>
  <c r="BF25" i="14"/>
  <c r="BF24" i="14"/>
  <c r="BF23" i="14"/>
  <c r="BF21" i="14"/>
  <c r="BF19" i="14"/>
  <c r="BF17" i="14"/>
  <c r="BF16" i="14"/>
  <c r="BF15" i="14"/>
  <c r="BF13" i="14"/>
  <c r="BF12" i="14"/>
  <c r="BF10" i="14"/>
  <c r="BF9" i="14"/>
  <c r="BF8" i="14"/>
  <c r="BF7" i="14"/>
  <c r="BF6" i="14"/>
  <c r="BF5" i="14"/>
  <c r="BF4" i="14"/>
  <c r="BE3" i="14"/>
  <c r="BB3" i="14"/>
  <c r="AZ33" i="14"/>
  <c r="E18" i="11" s="1"/>
  <c r="AY33" i="14"/>
  <c r="D18" i="11" s="1"/>
  <c r="BA31" i="14"/>
  <c r="BB31" i="14" s="1"/>
  <c r="BB30" i="14"/>
  <c r="BB29" i="14"/>
  <c r="BB28" i="14"/>
  <c r="BB27" i="14"/>
  <c r="BB26" i="14"/>
  <c r="BB25" i="14"/>
  <c r="BB24" i="14"/>
  <c r="BB23" i="14"/>
  <c r="BB21" i="14"/>
  <c r="BB19" i="14"/>
  <c r="BB17" i="14"/>
  <c r="BB16" i="14"/>
  <c r="BB15" i="14"/>
  <c r="BB13" i="14"/>
  <c r="BB12" i="14"/>
  <c r="BB10" i="14"/>
  <c r="BB9" i="14"/>
  <c r="BB8" i="14"/>
  <c r="BB6" i="14"/>
  <c r="BB5" i="14"/>
  <c r="BB4" i="14"/>
  <c r="AV33" i="14"/>
  <c r="E17" i="11" s="1"/>
  <c r="AU33" i="14"/>
  <c r="D17" i="11" s="1"/>
  <c r="AX32" i="14"/>
  <c r="AX31" i="14"/>
  <c r="AX30" i="14"/>
  <c r="AX29" i="14"/>
  <c r="AX28" i="14"/>
  <c r="AX27" i="14"/>
  <c r="AX26" i="14"/>
  <c r="AX25" i="14"/>
  <c r="AX24" i="14"/>
  <c r="AX23" i="14"/>
  <c r="AX22" i="14"/>
  <c r="AX21" i="14"/>
  <c r="AX20" i="14"/>
  <c r="AX19" i="14"/>
  <c r="AX18" i="14"/>
  <c r="AX17" i="14"/>
  <c r="AX16" i="14"/>
  <c r="AX15" i="14"/>
  <c r="AX14" i="14"/>
  <c r="AX13" i="14"/>
  <c r="AX12" i="14"/>
  <c r="AX11" i="14"/>
  <c r="AX10" i="14"/>
  <c r="AX9" i="14"/>
  <c r="AX8" i="14"/>
  <c r="AX7" i="14"/>
  <c r="AX6" i="14"/>
  <c r="AX5" i="14"/>
  <c r="AX4" i="14"/>
  <c r="AW3" i="14"/>
  <c r="AX3" i="14" s="1"/>
  <c r="AQ33" i="14"/>
  <c r="D16" i="11" s="1"/>
  <c r="AR33" i="14"/>
  <c r="E16" i="11" s="1"/>
  <c r="AT32" i="14"/>
  <c r="AT31" i="14"/>
  <c r="AT30" i="14"/>
  <c r="AT29" i="14"/>
  <c r="AT28" i="14"/>
  <c r="AT27" i="14"/>
  <c r="AT26" i="14"/>
  <c r="AT25" i="14"/>
  <c r="AT24" i="14"/>
  <c r="AT23" i="14"/>
  <c r="AT22" i="14"/>
  <c r="AT21" i="14"/>
  <c r="AT20" i="14"/>
  <c r="AT19" i="14"/>
  <c r="AT18" i="14"/>
  <c r="AT17" i="14"/>
  <c r="AT16" i="14"/>
  <c r="AT15" i="14"/>
  <c r="AT14" i="14"/>
  <c r="AT13" i="14"/>
  <c r="AT12" i="14"/>
  <c r="AT11" i="14"/>
  <c r="AT10" i="14"/>
  <c r="AT9" i="14"/>
  <c r="AT8" i="14"/>
  <c r="AT7" i="14"/>
  <c r="AT6" i="14"/>
  <c r="AT5" i="14"/>
  <c r="AT4" i="14"/>
  <c r="AT3" i="14"/>
  <c r="AN33" i="14"/>
  <c r="E15" i="11" s="1"/>
  <c r="AM33" i="14"/>
  <c r="D15" i="11" s="1"/>
  <c r="AP32" i="14"/>
  <c r="AP31" i="14"/>
  <c r="AP30" i="14"/>
  <c r="AP29" i="14"/>
  <c r="AP28" i="14"/>
  <c r="AP27" i="14"/>
  <c r="AP26" i="14"/>
  <c r="AP25" i="14"/>
  <c r="AP24" i="14"/>
  <c r="AP23" i="14"/>
  <c r="AP22" i="14"/>
  <c r="AP21" i="14"/>
  <c r="AP20" i="14"/>
  <c r="AP19" i="14"/>
  <c r="AP18" i="14"/>
  <c r="AP17" i="14"/>
  <c r="AP16" i="14"/>
  <c r="AP15" i="14"/>
  <c r="AP14" i="14"/>
  <c r="AP13" i="14"/>
  <c r="AP12" i="14"/>
  <c r="AP11" i="14"/>
  <c r="AP10" i="14"/>
  <c r="AP9" i="14"/>
  <c r="AP8" i="14"/>
  <c r="AP7" i="14"/>
  <c r="AP6" i="14"/>
  <c r="AP5" i="14"/>
  <c r="AP4" i="14"/>
  <c r="AJ33" i="14"/>
  <c r="E14" i="11" s="1"/>
  <c r="AI33" i="14"/>
  <c r="D14" i="11" s="1"/>
  <c r="AK31" i="14"/>
  <c r="AL31" i="14" s="1"/>
  <c r="AL30" i="14"/>
  <c r="AL29" i="14"/>
  <c r="AL28" i="14"/>
  <c r="AL27" i="14"/>
  <c r="AL26" i="14"/>
  <c r="AL25" i="14"/>
  <c r="AL21" i="14"/>
  <c r="AL19" i="14"/>
  <c r="AK17" i="14"/>
  <c r="AL17" i="14" s="1"/>
  <c r="AK16" i="14"/>
  <c r="AL16" i="14" s="1"/>
  <c r="AL15" i="14"/>
  <c r="AL13" i="14"/>
  <c r="AL12" i="14"/>
  <c r="AL10" i="14"/>
  <c r="AL9" i="14"/>
  <c r="AL8" i="14"/>
  <c r="AL7" i="14"/>
  <c r="AL6" i="14"/>
  <c r="AL5" i="14"/>
  <c r="AL3" i="14"/>
  <c r="AF33" i="14"/>
  <c r="E13" i="11" s="1"/>
  <c r="AE33" i="14"/>
  <c r="D13" i="11" s="1"/>
  <c r="AH32" i="14"/>
  <c r="AH31" i="14"/>
  <c r="AH30" i="14"/>
  <c r="AH29" i="14"/>
  <c r="AH28" i="14"/>
  <c r="AH27" i="14"/>
  <c r="AH26" i="14"/>
  <c r="AH25" i="14"/>
  <c r="AH24" i="14"/>
  <c r="AH23" i="14"/>
  <c r="AH22" i="14"/>
  <c r="AH21" i="14"/>
  <c r="AH20" i="14"/>
  <c r="AH19" i="14"/>
  <c r="AH18" i="14"/>
  <c r="AG17" i="14"/>
  <c r="AH17" i="14" s="1"/>
  <c r="AG16" i="14"/>
  <c r="AH16" i="14" s="1"/>
  <c r="AG15" i="14"/>
  <c r="AH15" i="14" s="1"/>
  <c r="AG14" i="14"/>
  <c r="AH14" i="14" s="1"/>
  <c r="AH13" i="14"/>
  <c r="AH12" i="14"/>
  <c r="AH11" i="14"/>
  <c r="AH10" i="14"/>
  <c r="AH9" i="14"/>
  <c r="AH8" i="14"/>
  <c r="AH7" i="14"/>
  <c r="AH6" i="14"/>
  <c r="AH5" i="14"/>
  <c r="AH4" i="14"/>
  <c r="AH3" i="14"/>
  <c r="AC32" i="14"/>
  <c r="AD32" i="14" s="1"/>
  <c r="AC30" i="14"/>
  <c r="AD30" i="14" s="1"/>
  <c r="AC29" i="14"/>
  <c r="AD29" i="14" s="1"/>
  <c r="AC28" i="14"/>
  <c r="AD28" i="14" s="1"/>
  <c r="AC27" i="14"/>
  <c r="AD27" i="14" s="1"/>
  <c r="AC26" i="14"/>
  <c r="AD26" i="14" s="1"/>
  <c r="AD25" i="14"/>
  <c r="AC24" i="14"/>
  <c r="AD24" i="14" s="1"/>
  <c r="AC23" i="14"/>
  <c r="AD23" i="14" s="1"/>
  <c r="AC22" i="14"/>
  <c r="AD22" i="14" s="1"/>
  <c r="AC21" i="14"/>
  <c r="AD21" i="14" s="1"/>
  <c r="AC20" i="14"/>
  <c r="AD20" i="14" s="1"/>
  <c r="AD19" i="14"/>
  <c r="AC18" i="14"/>
  <c r="AD18" i="14" s="1"/>
  <c r="AD17" i="14"/>
  <c r="AC16" i="14"/>
  <c r="AD16" i="14" s="1"/>
  <c r="AC15" i="14"/>
  <c r="AD15" i="14" s="1"/>
  <c r="AC8" i="14"/>
  <c r="AD8" i="14" s="1"/>
  <c r="AD13" i="14"/>
  <c r="AD12" i="14"/>
  <c r="AC14" i="14"/>
  <c r="AD14" i="14" s="1"/>
  <c r="AC11" i="14"/>
  <c r="AD11" i="14" s="1"/>
  <c r="AD10" i="14"/>
  <c r="AC9" i="14"/>
  <c r="AD9" i="14" s="1"/>
  <c r="AD7" i="14"/>
  <c r="AD6" i="14"/>
  <c r="AC5" i="14"/>
  <c r="AD5" i="14" s="1"/>
  <c r="AC4" i="14"/>
  <c r="AD4" i="14" s="1"/>
  <c r="AD3" i="14"/>
  <c r="AB33" i="14"/>
  <c r="E12" i="11" s="1"/>
  <c r="AA33" i="14"/>
  <c r="D12" i="11" s="1"/>
  <c r="Y32" i="14"/>
  <c r="Y31" i="14"/>
  <c r="Y30" i="14"/>
  <c r="Y29" i="14"/>
  <c r="Y28" i="14"/>
  <c r="Y27" i="14"/>
  <c r="Y26" i="14"/>
  <c r="Y24" i="14"/>
  <c r="Y23" i="14"/>
  <c r="Y22" i="14"/>
  <c r="Y21" i="14"/>
  <c r="Y16" i="14"/>
  <c r="Y15" i="14"/>
  <c r="Y14" i="14"/>
  <c r="Y5" i="14"/>
  <c r="Y11" i="14"/>
  <c r="Y9" i="14"/>
  <c r="Y8" i="14"/>
  <c r="Y6" i="14"/>
  <c r="Y4" i="14"/>
  <c r="Y3" i="14"/>
  <c r="Y13" i="14"/>
  <c r="BR4" i="14" l="1"/>
  <c r="BQ33" i="14"/>
  <c r="F22" i="11" s="1"/>
  <c r="BZ4" i="14"/>
  <c r="BY33" i="14"/>
  <c r="F24" i="11" s="1"/>
  <c r="BV5" i="14"/>
  <c r="BU33" i="14"/>
  <c r="F23" i="11" s="1"/>
  <c r="BN4" i="14"/>
  <c r="BN33" i="14" s="1"/>
  <c r="BM33" i="14"/>
  <c r="F21" i="11" s="1"/>
  <c r="BR33" i="14"/>
  <c r="G22" i="11" s="1"/>
  <c r="HR33" i="14"/>
  <c r="G80" i="11" s="1"/>
  <c r="HL33" i="14"/>
  <c r="G77" i="11" s="1"/>
  <c r="HG33" i="14"/>
  <c r="G75" i="11" s="1"/>
  <c r="HC33" i="14"/>
  <c r="G74" i="11" s="1"/>
  <c r="GX33" i="14"/>
  <c r="G72" i="11" s="1"/>
  <c r="GT33" i="14"/>
  <c r="G71" i="11" s="1"/>
  <c r="GP33" i="14"/>
  <c r="G70" i="11" s="1"/>
  <c r="GL33" i="14"/>
  <c r="G69" i="11" s="1"/>
  <c r="GH33" i="14"/>
  <c r="G68" i="11" s="1"/>
  <c r="FS33" i="14"/>
  <c r="G62" i="11" s="1"/>
  <c r="BZ33" i="14"/>
  <c r="FY33" i="14"/>
  <c r="G65" i="11" s="1"/>
  <c r="CX33" i="14"/>
  <c r="G33" i="11" s="1"/>
  <c r="EH33" i="14"/>
  <c r="G42" i="11" s="1"/>
  <c r="DN33" i="14"/>
  <c r="G37" i="11" s="1"/>
  <c r="EL33" i="14"/>
  <c r="G43" i="11" s="1"/>
  <c r="AT33" i="14"/>
  <c r="G16" i="11" s="1"/>
  <c r="DF33" i="14"/>
  <c r="G35" i="11" s="1"/>
  <c r="DZ33" i="14"/>
  <c r="G40" i="11" s="1"/>
  <c r="EP33" i="14"/>
  <c r="G44" i="11" s="1"/>
  <c r="BE33" i="14"/>
  <c r="F19" i="11" s="1"/>
  <c r="DB33" i="14"/>
  <c r="G34" i="11" s="1"/>
  <c r="DJ33" i="14"/>
  <c r="G36" i="11" s="1"/>
  <c r="CP33" i="14"/>
  <c r="G28" i="11" s="1"/>
  <c r="BJ5" i="14"/>
  <c r="CT33" i="14"/>
  <c r="G29" i="11" s="1"/>
  <c r="DV33" i="14"/>
  <c r="G39" i="11" s="1"/>
  <c r="AX33" i="14"/>
  <c r="G17" i="11" s="1"/>
  <c r="BA33" i="14"/>
  <c r="F18" i="11" s="1"/>
  <c r="CD4" i="14"/>
  <c r="CD33" i="14" s="1"/>
  <c r="G25" i="11" s="1"/>
  <c r="F26" i="11"/>
  <c r="CL33" i="14"/>
  <c r="G27" i="11" s="1"/>
  <c r="DR33" i="14"/>
  <c r="G38" i="11" s="1"/>
  <c r="AH33" i="14"/>
  <c r="G13" i="11" s="1"/>
  <c r="AP3" i="14"/>
  <c r="AP33" i="14" s="1"/>
  <c r="G15" i="11" s="1"/>
  <c r="AO33" i="14"/>
  <c r="F15" i="11" s="1"/>
  <c r="AW33" i="14"/>
  <c r="F17" i="11" s="1"/>
  <c r="BF3" i="14"/>
  <c r="BV3" i="14"/>
  <c r="CK33" i="14"/>
  <c r="F27" i="11" s="1"/>
  <c r="AG33" i="14"/>
  <c r="F13" i="11" s="1"/>
  <c r="F20" i="11"/>
  <c r="CS33" i="14"/>
  <c r="F29" i="11" s="1"/>
  <c r="AL4" i="14"/>
  <c r="AL33" i="14" s="1"/>
  <c r="G14" i="11" s="1"/>
  <c r="AK33" i="14"/>
  <c r="F14" i="11" s="1"/>
  <c r="BB33" i="14"/>
  <c r="G18" i="11" s="1"/>
  <c r="F25" i="11"/>
  <c r="CH33" i="14"/>
  <c r="G26" i="11" s="1"/>
  <c r="CO33" i="14"/>
  <c r="F28" i="11" s="1"/>
  <c r="AS33" i="14"/>
  <c r="F16" i="11" s="1"/>
  <c r="ED33" i="14"/>
  <c r="G41" i="11" s="1"/>
  <c r="AC33" i="14"/>
  <c r="F12" i="11" s="1"/>
  <c r="AD33" i="14"/>
  <c r="G12" i="11" s="1"/>
  <c r="Y19" i="14"/>
  <c r="Y18" i="14"/>
  <c r="G21" i="11" l="1"/>
  <c r="G24" i="11"/>
  <c r="BV33" i="14"/>
  <c r="G23" i="11" s="1"/>
  <c r="BJ33" i="14"/>
  <c r="G20" i="11" s="1"/>
  <c r="BF33" i="14"/>
  <c r="G19" i="11" s="1"/>
  <c r="Z8" i="14"/>
  <c r="Z6" i="14"/>
  <c r="Y7" i="14"/>
  <c r="Z7" i="14" s="1"/>
  <c r="Y10" i="14"/>
  <c r="Z10" i="14" s="1"/>
  <c r="Z11" i="14"/>
  <c r="Y12" i="14"/>
  <c r="Z12" i="14" s="1"/>
  <c r="Z14" i="14"/>
  <c r="Z15" i="14"/>
  <c r="Z16" i="14"/>
  <c r="Y17" i="14"/>
  <c r="Z17" i="14" s="1"/>
  <c r="Z18" i="14"/>
  <c r="Z19" i="14"/>
  <c r="Y20" i="14"/>
  <c r="Z20" i="14" s="1"/>
  <c r="Z22" i="14"/>
  <c r="Z23" i="14"/>
  <c r="Z24" i="14"/>
  <c r="Y25" i="14"/>
  <c r="Z25" i="14" s="1"/>
  <c r="Z26" i="14"/>
  <c r="Z27" i="14"/>
  <c r="Z28" i="14"/>
  <c r="Z30" i="14"/>
  <c r="Z31" i="14"/>
  <c r="Z32" i="14"/>
  <c r="Z3" i="14"/>
  <c r="Z4" i="14"/>
  <c r="Z5" i="14"/>
  <c r="Z9" i="14"/>
  <c r="Z13" i="14"/>
  <c r="Z21" i="14"/>
  <c r="Z29" i="14"/>
  <c r="X33" i="14"/>
  <c r="E11" i="11" s="1"/>
  <c r="W33" i="14"/>
  <c r="D11" i="11" s="1"/>
  <c r="G10" i="11"/>
  <c r="R20" i="14"/>
  <c r="R21" i="14"/>
  <c r="R22" i="14"/>
  <c r="R23" i="14"/>
  <c r="R24" i="14"/>
  <c r="R25" i="14"/>
  <c r="R26" i="14"/>
  <c r="R27" i="14"/>
  <c r="R28" i="14"/>
  <c r="R29" i="14"/>
  <c r="R30" i="14"/>
  <c r="R31" i="14"/>
  <c r="R32" i="14"/>
  <c r="N33" i="14"/>
  <c r="O33" i="14"/>
  <c r="S33" i="14"/>
  <c r="E9" i="11" s="1"/>
  <c r="R19" i="14"/>
  <c r="R18" i="14"/>
  <c r="R17" i="14"/>
  <c r="R16" i="14"/>
  <c r="R15" i="14"/>
  <c r="R14" i="14"/>
  <c r="R13" i="14"/>
  <c r="R11" i="14"/>
  <c r="R5" i="14"/>
  <c r="R12" i="14"/>
  <c r="Y33" i="14" l="1"/>
  <c r="F11" i="11" s="1"/>
  <c r="Z33" i="14"/>
  <c r="G11" i="11" s="1"/>
  <c r="R10" i="14"/>
  <c r="R9" i="14"/>
  <c r="R8" i="14"/>
  <c r="R7" i="14"/>
  <c r="R6" i="14"/>
  <c r="R4" i="14"/>
  <c r="R3" i="14"/>
  <c r="R33" i="14" l="1"/>
  <c r="D9" i="11" s="1"/>
  <c r="IF1" i="14"/>
  <c r="IE1" i="14"/>
  <c r="ID1" i="14"/>
  <c r="IC1" i="14"/>
  <c r="IB1" i="14"/>
  <c r="IA1" i="14"/>
  <c r="HZ1" i="14"/>
  <c r="HY1" i="14"/>
  <c r="HX1" i="14"/>
  <c r="HW1" i="14"/>
  <c r="HV1" i="14"/>
  <c r="HU1" i="14"/>
  <c r="HT1" i="14"/>
  <c r="HS1" i="14"/>
  <c r="HO1" i="14"/>
  <c r="HN1" i="14"/>
  <c r="HM1" i="14"/>
  <c r="HI1" i="14"/>
  <c r="HH1" i="14"/>
  <c r="HD1" i="14"/>
  <c r="GZ1" i="14"/>
  <c r="GY1" i="14"/>
  <c r="GU1" i="14"/>
  <c r="GQ1" i="14"/>
  <c r="GM1" i="14"/>
  <c r="GI1" i="14"/>
  <c r="GE1" i="14"/>
  <c r="GA1" i="14"/>
  <c r="FZ1" i="14"/>
  <c r="FV1" i="14"/>
  <c r="FU1" i="14"/>
  <c r="FT1" i="14"/>
  <c r="FP1" i="14"/>
  <c r="FL1" i="14"/>
  <c r="FK1" i="14"/>
  <c r="FJ1" i="14"/>
  <c r="FH1" i="14"/>
  <c r="FF1" i="14"/>
  <c r="FD1" i="14"/>
  <c r="FB1" i="14"/>
  <c r="EZ1" i="14"/>
  <c r="EW1" i="14"/>
  <c r="ET1" i="14"/>
  <c r="EQ1" i="14"/>
  <c r="EM1" i="14"/>
  <c r="EI1" i="14"/>
  <c r="EE1" i="14"/>
  <c r="EA1" i="14"/>
  <c r="DW1" i="14"/>
  <c r="DS1" i="14"/>
  <c r="DO1" i="14"/>
  <c r="DK1" i="14"/>
  <c r="DG1" i="14"/>
  <c r="DC1" i="14"/>
  <c r="CY1" i="14"/>
  <c r="CU1" i="14"/>
  <c r="CQ1" i="14"/>
  <c r="CM1" i="14"/>
  <c r="CI1" i="14"/>
  <c r="CE1" i="14"/>
  <c r="CA1" i="14"/>
  <c r="BS1" i="14"/>
  <c r="BO1" i="14"/>
  <c r="BK1" i="14"/>
  <c r="BG1" i="14"/>
  <c r="BC1" i="14"/>
  <c r="AY1" i="14"/>
  <c r="AU1" i="14"/>
  <c r="AQ1" i="14"/>
  <c r="AM1" i="14"/>
  <c r="AI1" i="14"/>
  <c r="AE1" i="14"/>
  <c r="AA1" i="14"/>
  <c r="W1" i="14"/>
  <c r="P19" i="14" l="1"/>
  <c r="Q19" i="14" s="1"/>
  <c r="P17" i="14"/>
  <c r="Q17" i="14" s="1"/>
  <c r="P16" i="14"/>
  <c r="Q16" i="14" s="1"/>
  <c r="P15" i="14"/>
  <c r="Q15" i="14" s="1"/>
  <c r="P9" i="14"/>
  <c r="Q9" i="14" s="1"/>
  <c r="P10" i="14"/>
  <c r="Q10" i="14" s="1"/>
  <c r="P32" i="14"/>
  <c r="Q32" i="14" s="1"/>
  <c r="P24" i="14"/>
  <c r="Q24" i="14" s="1"/>
  <c r="P23" i="14"/>
  <c r="Q23" i="14" s="1"/>
  <c r="P22" i="14"/>
  <c r="Q22" i="14" s="1"/>
  <c r="P20" i="14"/>
  <c r="Q20" i="14" s="1"/>
  <c r="P18" i="14"/>
  <c r="Q18" i="14" s="1"/>
  <c r="P14" i="14"/>
  <c r="Q14" i="14" s="1"/>
  <c r="P11" i="14"/>
  <c r="Q11" i="14" s="1"/>
  <c r="P5" i="14"/>
  <c r="Q5" i="14" s="1"/>
  <c r="D8" i="11"/>
  <c r="E8" i="11"/>
  <c r="P8" i="14"/>
  <c r="Q8" i="14" s="1"/>
  <c r="P7" i="14"/>
  <c r="Q7" i="14" s="1"/>
  <c r="P6" i="14"/>
  <c r="Q6" i="14" s="1"/>
  <c r="P4" i="14"/>
  <c r="Q4" i="14" s="1"/>
  <c r="P3" i="14"/>
  <c r="K33" i="14"/>
  <c r="D7" i="11" s="1"/>
  <c r="I32" i="14"/>
  <c r="H32" i="14"/>
  <c r="I31" i="14"/>
  <c r="H30" i="14"/>
  <c r="H31" i="14"/>
  <c r="G31" i="14"/>
  <c r="G30" i="14"/>
  <c r="I30" i="14"/>
  <c r="I29" i="14"/>
  <c r="H29" i="14"/>
  <c r="G29" i="14"/>
  <c r="I28" i="14"/>
  <c r="H28" i="14"/>
  <c r="G28" i="14"/>
  <c r="I27" i="14"/>
  <c r="H27" i="14"/>
  <c r="G27" i="14"/>
  <c r="I26" i="14"/>
  <c r="H26" i="14"/>
  <c r="G26" i="14"/>
  <c r="I25" i="14"/>
  <c r="G25" i="14"/>
  <c r="I21" i="14"/>
  <c r="H21" i="14"/>
  <c r="I24" i="14"/>
  <c r="H24" i="14"/>
  <c r="I23" i="14"/>
  <c r="H23" i="14"/>
  <c r="I22" i="14"/>
  <c r="H22" i="14"/>
  <c r="I20" i="14"/>
  <c r="H20" i="14"/>
  <c r="I19" i="14"/>
  <c r="H19" i="14"/>
  <c r="G19" i="14"/>
  <c r="I18" i="14"/>
  <c r="H18" i="14"/>
  <c r="I17" i="14"/>
  <c r="H17" i="14"/>
  <c r="G17" i="14"/>
  <c r="I16" i="14"/>
  <c r="H16" i="14"/>
  <c r="G16" i="14"/>
  <c r="I15" i="14"/>
  <c r="G15" i="14"/>
  <c r="I14" i="14"/>
  <c r="H14" i="14"/>
  <c r="I13" i="14"/>
  <c r="I12" i="14"/>
  <c r="H13" i="14"/>
  <c r="H12" i="14"/>
  <c r="I11" i="14"/>
  <c r="H11" i="14"/>
  <c r="I10" i="14"/>
  <c r="J10" i="14" s="1"/>
  <c r="I9" i="14"/>
  <c r="I8" i="14"/>
  <c r="I7" i="14"/>
  <c r="J7" i="14" s="1"/>
  <c r="I6" i="14"/>
  <c r="J6" i="14" s="1"/>
  <c r="I5" i="14"/>
  <c r="I4" i="14"/>
  <c r="I3" i="14"/>
  <c r="J3" i="14" s="1"/>
  <c r="G9" i="14"/>
  <c r="G8" i="14"/>
  <c r="G5" i="14"/>
  <c r="G4" i="14"/>
  <c r="J5" i="14" l="1"/>
  <c r="J23" i="14"/>
  <c r="J21" i="14"/>
  <c r="J18" i="14"/>
  <c r="J24" i="14"/>
  <c r="Q3" i="14"/>
  <c r="J4" i="14"/>
  <c r="J11" i="14"/>
  <c r="J17" i="14"/>
  <c r="J16" i="14"/>
  <c r="J26" i="14"/>
  <c r="J13" i="14"/>
  <c r="J14" i="14"/>
  <c r="J19" i="14"/>
  <c r="J32" i="14"/>
  <c r="J8" i="14"/>
  <c r="J12" i="14"/>
  <c r="J9" i="14"/>
  <c r="J27" i="14"/>
  <c r="J28" i="14"/>
  <c r="J22" i="14"/>
  <c r="J15" i="14"/>
  <c r="J20" i="14"/>
  <c r="J25" i="14"/>
  <c r="J30" i="14"/>
  <c r="J31" i="14"/>
  <c r="J29" i="14"/>
  <c r="H33" i="14"/>
  <c r="E6" i="11" s="1"/>
  <c r="I33" i="14"/>
  <c r="F6" i="11" s="1"/>
  <c r="G33" i="14"/>
  <c r="D6" i="11" s="1"/>
  <c r="V1" i="14"/>
  <c r="R1" i="14"/>
  <c r="N1" i="14"/>
  <c r="K1" i="14"/>
  <c r="G1" i="14"/>
  <c r="F4" i="14"/>
  <c r="L4" i="14" s="1"/>
  <c r="F5" i="14"/>
  <c r="F6" i="14"/>
  <c r="L6" i="14" s="1"/>
  <c r="F7" i="14"/>
  <c r="L7" i="14" s="1"/>
  <c r="F8" i="14"/>
  <c r="F9" i="14"/>
  <c r="L9" i="14" s="1"/>
  <c r="F10" i="14"/>
  <c r="L10" i="14" s="1"/>
  <c r="F11" i="14"/>
  <c r="F12" i="14"/>
  <c r="F13" i="14"/>
  <c r="F14" i="14"/>
  <c r="F15" i="14"/>
  <c r="L15" i="14" s="1"/>
  <c r="F16" i="14"/>
  <c r="L16" i="14" s="1"/>
  <c r="F17" i="14"/>
  <c r="L17" i="14" s="1"/>
  <c r="F18" i="14"/>
  <c r="F19" i="14"/>
  <c r="L19" i="14" s="1"/>
  <c r="F20" i="14"/>
  <c r="L20" i="14" s="1"/>
  <c r="F21" i="14"/>
  <c r="F22" i="14"/>
  <c r="F23" i="14"/>
  <c r="F24" i="14"/>
  <c r="F25" i="14"/>
  <c r="L25" i="14" s="1"/>
  <c r="T25" i="14" s="1"/>
  <c r="U25" i="14" s="1"/>
  <c r="F26" i="14"/>
  <c r="F27" i="14"/>
  <c r="F28" i="14"/>
  <c r="F29" i="14"/>
  <c r="F30" i="14"/>
  <c r="F31" i="14"/>
  <c r="L31" i="14" s="1"/>
  <c r="T31" i="14" s="1"/>
  <c r="U31" i="14" s="1"/>
  <c r="F32" i="14"/>
  <c r="F3" i="14"/>
  <c r="L3" i="14" s="1"/>
  <c r="L28" i="14" l="1"/>
  <c r="T28" i="14" s="1"/>
  <c r="U28" i="14" s="1"/>
  <c r="FN28" i="14"/>
  <c r="FO28" i="14" s="1"/>
  <c r="L12" i="14"/>
  <c r="T12" i="14" s="1"/>
  <c r="U12" i="14" s="1"/>
  <c r="FN12" i="14"/>
  <c r="FO12" i="14" s="1"/>
  <c r="L32" i="14"/>
  <c r="T32" i="14" s="1"/>
  <c r="U32" i="14" s="1"/>
  <c r="FN32" i="14"/>
  <c r="FO32" i="14" s="1"/>
  <c r="L8" i="14"/>
  <c r="T8" i="14" s="1"/>
  <c r="U8" i="14" s="1"/>
  <c r="GC8" i="14"/>
  <c r="FN8" i="14"/>
  <c r="FO8" i="14" s="1"/>
  <c r="L27" i="14"/>
  <c r="T27" i="14" s="1"/>
  <c r="U27" i="14" s="1"/>
  <c r="FN27" i="14"/>
  <c r="FO27" i="14" s="1"/>
  <c r="L23" i="14"/>
  <c r="T23" i="14" s="1"/>
  <c r="U23" i="14" s="1"/>
  <c r="FN23" i="14"/>
  <c r="FO23" i="14" s="1"/>
  <c r="L11" i="14"/>
  <c r="M11" i="14" s="1"/>
  <c r="FN11" i="14"/>
  <c r="FO11" i="14" s="1"/>
  <c r="L29" i="14"/>
  <c r="T29" i="14" s="1"/>
  <c r="U29" i="14" s="1"/>
  <c r="FN29" i="14"/>
  <c r="FO29" i="14" s="1"/>
  <c r="L24" i="14"/>
  <c r="M24" i="14" s="1"/>
  <c r="FN24" i="14"/>
  <c r="FO24" i="14" s="1"/>
  <c r="L30" i="14"/>
  <c r="T30" i="14" s="1"/>
  <c r="U30" i="14" s="1"/>
  <c r="FN30" i="14"/>
  <c r="FO30" i="14" s="1"/>
  <c r="L26" i="14"/>
  <c r="T26" i="14" s="1"/>
  <c r="U26" i="14" s="1"/>
  <c r="FN26" i="14"/>
  <c r="FO26" i="14" s="1"/>
  <c r="L22" i="14"/>
  <c r="M22" i="14" s="1"/>
  <c r="FN22" i="14"/>
  <c r="FO22" i="14" s="1"/>
  <c r="L18" i="14"/>
  <c r="M18" i="14" s="1"/>
  <c r="FN18" i="14"/>
  <c r="FO18" i="14" s="1"/>
  <c r="L14" i="14"/>
  <c r="T14" i="14" s="1"/>
  <c r="U14" i="14" s="1"/>
  <c r="FN14" i="14"/>
  <c r="FO14" i="14" s="1"/>
  <c r="L21" i="14"/>
  <c r="T21" i="14" s="1"/>
  <c r="U21" i="14" s="1"/>
  <c r="FN21" i="14"/>
  <c r="FO21" i="14" s="1"/>
  <c r="L13" i="14"/>
  <c r="T13" i="14" s="1"/>
  <c r="U13" i="14" s="1"/>
  <c r="FN13" i="14"/>
  <c r="FO13" i="14" s="1"/>
  <c r="L5" i="14"/>
  <c r="M5" i="14" s="1"/>
  <c r="FN5" i="14"/>
  <c r="M20" i="14"/>
  <c r="T20" i="14"/>
  <c r="M16" i="14"/>
  <c r="T16" i="14"/>
  <c r="U16" i="14" s="1"/>
  <c r="M23" i="14"/>
  <c r="M19" i="14"/>
  <c r="T19" i="14"/>
  <c r="U19" i="14" s="1"/>
  <c r="M15" i="14"/>
  <c r="T15" i="14"/>
  <c r="U15" i="14" s="1"/>
  <c r="M14" i="14"/>
  <c r="M17" i="14"/>
  <c r="T17" i="14"/>
  <c r="U17" i="14" s="1"/>
  <c r="M10" i="14"/>
  <c r="T10" i="14"/>
  <c r="U10" i="14" s="1"/>
  <c r="M6" i="14"/>
  <c r="T6" i="14"/>
  <c r="U6" i="14" s="1"/>
  <c r="M8" i="14"/>
  <c r="M3" i="14"/>
  <c r="T3" i="14"/>
  <c r="U3" i="14" s="1"/>
  <c r="M9" i="14"/>
  <c r="T9" i="14"/>
  <c r="U9" i="14" s="1"/>
  <c r="M4" i="14"/>
  <c r="T4" i="14"/>
  <c r="U4" i="14" s="1"/>
  <c r="M7" i="14"/>
  <c r="T7" i="14"/>
  <c r="U7" i="14" s="1"/>
  <c r="M30" i="14"/>
  <c r="P30" i="14"/>
  <c r="Q30" i="14" s="1"/>
  <c r="P25" i="14"/>
  <c r="Q25" i="14" s="1"/>
  <c r="M25" i="14"/>
  <c r="P13" i="14"/>
  <c r="Q13" i="14" s="1"/>
  <c r="P12" i="14"/>
  <c r="P31" i="14"/>
  <c r="Q31" i="14" s="1"/>
  <c r="M31" i="14"/>
  <c r="P27" i="14"/>
  <c r="Q27" i="14" s="1"/>
  <c r="J33" i="14"/>
  <c r="G6" i="11" s="1"/>
  <c r="D110" i="13"/>
  <c r="E110" i="13"/>
  <c r="D111" i="13"/>
  <c r="E111" i="13"/>
  <c r="D112" i="13"/>
  <c r="E112" i="13"/>
  <c r="D113" i="13"/>
  <c r="E113" i="13"/>
  <c r="D109" i="13"/>
  <c r="E109" i="13"/>
  <c r="E108" i="13"/>
  <c r="D108" i="13"/>
  <c r="D17" i="13"/>
  <c r="D36" i="13"/>
  <c r="D14" i="13"/>
  <c r="D15" i="13"/>
  <c r="D16" i="13"/>
  <c r="D13" i="13"/>
  <c r="D22" i="13"/>
  <c r="D68" i="13"/>
  <c r="D35" i="13"/>
  <c r="D26" i="13"/>
  <c r="D10" i="13"/>
  <c r="D21" i="13"/>
  <c r="D67" i="13"/>
  <c r="D66" i="13"/>
  <c r="D8" i="13"/>
  <c r="D34" i="13"/>
  <c r="D65" i="13"/>
  <c r="D33" i="13"/>
  <c r="D32" i="13"/>
  <c r="D64" i="13"/>
  <c r="D63" i="13"/>
  <c r="D12" i="13"/>
  <c r="D82" i="13"/>
  <c r="D81" i="13"/>
  <c r="D62" i="13"/>
  <c r="D61" i="13"/>
  <c r="D60" i="13"/>
  <c r="E107" i="13"/>
  <c r="D107" i="13"/>
  <c r="E11" i="13"/>
  <c r="D11" i="13"/>
  <c r="E106" i="13"/>
  <c r="D106" i="13"/>
  <c r="E7" i="13"/>
  <c r="D7" i="13"/>
  <c r="D105" i="13"/>
  <c r="E105" i="13"/>
  <c r="E103" i="13"/>
  <c r="E104" i="13"/>
  <c r="D103" i="13"/>
  <c r="D104" i="13"/>
  <c r="E102" i="13"/>
  <c r="D102" i="13"/>
  <c r="D59" i="13"/>
  <c r="D92" i="13"/>
  <c r="D93" i="13"/>
  <c r="D94" i="13"/>
  <c r="D80" i="13"/>
  <c r="D23" i="13"/>
  <c r="D77" i="13"/>
  <c r="D20" i="13"/>
  <c r="D19" i="13"/>
  <c r="D18" i="13"/>
  <c r="D91" i="13"/>
  <c r="D76" i="13"/>
  <c r="D58" i="13"/>
  <c r="D57" i="13"/>
  <c r="D56" i="13"/>
  <c r="D6" i="13"/>
  <c r="D27" i="13"/>
  <c r="D55" i="13"/>
  <c r="D54" i="13"/>
  <c r="D53" i="13"/>
  <c r="D52" i="13"/>
  <c r="D51" i="13"/>
  <c r="D50" i="13"/>
  <c r="D49" i="13"/>
  <c r="D48" i="13"/>
  <c r="D47" i="13"/>
  <c r="D46" i="13"/>
  <c r="D45" i="13"/>
  <c r="D44" i="13"/>
  <c r="D43" i="13"/>
  <c r="D42" i="13"/>
  <c r="D101" i="13"/>
  <c r="D100" i="13"/>
  <c r="D41" i="13"/>
  <c r="D40" i="13"/>
  <c r="D39" i="13"/>
  <c r="D5" i="13"/>
  <c r="D8" i="8"/>
  <c r="M21" i="14" l="1"/>
  <c r="T22" i="14"/>
  <c r="U22" i="14" s="1"/>
  <c r="M32" i="14"/>
  <c r="M13" i="14"/>
  <c r="P29" i="14"/>
  <c r="Q29" i="14" s="1"/>
  <c r="M28" i="14"/>
  <c r="M12" i="14"/>
  <c r="M29" i="14"/>
  <c r="P26" i="14"/>
  <c r="Q26" i="14" s="1"/>
  <c r="T5" i="14"/>
  <c r="U5" i="14" s="1"/>
  <c r="T11" i="14"/>
  <c r="U11" i="14" s="1"/>
  <c r="T24" i="14"/>
  <c r="U24" i="14" s="1"/>
  <c r="T18" i="14"/>
  <c r="U18" i="14" s="1"/>
  <c r="L33" i="14"/>
  <c r="F7" i="11" s="1"/>
  <c r="M26" i="14"/>
  <c r="P28" i="14"/>
  <c r="Q28" i="14" s="1"/>
  <c r="M27" i="14"/>
  <c r="P21" i="14"/>
  <c r="Q21" i="14" s="1"/>
  <c r="GC33" i="14"/>
  <c r="F67" i="11" s="1"/>
  <c r="GD8" i="14"/>
  <c r="GD33" i="14" s="1"/>
  <c r="G67" i="11" s="1"/>
  <c r="FO5" i="14"/>
  <c r="FO33" i="14" s="1"/>
  <c r="G61" i="11" s="1"/>
  <c r="FN33" i="14"/>
  <c r="F61" i="11" s="1"/>
  <c r="U20" i="14"/>
  <c r="Q12" i="14"/>
  <c r="D85" i="13"/>
  <c r="D48" i="8"/>
  <c r="D46" i="8"/>
  <c r="D42" i="8"/>
  <c r="D40" i="8"/>
  <c r="C38" i="8"/>
  <c r="C42" i="8" s="1"/>
  <c r="L36" i="8"/>
  <c r="K34" i="8"/>
  <c r="D32" i="8"/>
  <c r="C32" i="8"/>
  <c r="J32" i="8" s="1"/>
  <c r="J28" i="8"/>
  <c r="D28" i="8"/>
  <c r="D44" i="8" s="1"/>
  <c r="K26" i="8"/>
  <c r="K48" i="8" s="1"/>
  <c r="K24" i="8"/>
  <c r="C22" i="8"/>
  <c r="P33" i="14" l="1"/>
  <c r="F8" i="11" s="1"/>
  <c r="U33" i="14"/>
  <c r="G9" i="11" s="1"/>
  <c r="M33" i="14"/>
  <c r="G7" i="11" s="1"/>
  <c r="T33" i="14"/>
  <c r="F9" i="11" s="1"/>
  <c r="Q33" i="14"/>
  <c r="G8" i="11" s="1"/>
  <c r="C26" i="8"/>
  <c r="C40" i="8"/>
  <c r="C24" i="8"/>
  <c r="D20" i="8" l="1"/>
  <c r="D16" i="8"/>
  <c r="K14" i="8"/>
  <c r="K12" i="8"/>
  <c r="J10" i="8"/>
  <c r="K20" i="8" s="1"/>
  <c r="E21" i="13"/>
  <c r="E10" i="13"/>
  <c r="E52" i="13"/>
  <c r="E53" i="13"/>
  <c r="E27" i="13"/>
  <c r="E6" i="13"/>
  <c r="E56" i="13"/>
  <c r="E57" i="13"/>
  <c r="E55" i="13" l="1"/>
  <c r="E54" i="13"/>
  <c r="J30" i="8"/>
  <c r="D30" i="8"/>
  <c r="C30" i="8"/>
  <c r="K18" i="8"/>
  <c r="D18" i="8"/>
  <c r="C18" i="8"/>
  <c r="F17" i="8" l="1"/>
  <c r="F29" i="8"/>
  <c r="G99" i="11" l="1"/>
  <c r="G85" i="11"/>
  <c r="E14" i="13" s="1"/>
  <c r="G86" i="11"/>
  <c r="E15" i="13" s="1"/>
  <c r="G87" i="11"/>
  <c r="E16" i="13" s="1"/>
  <c r="G88" i="11"/>
  <c r="E36" i="13" s="1"/>
  <c r="G89" i="11"/>
  <c r="E17" i="13" s="1"/>
  <c r="G84" i="11"/>
  <c r="E13" i="13" s="1"/>
  <c r="E81" i="13"/>
  <c r="G63" i="11"/>
  <c r="E82" i="13" s="1"/>
  <c r="G64" i="11"/>
  <c r="E12" i="13" s="1"/>
  <c r="E5" i="13"/>
  <c r="G66" i="11"/>
  <c r="E63" i="13" s="1"/>
  <c r="E64" i="13"/>
  <c r="E32" i="13"/>
  <c r="E33" i="13"/>
  <c r="E65" i="13"/>
  <c r="E34" i="13"/>
  <c r="E8" i="13"/>
  <c r="G73" i="11"/>
  <c r="E66" i="13" s="1"/>
  <c r="E67" i="13"/>
  <c r="E26" i="13"/>
  <c r="G78" i="11"/>
  <c r="E35" i="13" s="1"/>
  <c r="G79" i="11"/>
  <c r="E68" i="13" s="1"/>
  <c r="E22" i="13"/>
  <c r="E94" i="13"/>
  <c r="E23" i="13"/>
  <c r="E77" i="13"/>
  <c r="E93" i="13"/>
  <c r="E92" i="13"/>
  <c r="E20" i="13"/>
  <c r="E45" i="13"/>
  <c r="E58" i="13"/>
  <c r="E51" i="13"/>
  <c r="E50" i="13"/>
  <c r="E49" i="13"/>
  <c r="E47" i="13"/>
  <c r="E46" i="13"/>
  <c r="E44" i="13"/>
  <c r="E43" i="13"/>
  <c r="E42" i="13"/>
  <c r="E80" i="13" l="1"/>
  <c r="E59" i="13"/>
  <c r="G90" i="11"/>
  <c r="E62" i="13"/>
  <c r="G60" i="11"/>
  <c r="E61" i="13" s="1"/>
  <c r="G59" i="11"/>
  <c r="E60" i="13" s="1"/>
  <c r="G56" i="11"/>
  <c r="E19" i="13"/>
  <c r="E18" i="13"/>
  <c r="E85" i="13"/>
  <c r="E86" i="13" s="1"/>
  <c r="E91" i="13"/>
  <c r="E99" i="13" s="1"/>
  <c r="E76" i="13"/>
  <c r="E101" i="13"/>
  <c r="E100" i="13"/>
  <c r="E41" i="13"/>
  <c r="E40" i="13"/>
  <c r="E39" i="13"/>
  <c r="E126" i="13" l="1"/>
  <c r="J22" i="8" s="1"/>
  <c r="J24" i="8" s="1"/>
  <c r="K22" i="8"/>
  <c r="K28" i="8" s="1"/>
  <c r="J8" i="8"/>
  <c r="K16" i="8" s="1"/>
  <c r="J12" i="8"/>
  <c r="E38" i="13"/>
  <c r="J14" i="8" s="1"/>
  <c r="G81" i="11"/>
  <c r="G45" i="11"/>
  <c r="J26" i="8" l="1"/>
  <c r="M25" i="8" s="1"/>
  <c r="K44" i="8"/>
  <c r="K46" i="8"/>
  <c r="K30" i="8"/>
  <c r="M29" i="8" s="1"/>
  <c r="J18" i="8"/>
  <c r="M17" i="8" s="1"/>
  <c r="C48" i="8"/>
  <c r="F47" i="8" s="1"/>
  <c r="C46" i="8"/>
  <c r="F45" i="8" s="1"/>
  <c r="C44" i="8"/>
  <c r="F43" i="8" s="1"/>
  <c r="F41" i="8"/>
  <c r="F39" i="8"/>
  <c r="F37" i="8"/>
  <c r="K36" i="8"/>
  <c r="M27" i="8"/>
  <c r="F31" i="8"/>
  <c r="D36" i="8"/>
  <c r="C36" i="8"/>
  <c r="C34" i="8"/>
  <c r="F33" i="8" s="1"/>
  <c r="M23" i="8"/>
  <c r="M21" i="8"/>
  <c r="F27" i="8"/>
  <c r="F25" i="8"/>
  <c r="F23" i="8"/>
  <c r="F21" i="8"/>
  <c r="F35" i="8" l="1"/>
  <c r="M11" i="8"/>
  <c r="C20" i="8"/>
  <c r="F19" i="8" s="1"/>
  <c r="C16" i="8" l="1"/>
  <c r="F15" i="8" s="1"/>
  <c r="E14" i="8"/>
  <c r="F11" i="8"/>
  <c r="D10" i="8"/>
  <c r="F9" i="8" s="1"/>
  <c r="F7" i="8"/>
  <c r="F13" i="8" l="1"/>
  <c r="L14" i="8"/>
  <c r="M13" i="8" s="1"/>
  <c r="G30" i="11"/>
  <c r="G100" i="11" s="1"/>
  <c r="E48" i="13"/>
  <c r="E84" i="13" s="1"/>
  <c r="K38" i="8" l="1"/>
  <c r="K42" i="8" s="1"/>
  <c r="J38" i="8"/>
  <c r="J42" i="8" s="1"/>
  <c r="K32" i="8"/>
  <c r="M31" i="8" s="1"/>
  <c r="K8" i="8"/>
  <c r="K40" i="8" l="1"/>
  <c r="J44" i="8"/>
  <c r="M43" i="8" s="1"/>
  <c r="M37" i="8"/>
  <c r="J34" i="8"/>
  <c r="M33" i="8" s="1"/>
  <c r="J36" i="8"/>
  <c r="J20" i="8"/>
  <c r="M19" i="8" s="1"/>
  <c r="M7" i="8"/>
  <c r="K10" i="8"/>
  <c r="M9" i="8" s="1"/>
  <c r="J16" i="8"/>
  <c r="M15" i="8" s="1"/>
  <c r="M41" i="8"/>
  <c r="J46" i="8"/>
  <c r="M45" i="8" s="1"/>
  <c r="J48" i="8"/>
  <c r="M47" i="8" s="1"/>
  <c r="M35" i="8" l="1"/>
  <c r="J40" i="8"/>
  <c r="M39" i="8" s="1"/>
</calcChain>
</file>

<file path=xl/comments1.xml><?xml version="1.0" encoding="utf-8"?>
<comments xmlns="http://schemas.openxmlformats.org/spreadsheetml/2006/main">
  <authors>
    <author>salud</author>
    <author>eheieh</author>
  </authors>
  <commentList>
    <comment ref="V1" authorId="0">
      <text>
        <r>
          <rPr>
            <b/>
            <sz val="9"/>
            <color indexed="81"/>
            <rFont val="Tahoma"/>
            <family val="2"/>
          </rPr>
          <t>Esta variable se calcula a partir del regreso del trabajador y se analiza el desempeño durante el periodo de adpatación luego de la incapacidad, esto implica evaluar el impacto sobre el trabajo, los resultados esperados, las ventas, los recursos, en este caso no se cuenta con esta información debido a que la información se debe obtener luego de cada accidente.</t>
        </r>
      </text>
    </comment>
    <comment ref="FJ1" authorId="0">
      <text>
        <r>
          <rPr>
            <b/>
            <sz val="9"/>
            <color indexed="81"/>
            <rFont val="Tahoma"/>
            <family val="2"/>
          </rPr>
          <t>No se calculan por falta de datos</t>
        </r>
      </text>
    </comment>
    <comment ref="FK1" authorId="0">
      <text>
        <r>
          <rPr>
            <b/>
            <sz val="9"/>
            <color indexed="81"/>
            <rFont val="Tahoma"/>
            <family val="2"/>
          </rPr>
          <t>No se calculan por falta de datos</t>
        </r>
      </text>
    </comment>
    <comment ref="H3" authorId="1">
      <text>
        <r>
          <rPr>
            <sz val="9"/>
            <color indexed="81"/>
            <rFont val="Tahoma"/>
            <family val="2"/>
          </rPr>
          <t xml:space="preserve">Entrenador
</t>
        </r>
      </text>
    </comment>
    <comment ref="O3" authorId="1">
      <text>
        <r>
          <rPr>
            <b/>
            <sz val="9"/>
            <color indexed="81"/>
            <rFont val="Tahoma"/>
            <family val="2"/>
          </rPr>
          <t>Auxiliar administrativo</t>
        </r>
        <r>
          <rPr>
            <sz val="9"/>
            <color indexed="81"/>
            <rFont val="Tahoma"/>
            <family val="2"/>
          </rPr>
          <t xml:space="preserve">
</t>
        </r>
      </text>
    </comment>
    <comment ref="S3" authorId="1">
      <text>
        <r>
          <rPr>
            <b/>
            <sz val="9"/>
            <color indexed="81"/>
            <rFont val="Tahoma"/>
            <charset val="1"/>
          </rPr>
          <t>Se detiene el proceso porque es la única persona del área</t>
        </r>
        <r>
          <rPr>
            <sz val="9"/>
            <color indexed="81"/>
            <rFont val="Tahoma"/>
            <charset val="1"/>
          </rPr>
          <t xml:space="preserve">
</t>
        </r>
      </text>
    </comment>
    <comment ref="X3" authorId="0">
      <text>
        <r>
          <rPr>
            <b/>
            <sz val="9"/>
            <color indexed="81"/>
            <rFont val="Tahoma"/>
            <family val="2"/>
          </rPr>
          <t>Aux S.O y Aux. Deportes</t>
        </r>
      </text>
    </comment>
    <comment ref="AB3" authorId="0">
      <text>
        <r>
          <rPr>
            <b/>
            <sz val="9"/>
            <color indexed="81"/>
            <rFont val="Tahoma"/>
            <family val="2"/>
          </rPr>
          <t>Deportivo</t>
        </r>
      </text>
    </comment>
    <comment ref="H4" authorId="1">
      <text>
        <r>
          <rPr>
            <b/>
            <sz val="9"/>
            <color indexed="81"/>
            <rFont val="Tahoma"/>
            <family val="2"/>
          </rPr>
          <t>Técnico Diseño
Coordinador Diseño</t>
        </r>
        <r>
          <rPr>
            <sz val="9"/>
            <color indexed="81"/>
            <rFont val="Tahoma"/>
            <family val="2"/>
          </rPr>
          <t xml:space="preserve">
</t>
        </r>
      </text>
    </comment>
    <comment ref="O4" authorId="1">
      <text>
        <r>
          <rPr>
            <b/>
            <sz val="9"/>
            <color indexed="81"/>
            <rFont val="Tahoma"/>
            <family val="2"/>
          </rPr>
          <t>Técnico Diseño</t>
        </r>
      </text>
    </comment>
    <comment ref="S4" authorId="1">
      <text>
        <r>
          <rPr>
            <b/>
            <sz val="9"/>
            <color indexed="81"/>
            <rFont val="Tahoma"/>
            <charset val="1"/>
          </rPr>
          <t>El trabajador esta a cargo de un proceso y un grupo de maquinas</t>
        </r>
        <r>
          <rPr>
            <sz val="9"/>
            <color indexed="81"/>
            <rFont val="Tahoma"/>
            <charset val="1"/>
          </rPr>
          <t xml:space="preserve">
</t>
        </r>
      </text>
    </comment>
    <comment ref="X4" authorId="0">
      <text>
        <r>
          <rPr>
            <b/>
            <sz val="9"/>
            <color indexed="81"/>
            <rFont val="Tahoma"/>
            <family val="2"/>
          </rPr>
          <t>Técnico diseño y Aux. S.O</t>
        </r>
      </text>
    </comment>
    <comment ref="AB4" authorId="0">
      <text>
        <r>
          <rPr>
            <b/>
            <sz val="9"/>
            <color indexed="81"/>
            <rFont val="Tahoma"/>
            <family val="2"/>
          </rPr>
          <t>Tecnico II Diseño</t>
        </r>
      </text>
    </comment>
    <comment ref="H5" authorId="1">
      <text>
        <r>
          <rPr>
            <b/>
            <sz val="9"/>
            <color indexed="81"/>
            <rFont val="Tahoma"/>
            <family val="2"/>
          </rPr>
          <t>Jefe Inmediato
Coordinador Operación</t>
        </r>
        <r>
          <rPr>
            <sz val="9"/>
            <color indexed="81"/>
            <rFont val="Tahoma"/>
            <family val="2"/>
          </rPr>
          <t xml:space="preserve">
</t>
        </r>
      </text>
    </comment>
    <comment ref="O5" authorId="1">
      <text>
        <r>
          <rPr>
            <b/>
            <sz val="9"/>
            <color indexed="81"/>
            <rFont val="Tahoma"/>
            <family val="2"/>
          </rPr>
          <t>Auxiliar operativo</t>
        </r>
      </text>
    </comment>
    <comment ref="S5" authorId="1">
      <text>
        <r>
          <rPr>
            <b/>
            <sz val="9"/>
            <color indexed="81"/>
            <rFont val="Tahoma"/>
            <charset val="1"/>
          </rPr>
          <t>Sin paro en el proceso, las actividades las asumen los compañeros</t>
        </r>
      </text>
    </comment>
    <comment ref="X5" authorId="0">
      <text>
        <r>
          <rPr>
            <b/>
            <sz val="9"/>
            <color indexed="81"/>
            <rFont val="Tahoma"/>
            <family val="2"/>
          </rPr>
          <t>Jefe Inmediato y Aux. S.O</t>
        </r>
      </text>
    </comment>
    <comment ref="AB5" authorId="0">
      <text>
        <r>
          <rPr>
            <b/>
            <sz val="9"/>
            <color indexed="81"/>
            <rFont val="Tahoma"/>
            <family val="2"/>
          </rPr>
          <t>Compañeros que deben mover puntos de servicio para suplir la ausencia</t>
        </r>
      </text>
    </comment>
    <comment ref="H6" authorId="1">
      <text>
        <r>
          <rPr>
            <b/>
            <sz val="9"/>
            <color indexed="81"/>
            <rFont val="Tahoma"/>
            <family val="2"/>
          </rPr>
          <t>Entrenador</t>
        </r>
        <r>
          <rPr>
            <sz val="9"/>
            <color indexed="81"/>
            <rFont val="Tahoma"/>
            <family val="2"/>
          </rPr>
          <t xml:space="preserve">
</t>
        </r>
      </text>
    </comment>
    <comment ref="O6" authorId="1">
      <text>
        <r>
          <rPr>
            <b/>
            <sz val="9"/>
            <color indexed="81"/>
            <rFont val="Tahoma"/>
            <family val="2"/>
          </rPr>
          <t>Auxiliar administrativo</t>
        </r>
        <r>
          <rPr>
            <sz val="9"/>
            <color indexed="81"/>
            <rFont val="Tahoma"/>
            <family val="2"/>
          </rPr>
          <t xml:space="preserve">
</t>
        </r>
      </text>
    </comment>
    <comment ref="S6" authorId="1">
      <text>
        <r>
          <rPr>
            <b/>
            <sz val="9"/>
            <color indexed="81"/>
            <rFont val="Tahoma"/>
            <charset val="1"/>
          </rPr>
          <t>Se detienen las clases y los compromisos académicos del docente por el periodo de incapacidad.</t>
        </r>
        <r>
          <rPr>
            <sz val="9"/>
            <color indexed="81"/>
            <rFont val="Tahoma"/>
            <charset val="1"/>
          </rPr>
          <t xml:space="preserve">
</t>
        </r>
      </text>
    </comment>
    <comment ref="X6" authorId="0">
      <text>
        <r>
          <rPr>
            <b/>
            <sz val="9"/>
            <color indexed="81"/>
            <rFont val="Tahoma"/>
            <family val="2"/>
          </rPr>
          <t>Coordinador, Aux. Medico S.O</t>
        </r>
      </text>
    </comment>
    <comment ref="AB6" authorId="0">
      <text>
        <r>
          <rPr>
            <b/>
            <sz val="9"/>
            <color indexed="81"/>
            <rFont val="Tahoma"/>
            <family val="2"/>
          </rPr>
          <t>Deportivo</t>
        </r>
      </text>
    </comment>
    <comment ref="H7" authorId="1">
      <text>
        <r>
          <rPr>
            <b/>
            <sz val="9"/>
            <color indexed="81"/>
            <rFont val="Tahoma"/>
            <family val="2"/>
          </rPr>
          <t>Entrenador</t>
        </r>
      </text>
    </comment>
    <comment ref="O7" authorId="1">
      <text>
        <r>
          <rPr>
            <b/>
            <sz val="9"/>
            <color indexed="81"/>
            <rFont val="Tahoma"/>
            <family val="2"/>
          </rPr>
          <t>Auxiliar administrativo</t>
        </r>
        <r>
          <rPr>
            <sz val="9"/>
            <color indexed="81"/>
            <rFont val="Tahoma"/>
            <family val="2"/>
          </rPr>
          <t xml:space="preserve">
</t>
        </r>
      </text>
    </comment>
    <comment ref="S7" authorId="1">
      <text>
        <r>
          <rPr>
            <b/>
            <sz val="9"/>
            <color indexed="81"/>
            <rFont val="Tahoma"/>
            <charset val="1"/>
          </rPr>
          <t>Se detienen las clases y los compromisos académicos del docente por el periodo de incapacidad.</t>
        </r>
        <r>
          <rPr>
            <sz val="9"/>
            <color indexed="81"/>
            <rFont val="Tahoma"/>
            <charset val="1"/>
          </rPr>
          <t xml:space="preserve">
</t>
        </r>
      </text>
    </comment>
    <comment ref="X7" authorId="0">
      <text>
        <r>
          <rPr>
            <b/>
            <sz val="9"/>
            <color indexed="81"/>
            <rFont val="Tahoma"/>
            <family val="2"/>
          </rPr>
          <t>Coordinador S.O y Aux. S.O</t>
        </r>
      </text>
    </comment>
    <comment ref="AB7" authorId="0">
      <text>
        <r>
          <rPr>
            <b/>
            <sz val="9"/>
            <color indexed="81"/>
            <rFont val="Tahoma"/>
            <family val="2"/>
          </rPr>
          <t>Deportivo</t>
        </r>
      </text>
    </comment>
    <comment ref="H8" authorId="1">
      <text>
        <r>
          <rPr>
            <b/>
            <sz val="9"/>
            <color indexed="81"/>
            <rFont val="Tahoma"/>
            <family val="2"/>
          </rPr>
          <t>Coordinador Suelos
Técnicos Suelos (5)
Técnicos Maquinas (5)
Técnico Eléctrico
Técnico Telemática</t>
        </r>
        <r>
          <rPr>
            <sz val="9"/>
            <color indexed="81"/>
            <rFont val="Tahoma"/>
            <family val="2"/>
          </rPr>
          <t xml:space="preserve">
</t>
        </r>
      </text>
    </comment>
    <comment ref="O8" authorId="1">
      <text>
        <r>
          <rPr>
            <b/>
            <sz val="9"/>
            <color indexed="81"/>
            <rFont val="Tahoma"/>
            <family val="2"/>
          </rPr>
          <t>Técnico Laboratorios (5)</t>
        </r>
        <r>
          <rPr>
            <sz val="9"/>
            <color indexed="81"/>
            <rFont val="Tahoma"/>
            <family val="2"/>
          </rPr>
          <t xml:space="preserve">
</t>
        </r>
      </text>
    </comment>
    <comment ref="S8" authorId="1">
      <text>
        <r>
          <rPr>
            <b/>
            <sz val="9"/>
            <color indexed="81"/>
            <rFont val="Tahoma"/>
            <charset val="1"/>
          </rPr>
          <t>Se detienen los procesos por 20 días que están a cargo del empleado mientras se consigue un sustituto</t>
        </r>
        <r>
          <rPr>
            <sz val="9"/>
            <color indexed="81"/>
            <rFont val="Tahoma"/>
            <charset val="1"/>
          </rPr>
          <t xml:space="preserve">
</t>
        </r>
      </text>
    </comment>
    <comment ref="X8" authorId="0">
      <text>
        <r>
          <rPr>
            <b/>
            <sz val="9"/>
            <color indexed="81"/>
            <rFont val="Tahoma"/>
            <family val="2"/>
          </rPr>
          <t>Jefe, Aux, Medico y Coordinador S.O y 7 Brigadistas</t>
        </r>
      </text>
    </comment>
    <comment ref="AB8" authorId="0">
      <text>
        <r>
          <rPr>
            <b/>
            <sz val="9"/>
            <color indexed="81"/>
            <rFont val="Tahoma"/>
            <family val="2"/>
          </rPr>
          <t>Diseño 3, TPM 3, Maquinas 6, Mtto 5</t>
        </r>
      </text>
    </comment>
    <comment ref="H9" authorId="1">
      <text>
        <r>
          <rPr>
            <b/>
            <sz val="9"/>
            <color indexed="81"/>
            <rFont val="Tahoma"/>
            <family val="2"/>
          </rPr>
          <t>Coordinador Mantenimiento</t>
        </r>
        <r>
          <rPr>
            <sz val="9"/>
            <color indexed="81"/>
            <rFont val="Tahoma"/>
            <family val="2"/>
          </rPr>
          <t xml:space="preserve">
Líder mantenimiento
Auxiliar Operativo</t>
        </r>
      </text>
    </comment>
    <comment ref="O9" authorId="1">
      <text>
        <r>
          <rPr>
            <b/>
            <sz val="9"/>
            <color indexed="81"/>
            <rFont val="Tahoma"/>
            <family val="2"/>
          </rPr>
          <t>Auxiliar operativo</t>
        </r>
        <r>
          <rPr>
            <sz val="9"/>
            <color indexed="81"/>
            <rFont val="Tahoma"/>
            <family val="2"/>
          </rPr>
          <t xml:space="preserve">
</t>
        </r>
      </text>
    </comment>
    <comment ref="S9" authorId="1">
      <text>
        <r>
          <rPr>
            <b/>
            <sz val="9"/>
            <color indexed="81"/>
            <rFont val="Tahoma"/>
            <charset val="1"/>
          </rPr>
          <t>Se detienen las actividades de mantenimiento eléctrico por el periodo de incapacidad</t>
        </r>
        <r>
          <rPr>
            <sz val="9"/>
            <color indexed="81"/>
            <rFont val="Tahoma"/>
            <charset val="1"/>
          </rPr>
          <t xml:space="preserve">
</t>
        </r>
      </text>
    </comment>
    <comment ref="X9" authorId="0">
      <text>
        <r>
          <rPr>
            <b/>
            <sz val="9"/>
            <color indexed="81"/>
            <rFont val="Tahoma"/>
            <family val="2"/>
          </rPr>
          <t>Aux S.O</t>
        </r>
      </text>
    </comment>
    <comment ref="AB9" authorId="0">
      <text>
        <r>
          <rPr>
            <b/>
            <sz val="9"/>
            <color indexed="81"/>
            <rFont val="Tahoma"/>
            <family val="2"/>
          </rPr>
          <t>Compañero trabajo</t>
        </r>
      </text>
    </comment>
    <comment ref="H10" authorId="1">
      <text>
        <r>
          <rPr>
            <b/>
            <sz val="9"/>
            <color indexed="81"/>
            <rFont val="Tahoma"/>
            <family val="2"/>
          </rPr>
          <t>Entrenador</t>
        </r>
        <r>
          <rPr>
            <sz val="9"/>
            <color indexed="81"/>
            <rFont val="Tahoma"/>
            <family val="2"/>
          </rPr>
          <t xml:space="preserve">
</t>
        </r>
      </text>
    </comment>
    <comment ref="O10" authorId="1">
      <text>
        <r>
          <rPr>
            <b/>
            <sz val="9"/>
            <color indexed="81"/>
            <rFont val="Tahoma"/>
            <family val="2"/>
          </rPr>
          <t>Auxiliar administrativo</t>
        </r>
        <r>
          <rPr>
            <sz val="9"/>
            <color indexed="81"/>
            <rFont val="Tahoma"/>
            <family val="2"/>
          </rPr>
          <t xml:space="preserve">
</t>
        </r>
      </text>
    </comment>
    <comment ref="S10" authorId="0">
      <text>
        <r>
          <rPr>
            <b/>
            <sz val="9"/>
            <color indexed="81"/>
            <rFont val="Tahoma"/>
            <charset val="1"/>
          </rPr>
          <t>Las actividades se reparten entre compañeros de trabajo</t>
        </r>
      </text>
    </comment>
    <comment ref="X10" authorId="0">
      <text>
        <r>
          <rPr>
            <b/>
            <sz val="9"/>
            <color indexed="81"/>
            <rFont val="Tahoma"/>
            <family val="2"/>
          </rPr>
          <t>Coordinador y Aux S.O</t>
        </r>
      </text>
    </comment>
    <comment ref="AB10" authorId="0">
      <text>
        <r>
          <rPr>
            <b/>
            <sz val="9"/>
            <color indexed="81"/>
            <rFont val="Tahoma"/>
            <family val="2"/>
          </rPr>
          <t>Deportivo</t>
        </r>
      </text>
    </comment>
    <comment ref="H11" authorId="1">
      <text>
        <r>
          <rPr>
            <b/>
            <sz val="9"/>
            <color indexed="81"/>
            <rFont val="Tahoma"/>
            <family val="2"/>
          </rPr>
          <t>Jefe Inmediato 
Coordinador Operación</t>
        </r>
        <r>
          <rPr>
            <sz val="9"/>
            <color indexed="81"/>
            <rFont val="Tahoma"/>
            <family val="2"/>
          </rPr>
          <t xml:space="preserve">
</t>
        </r>
      </text>
    </comment>
    <comment ref="O11" authorId="1">
      <text>
        <r>
          <rPr>
            <b/>
            <sz val="9"/>
            <color indexed="81"/>
            <rFont val="Tahoma"/>
            <family val="2"/>
          </rPr>
          <t>Auxiliar operativo</t>
        </r>
      </text>
    </comment>
    <comment ref="S11" authorId="1">
      <text>
        <r>
          <rPr>
            <b/>
            <sz val="9"/>
            <color indexed="81"/>
            <rFont val="Tahoma"/>
            <charset val="1"/>
          </rPr>
          <t>Sin paro en el proceso, las actividades las asumen los compañeros</t>
        </r>
      </text>
    </comment>
    <comment ref="X11" authorId="0">
      <text>
        <r>
          <rPr>
            <b/>
            <sz val="9"/>
            <color indexed="81"/>
            <rFont val="Tahoma"/>
            <family val="2"/>
          </rPr>
          <t>Jefe Inmediato y Aux S.O</t>
        </r>
      </text>
    </comment>
    <comment ref="AB11" authorId="0">
      <text>
        <r>
          <rPr>
            <b/>
            <sz val="9"/>
            <color indexed="81"/>
            <rFont val="Tahoma"/>
            <family val="2"/>
          </rPr>
          <t>Compañeros que deben mover puntos de servicio para suplir la ausencia</t>
        </r>
      </text>
    </comment>
    <comment ref="H12" authorId="1">
      <text>
        <r>
          <rPr>
            <b/>
            <sz val="9"/>
            <color indexed="81"/>
            <rFont val="Tahoma"/>
            <family val="2"/>
          </rPr>
          <t>Jefe Inmediato
Jefe Geología</t>
        </r>
        <r>
          <rPr>
            <sz val="9"/>
            <color indexed="81"/>
            <rFont val="Tahoma"/>
            <family val="2"/>
          </rPr>
          <t xml:space="preserve">
</t>
        </r>
      </text>
    </comment>
    <comment ref="O12" authorId="1">
      <text>
        <r>
          <rPr>
            <b/>
            <sz val="9"/>
            <color indexed="81"/>
            <rFont val="Tahoma"/>
            <family val="2"/>
          </rPr>
          <t>Consultor</t>
        </r>
        <r>
          <rPr>
            <sz val="9"/>
            <color indexed="81"/>
            <rFont val="Tahoma"/>
            <family val="2"/>
          </rPr>
          <t xml:space="preserve">
</t>
        </r>
      </text>
    </comment>
    <comment ref="S12" authorId="0">
      <text>
        <r>
          <rPr>
            <sz val="9"/>
            <color indexed="81"/>
            <rFont val="Tahoma"/>
            <charset val="1"/>
          </rPr>
          <t xml:space="preserve">Se detienen las actividades del consultor hasta el fin de la incapacidad
</t>
        </r>
      </text>
    </comment>
    <comment ref="X12" authorId="0">
      <text>
        <r>
          <rPr>
            <b/>
            <sz val="9"/>
            <color indexed="81"/>
            <rFont val="Tahoma"/>
            <family val="2"/>
          </rPr>
          <t>Jefe Inmediato y Aux S.O</t>
        </r>
      </text>
    </comment>
    <comment ref="H13" authorId="1">
      <text>
        <r>
          <rPr>
            <b/>
            <sz val="9"/>
            <color indexed="81"/>
            <rFont val="Tahoma"/>
            <family val="2"/>
          </rPr>
          <t>Jefe Inmediato
Jefe Geología</t>
        </r>
        <r>
          <rPr>
            <sz val="9"/>
            <color indexed="81"/>
            <rFont val="Tahoma"/>
            <family val="2"/>
          </rPr>
          <t xml:space="preserve">
</t>
        </r>
      </text>
    </comment>
    <comment ref="O13" authorId="1">
      <text>
        <r>
          <rPr>
            <b/>
            <sz val="9"/>
            <color indexed="81"/>
            <rFont val="Tahoma"/>
            <family val="2"/>
          </rPr>
          <t>Consultor</t>
        </r>
        <r>
          <rPr>
            <sz val="9"/>
            <color indexed="81"/>
            <rFont val="Tahoma"/>
            <family val="2"/>
          </rPr>
          <t xml:space="preserve">
</t>
        </r>
      </text>
    </comment>
    <comment ref="S13" authorId="0">
      <text>
        <r>
          <rPr>
            <sz val="9"/>
            <color indexed="81"/>
            <rFont val="Tahoma"/>
            <charset val="1"/>
          </rPr>
          <t xml:space="preserve">Se detienen las actividades del consultor hasta el fin de la incapacidad
</t>
        </r>
      </text>
    </comment>
    <comment ref="X13" authorId="0">
      <text>
        <r>
          <rPr>
            <b/>
            <sz val="9"/>
            <color indexed="81"/>
            <rFont val="Tahoma"/>
            <family val="2"/>
          </rPr>
          <t>Prorroga</t>
        </r>
      </text>
    </comment>
    <comment ref="H14" authorId="1">
      <text>
        <r>
          <rPr>
            <b/>
            <sz val="9"/>
            <color indexed="81"/>
            <rFont val="Tahoma"/>
            <family val="2"/>
          </rPr>
          <t>Jefe Inmediato 
Coordinador Operación</t>
        </r>
        <r>
          <rPr>
            <sz val="9"/>
            <color indexed="81"/>
            <rFont val="Tahoma"/>
            <family val="2"/>
          </rPr>
          <t xml:space="preserve">
</t>
        </r>
      </text>
    </comment>
    <comment ref="O14" authorId="1">
      <text>
        <r>
          <rPr>
            <b/>
            <sz val="9"/>
            <color indexed="81"/>
            <rFont val="Tahoma"/>
            <family val="2"/>
          </rPr>
          <t>Auxiliar operativo</t>
        </r>
      </text>
    </comment>
    <comment ref="S14" authorId="1">
      <text>
        <r>
          <rPr>
            <b/>
            <sz val="9"/>
            <color indexed="81"/>
            <rFont val="Tahoma"/>
            <charset val="1"/>
          </rPr>
          <t>Sin paro en el proceso, las actividades las asumen los compañeros</t>
        </r>
      </text>
    </comment>
    <comment ref="X14" authorId="0">
      <text>
        <r>
          <rPr>
            <b/>
            <sz val="9"/>
            <color indexed="81"/>
            <rFont val="Tahoma"/>
            <charset val="1"/>
          </rPr>
          <t>Aux S.O y Jefe Inmediato</t>
        </r>
      </text>
    </comment>
    <comment ref="AB14" authorId="0">
      <text>
        <r>
          <rPr>
            <b/>
            <sz val="9"/>
            <color indexed="81"/>
            <rFont val="Tahoma"/>
            <family val="2"/>
          </rPr>
          <t>Compañeros que deben mover puntos de servicio para suplir la ausencia</t>
        </r>
      </text>
    </comment>
    <comment ref="H15" authorId="1">
      <text>
        <r>
          <rPr>
            <b/>
            <sz val="9"/>
            <color indexed="81"/>
            <rFont val="Tahoma"/>
            <family val="2"/>
          </rPr>
          <t>Jefe Consultorio
Auxiliar Administrativo</t>
        </r>
        <r>
          <rPr>
            <sz val="9"/>
            <color indexed="81"/>
            <rFont val="Tahoma"/>
            <family val="2"/>
          </rPr>
          <t xml:space="preserve">
</t>
        </r>
      </text>
    </comment>
    <comment ref="O15" authorId="1">
      <text>
        <r>
          <rPr>
            <b/>
            <sz val="9"/>
            <color indexed="81"/>
            <rFont val="Tahoma"/>
            <family val="2"/>
          </rPr>
          <t>Auxiliar Administrativo</t>
        </r>
        <r>
          <rPr>
            <sz val="9"/>
            <color indexed="81"/>
            <rFont val="Tahoma"/>
            <family val="2"/>
          </rPr>
          <t xml:space="preserve">
</t>
        </r>
      </text>
    </comment>
    <comment ref="S15" authorId="0">
      <text>
        <r>
          <rPr>
            <b/>
            <sz val="9"/>
            <color indexed="81"/>
            <rFont val="Tahoma"/>
            <charset val="1"/>
          </rPr>
          <t>Se detienen las actividades del cargo mientras el empleado regresa de incapacidad</t>
        </r>
      </text>
    </comment>
    <comment ref="X15" authorId="0">
      <text>
        <r>
          <rPr>
            <b/>
            <sz val="9"/>
            <color indexed="81"/>
            <rFont val="Tahoma"/>
            <charset val="1"/>
          </rPr>
          <t>Jefe Inmediato y Aux S.O</t>
        </r>
      </text>
    </comment>
    <comment ref="AB15" authorId="0">
      <text>
        <r>
          <rPr>
            <b/>
            <sz val="9"/>
            <color indexed="81"/>
            <rFont val="Tahoma"/>
            <family val="2"/>
          </rPr>
          <t>Aux administrativa, se asumen solo las actividades basicas</t>
        </r>
      </text>
    </comment>
    <comment ref="H16" authorId="1">
      <text>
        <r>
          <rPr>
            <b/>
            <sz val="9"/>
            <color indexed="81"/>
            <rFont val="Tahoma"/>
            <family val="2"/>
          </rPr>
          <t>Jefe Inmediato
Auxiliar Administrativo</t>
        </r>
        <r>
          <rPr>
            <sz val="9"/>
            <color indexed="81"/>
            <rFont val="Tahoma"/>
            <family val="2"/>
          </rPr>
          <t xml:space="preserve">
</t>
        </r>
      </text>
    </comment>
    <comment ref="O16" authorId="1">
      <text>
        <r>
          <rPr>
            <b/>
            <sz val="9"/>
            <color indexed="81"/>
            <rFont val="Tahoma"/>
            <family val="2"/>
          </rPr>
          <t>Auxiliar Administrativo</t>
        </r>
        <r>
          <rPr>
            <sz val="9"/>
            <color indexed="81"/>
            <rFont val="Tahoma"/>
            <family val="2"/>
          </rPr>
          <t xml:space="preserve">
</t>
        </r>
      </text>
    </comment>
    <comment ref="S16" authorId="0">
      <text>
        <r>
          <rPr>
            <b/>
            <sz val="9"/>
            <color indexed="81"/>
            <rFont val="Tahoma"/>
            <charset val="1"/>
          </rPr>
          <t>Se detienen las actividades del cargo mientras el empleado regresa de incapacidad</t>
        </r>
      </text>
    </comment>
    <comment ref="X16" authorId="0">
      <text>
        <r>
          <rPr>
            <b/>
            <sz val="9"/>
            <color indexed="81"/>
            <rFont val="Tahoma"/>
            <charset val="1"/>
          </rPr>
          <t>Jefe Inmediato y Aux S.O</t>
        </r>
      </text>
    </comment>
    <comment ref="AB16" authorId="0">
      <text>
        <r>
          <rPr>
            <b/>
            <sz val="9"/>
            <color indexed="81"/>
            <rFont val="Tahoma"/>
            <family val="2"/>
          </rPr>
          <t>Aux administrativa, se asumen solo las actividades basicas</t>
        </r>
      </text>
    </comment>
    <comment ref="H17" authorId="1">
      <text>
        <r>
          <rPr>
            <b/>
            <sz val="9"/>
            <color indexed="81"/>
            <rFont val="Tahoma"/>
            <family val="2"/>
          </rPr>
          <t>Jefe Inmediato
Auxiliar Administrativo (2)</t>
        </r>
      </text>
    </comment>
    <comment ref="O17" authorId="1">
      <text>
        <r>
          <rPr>
            <b/>
            <sz val="9"/>
            <color indexed="81"/>
            <rFont val="Tahoma"/>
            <family val="2"/>
          </rPr>
          <t>Auxiliar Administrativo</t>
        </r>
        <r>
          <rPr>
            <sz val="9"/>
            <color indexed="81"/>
            <rFont val="Tahoma"/>
            <family val="2"/>
          </rPr>
          <t xml:space="preserve">
</t>
        </r>
      </text>
    </comment>
    <comment ref="S17" authorId="0">
      <text>
        <r>
          <rPr>
            <b/>
            <sz val="9"/>
            <color indexed="81"/>
            <rFont val="Tahoma"/>
            <charset val="1"/>
          </rPr>
          <t>Se detienen las actividades del cargo mientras el empleado regresa de incapacidad</t>
        </r>
      </text>
    </comment>
    <comment ref="X17" authorId="0">
      <text>
        <r>
          <rPr>
            <b/>
            <sz val="9"/>
            <color indexed="81"/>
            <rFont val="Tahoma"/>
            <charset val="1"/>
          </rPr>
          <t>Jefe Inmediato y Aux S.O</t>
        </r>
      </text>
    </comment>
    <comment ref="H18" authorId="1">
      <text>
        <r>
          <rPr>
            <b/>
            <sz val="9"/>
            <color indexed="81"/>
            <rFont val="Tahoma"/>
            <family val="2"/>
          </rPr>
          <t>Jefe Inmediato 
Coordinador Operación</t>
        </r>
        <r>
          <rPr>
            <sz val="9"/>
            <color indexed="81"/>
            <rFont val="Tahoma"/>
            <family val="2"/>
          </rPr>
          <t xml:space="preserve">
</t>
        </r>
      </text>
    </comment>
    <comment ref="O18" authorId="1">
      <text>
        <r>
          <rPr>
            <b/>
            <sz val="9"/>
            <color indexed="81"/>
            <rFont val="Tahoma"/>
            <family val="2"/>
          </rPr>
          <t>Auxiliar operativo</t>
        </r>
      </text>
    </comment>
    <comment ref="S18" authorId="0">
      <text>
        <r>
          <rPr>
            <b/>
            <sz val="9"/>
            <color indexed="81"/>
            <rFont val="Tahoma"/>
            <charset val="1"/>
          </rPr>
          <t>Sin paro en el proceso, las actividades las asumen los compañeros</t>
        </r>
      </text>
    </comment>
    <comment ref="X18" authorId="0">
      <text>
        <r>
          <rPr>
            <b/>
            <sz val="9"/>
            <color indexed="81"/>
            <rFont val="Tahoma"/>
            <charset val="1"/>
          </rPr>
          <t>Jefe Inmediato y Aux S.O</t>
        </r>
      </text>
    </comment>
    <comment ref="AB18" authorId="0">
      <text>
        <r>
          <rPr>
            <b/>
            <sz val="9"/>
            <color indexed="81"/>
            <rFont val="Tahoma"/>
            <family val="2"/>
          </rPr>
          <t>Compañeros que deben mover puntos de servicio para suplir la ausencia</t>
        </r>
      </text>
    </comment>
    <comment ref="H19" authorId="1">
      <text>
        <r>
          <rPr>
            <b/>
            <sz val="9"/>
            <color indexed="81"/>
            <rFont val="Tahoma"/>
            <family val="2"/>
          </rPr>
          <t>Decano
Auxiliar Administrativo</t>
        </r>
      </text>
    </comment>
    <comment ref="O19" authorId="1">
      <text>
        <r>
          <rPr>
            <b/>
            <sz val="9"/>
            <color indexed="81"/>
            <rFont val="Tahoma"/>
            <family val="2"/>
          </rPr>
          <t>Auxiliar Administrativo</t>
        </r>
        <r>
          <rPr>
            <sz val="9"/>
            <color indexed="81"/>
            <rFont val="Tahoma"/>
            <family val="2"/>
          </rPr>
          <t xml:space="preserve">
</t>
        </r>
      </text>
    </comment>
    <comment ref="S19" authorId="0">
      <text>
        <r>
          <rPr>
            <b/>
            <sz val="9"/>
            <color indexed="81"/>
            <rFont val="Tahoma"/>
            <charset val="1"/>
          </rPr>
          <t>Se detienen las actividades del profesional hasta el regreso de incapacidad</t>
        </r>
      </text>
    </comment>
    <comment ref="X19" authorId="0">
      <text>
        <r>
          <rPr>
            <b/>
            <sz val="9"/>
            <color indexed="81"/>
            <rFont val="Tahoma"/>
            <charset val="1"/>
          </rPr>
          <t>Jefe Inmediato, Aux y Medico S.O</t>
        </r>
      </text>
    </comment>
    <comment ref="H20" authorId="1">
      <text>
        <r>
          <rPr>
            <b/>
            <sz val="9"/>
            <color indexed="81"/>
            <rFont val="Tahoma"/>
            <family val="2"/>
          </rPr>
          <t>Jefe Inmediato 
Coordinador Operación</t>
        </r>
        <r>
          <rPr>
            <sz val="9"/>
            <color indexed="81"/>
            <rFont val="Tahoma"/>
            <family val="2"/>
          </rPr>
          <t xml:space="preserve">
</t>
        </r>
      </text>
    </comment>
    <comment ref="O20" authorId="1">
      <text>
        <r>
          <rPr>
            <b/>
            <sz val="9"/>
            <color indexed="81"/>
            <rFont val="Tahoma"/>
            <family val="2"/>
          </rPr>
          <t>Auxiliar operativo</t>
        </r>
      </text>
    </comment>
    <comment ref="S20" authorId="0">
      <text>
        <r>
          <rPr>
            <b/>
            <sz val="9"/>
            <color indexed="81"/>
            <rFont val="Tahoma"/>
            <charset val="1"/>
          </rPr>
          <t>Se diluyen las responsabilidades del emlpleado en el resto del equipos de trabajo</t>
        </r>
      </text>
    </comment>
    <comment ref="X20" authorId="0">
      <text>
        <r>
          <rPr>
            <b/>
            <sz val="9"/>
            <color indexed="81"/>
            <rFont val="Tahoma"/>
            <charset val="1"/>
          </rPr>
          <t>Jefe Inmediato y Aux. S.O</t>
        </r>
      </text>
    </comment>
    <comment ref="AB20" authorId="0">
      <text>
        <r>
          <rPr>
            <b/>
            <sz val="9"/>
            <color indexed="81"/>
            <rFont val="Tahoma"/>
            <family val="2"/>
          </rPr>
          <t>Compañeros que deben mover puntos de servicio para suplir la ausencia</t>
        </r>
      </text>
    </comment>
    <comment ref="H21" authorId="1">
      <text>
        <r>
          <rPr>
            <b/>
            <sz val="9"/>
            <color indexed="81"/>
            <rFont val="Tahoma"/>
            <family val="2"/>
          </rPr>
          <t>Coordinador CAPF
Jefe CAPF</t>
        </r>
        <r>
          <rPr>
            <sz val="9"/>
            <color indexed="81"/>
            <rFont val="Tahoma"/>
            <family val="2"/>
          </rPr>
          <t xml:space="preserve">
</t>
        </r>
      </text>
    </comment>
    <comment ref="O21" authorId="1">
      <text>
        <r>
          <rPr>
            <b/>
            <sz val="9"/>
            <color indexed="81"/>
            <rFont val="Tahoma"/>
            <family val="2"/>
          </rPr>
          <t>Instructor</t>
        </r>
        <r>
          <rPr>
            <sz val="9"/>
            <color indexed="81"/>
            <rFont val="Tahoma"/>
            <family val="2"/>
          </rPr>
          <t xml:space="preserve">
</t>
        </r>
      </text>
    </comment>
    <comment ref="S21" authorId="0">
      <text>
        <r>
          <rPr>
            <b/>
            <sz val="9"/>
            <color indexed="81"/>
            <rFont val="Tahoma"/>
            <charset val="1"/>
          </rPr>
          <t>Se paran otros servicios no esenciales hasta el regreso del empleado</t>
        </r>
      </text>
    </comment>
    <comment ref="X21" authorId="0">
      <text>
        <r>
          <rPr>
            <b/>
            <sz val="9"/>
            <color indexed="81"/>
            <rFont val="Tahoma"/>
            <charset val="1"/>
          </rPr>
          <t>Jefe Inmediato y Aux. S.O</t>
        </r>
      </text>
    </comment>
    <comment ref="AB21" authorId="0">
      <text>
        <r>
          <rPr>
            <b/>
            <sz val="9"/>
            <color indexed="81"/>
            <rFont val="Tahoma"/>
            <family val="2"/>
          </rPr>
          <t>Entrenador, se asumen solo las actividades basicas</t>
        </r>
      </text>
    </comment>
    <comment ref="H22" authorId="1">
      <text>
        <r>
          <rPr>
            <b/>
            <sz val="9"/>
            <color indexed="81"/>
            <rFont val="Tahoma"/>
            <family val="2"/>
          </rPr>
          <t>Jefe Inmediato 
Coordinador Operación</t>
        </r>
        <r>
          <rPr>
            <sz val="9"/>
            <color indexed="81"/>
            <rFont val="Tahoma"/>
            <family val="2"/>
          </rPr>
          <t xml:space="preserve">
</t>
        </r>
      </text>
    </comment>
    <comment ref="O22" authorId="1">
      <text>
        <r>
          <rPr>
            <b/>
            <sz val="9"/>
            <color indexed="81"/>
            <rFont val="Tahoma"/>
            <family val="2"/>
          </rPr>
          <t>Auxiliar operativo</t>
        </r>
      </text>
    </comment>
    <comment ref="S22" authorId="0">
      <text>
        <r>
          <rPr>
            <b/>
            <sz val="9"/>
            <color indexed="81"/>
            <rFont val="Tahoma"/>
            <charset val="1"/>
          </rPr>
          <t>No se detiene el proceso, las responsabilidades las asumen los compañeros del proceso</t>
        </r>
      </text>
    </comment>
    <comment ref="X22" authorId="0">
      <text>
        <r>
          <rPr>
            <b/>
            <sz val="9"/>
            <color indexed="81"/>
            <rFont val="Tahoma"/>
            <charset val="1"/>
          </rPr>
          <t>Jefe Inmediato y Aux. S.O</t>
        </r>
      </text>
    </comment>
    <comment ref="AB22" authorId="0">
      <text>
        <r>
          <rPr>
            <b/>
            <sz val="9"/>
            <color indexed="81"/>
            <rFont val="Tahoma"/>
            <family val="2"/>
          </rPr>
          <t>Compañeros que deben mover puntos de servicio para suplir la ausencia</t>
        </r>
      </text>
    </comment>
    <comment ref="H23" authorId="1">
      <text>
        <r>
          <rPr>
            <b/>
            <sz val="9"/>
            <color indexed="81"/>
            <rFont val="Tahoma"/>
            <family val="2"/>
          </rPr>
          <t>Jefe Inmediato 
Coordinador Operación</t>
        </r>
        <r>
          <rPr>
            <sz val="9"/>
            <color indexed="81"/>
            <rFont val="Tahoma"/>
            <family val="2"/>
          </rPr>
          <t xml:space="preserve">
</t>
        </r>
      </text>
    </comment>
    <comment ref="O23" authorId="1">
      <text>
        <r>
          <rPr>
            <b/>
            <sz val="9"/>
            <color indexed="81"/>
            <rFont val="Tahoma"/>
            <family val="2"/>
          </rPr>
          <t>Auxiliar operativo</t>
        </r>
      </text>
    </comment>
    <comment ref="S23" authorId="0">
      <text>
        <r>
          <rPr>
            <b/>
            <sz val="9"/>
            <color indexed="81"/>
            <rFont val="Tahoma"/>
            <charset val="1"/>
          </rPr>
          <t>No se detiene el proceso, las responsabilidades las asumen los compañeros del proceso</t>
        </r>
      </text>
    </comment>
    <comment ref="X23" authorId="0">
      <text>
        <r>
          <rPr>
            <b/>
            <sz val="9"/>
            <color indexed="81"/>
            <rFont val="Tahoma"/>
            <charset val="1"/>
          </rPr>
          <t>Prorroga</t>
        </r>
      </text>
    </comment>
    <comment ref="AB23" authorId="0">
      <text>
        <r>
          <rPr>
            <b/>
            <sz val="9"/>
            <color indexed="81"/>
            <rFont val="Tahoma"/>
            <family val="2"/>
          </rPr>
          <t>Compañeros que deben mover puntos de servicio para suplir la ausencia</t>
        </r>
      </text>
    </comment>
    <comment ref="H24" authorId="1">
      <text>
        <r>
          <rPr>
            <b/>
            <sz val="9"/>
            <color indexed="81"/>
            <rFont val="Tahoma"/>
            <family val="2"/>
          </rPr>
          <t>Jefe Inmediato 
Coordinador Operación</t>
        </r>
        <r>
          <rPr>
            <sz val="9"/>
            <color indexed="81"/>
            <rFont val="Tahoma"/>
            <family val="2"/>
          </rPr>
          <t xml:space="preserve">
</t>
        </r>
      </text>
    </comment>
    <comment ref="O24" authorId="1">
      <text>
        <r>
          <rPr>
            <b/>
            <sz val="9"/>
            <color indexed="81"/>
            <rFont val="Tahoma"/>
            <family val="2"/>
          </rPr>
          <t>Auxiliar operativo</t>
        </r>
      </text>
    </comment>
    <comment ref="S24" authorId="0">
      <text>
        <r>
          <rPr>
            <b/>
            <sz val="9"/>
            <color indexed="81"/>
            <rFont val="Tahoma"/>
            <charset val="1"/>
          </rPr>
          <t>No se detiene el proceso, las responsabilidades las asumen los compañeros del proceso</t>
        </r>
      </text>
    </comment>
    <comment ref="X24" authorId="0">
      <text>
        <r>
          <rPr>
            <b/>
            <sz val="9"/>
            <color indexed="81"/>
            <rFont val="Tahoma"/>
            <charset val="1"/>
          </rPr>
          <t>Prorroga</t>
        </r>
      </text>
    </comment>
    <comment ref="AB24" authorId="0">
      <text>
        <r>
          <rPr>
            <b/>
            <sz val="9"/>
            <color indexed="81"/>
            <rFont val="Tahoma"/>
            <family val="2"/>
          </rPr>
          <t>Compañeros que deben mover puntos de servicio para suplir la ausencia</t>
        </r>
      </text>
    </comment>
    <comment ref="H25" authorId="1">
      <text>
        <r>
          <rPr>
            <b/>
            <sz val="9"/>
            <color indexed="81"/>
            <rFont val="Tahoma"/>
            <family val="2"/>
          </rPr>
          <t>Coordinador Mantenimiento</t>
        </r>
        <r>
          <rPr>
            <sz val="9"/>
            <color indexed="81"/>
            <rFont val="Tahoma"/>
            <family val="2"/>
          </rPr>
          <t xml:space="preserve">
Líder mantenimiento
Auxiliar Operativo</t>
        </r>
      </text>
    </comment>
    <comment ref="O25" authorId="1">
      <text>
        <r>
          <rPr>
            <b/>
            <sz val="9"/>
            <color indexed="81"/>
            <rFont val="Tahoma"/>
            <family val="2"/>
          </rPr>
          <t>Auxiliar operativo</t>
        </r>
        <r>
          <rPr>
            <sz val="9"/>
            <color indexed="81"/>
            <rFont val="Tahoma"/>
            <family val="2"/>
          </rPr>
          <t xml:space="preserve">
</t>
        </r>
      </text>
    </comment>
    <comment ref="S25" authorId="0">
      <text>
        <r>
          <rPr>
            <b/>
            <sz val="9"/>
            <color indexed="81"/>
            <rFont val="Tahoma"/>
            <charset val="1"/>
          </rPr>
          <t>Se detiene el proceso hasta el regreso del empleado de la incapacidad</t>
        </r>
      </text>
    </comment>
    <comment ref="X25" authorId="0">
      <text>
        <r>
          <rPr>
            <b/>
            <sz val="9"/>
            <color indexed="81"/>
            <rFont val="Tahoma"/>
            <charset val="1"/>
          </rPr>
          <t>Coordinador Mtto y Aux. S.O</t>
        </r>
      </text>
    </comment>
    <comment ref="H26" authorId="1">
      <text>
        <r>
          <rPr>
            <b/>
            <sz val="9"/>
            <color indexed="81"/>
            <rFont val="Tahoma"/>
            <family val="2"/>
          </rPr>
          <t>Coordinador Investigación</t>
        </r>
        <r>
          <rPr>
            <sz val="9"/>
            <color indexed="81"/>
            <rFont val="Tahoma"/>
            <family val="2"/>
          </rPr>
          <t xml:space="preserve">
Coordinador Proyecto
Asistente Investigación</t>
        </r>
      </text>
    </comment>
    <comment ref="O26" authorId="1">
      <text>
        <r>
          <rPr>
            <b/>
            <sz val="9"/>
            <color indexed="81"/>
            <rFont val="Tahoma"/>
            <family val="2"/>
          </rPr>
          <t>Asistente Investigación</t>
        </r>
      </text>
    </comment>
    <comment ref="S26" authorId="0">
      <text>
        <r>
          <rPr>
            <b/>
            <sz val="9"/>
            <color indexed="81"/>
            <rFont val="Tahoma"/>
            <charset val="1"/>
          </rPr>
          <t>Se detiene el proceso hasta el regreso de incapacidad del investigador</t>
        </r>
      </text>
    </comment>
    <comment ref="X26" authorId="0">
      <text>
        <r>
          <rPr>
            <b/>
            <sz val="9"/>
            <color indexed="81"/>
            <rFont val="Tahoma"/>
            <charset val="1"/>
          </rPr>
          <t>Jefe Inmediato, Aux. Coord S.O, entrenador</t>
        </r>
      </text>
    </comment>
    <comment ref="AB26" authorId="0">
      <text>
        <r>
          <rPr>
            <b/>
            <sz val="9"/>
            <color indexed="81"/>
            <rFont val="Tahoma"/>
            <family val="2"/>
          </rPr>
          <t>Asistentes de investigación que asumen los roles basicos</t>
        </r>
      </text>
    </comment>
    <comment ref="H27" authorId="1">
      <text>
        <r>
          <rPr>
            <b/>
            <sz val="9"/>
            <color indexed="81"/>
            <rFont val="Tahoma"/>
            <family val="2"/>
          </rPr>
          <t>Coordinador Investigación</t>
        </r>
        <r>
          <rPr>
            <sz val="9"/>
            <color indexed="81"/>
            <rFont val="Tahoma"/>
            <family val="2"/>
          </rPr>
          <t xml:space="preserve">
Coordinador Proyecto
Asistente Investigación</t>
        </r>
      </text>
    </comment>
    <comment ref="O27" authorId="1">
      <text>
        <r>
          <rPr>
            <b/>
            <sz val="9"/>
            <color indexed="81"/>
            <rFont val="Tahoma"/>
            <family val="2"/>
          </rPr>
          <t>Asistente Investigación</t>
        </r>
      </text>
    </comment>
    <comment ref="S27" authorId="0">
      <text>
        <r>
          <rPr>
            <b/>
            <sz val="9"/>
            <color indexed="81"/>
            <rFont val="Tahoma"/>
            <charset val="1"/>
          </rPr>
          <t>Se detiene el proceso hasta el regreso de incapacidad del investigador</t>
        </r>
      </text>
    </comment>
    <comment ref="AB27" authorId="0">
      <text>
        <r>
          <rPr>
            <b/>
            <sz val="9"/>
            <color indexed="81"/>
            <rFont val="Tahoma"/>
            <family val="2"/>
          </rPr>
          <t>Asistentes de investigación que asumen los roles basicos</t>
        </r>
      </text>
    </comment>
    <comment ref="H28" authorId="1">
      <text>
        <r>
          <rPr>
            <b/>
            <sz val="9"/>
            <color indexed="81"/>
            <rFont val="Tahoma"/>
            <family val="2"/>
          </rPr>
          <t>Coordinador Investigación</t>
        </r>
        <r>
          <rPr>
            <sz val="9"/>
            <color indexed="81"/>
            <rFont val="Tahoma"/>
            <family val="2"/>
          </rPr>
          <t xml:space="preserve">
Coordinador Proyecto
Asistente Investigación</t>
        </r>
      </text>
    </comment>
    <comment ref="O28" authorId="1">
      <text>
        <r>
          <rPr>
            <b/>
            <sz val="9"/>
            <color indexed="81"/>
            <rFont val="Tahoma"/>
            <family val="2"/>
          </rPr>
          <t>Asistente Investigación</t>
        </r>
      </text>
    </comment>
    <comment ref="S28" authorId="0">
      <text>
        <r>
          <rPr>
            <b/>
            <sz val="9"/>
            <color indexed="81"/>
            <rFont val="Tahoma"/>
            <charset val="1"/>
          </rPr>
          <t>Se detiene el proceso hasta el regreso de incapacidad del investigador</t>
        </r>
      </text>
    </comment>
    <comment ref="AB28" authorId="0">
      <text>
        <r>
          <rPr>
            <b/>
            <sz val="9"/>
            <color indexed="81"/>
            <rFont val="Tahoma"/>
            <family val="2"/>
          </rPr>
          <t>Asistentes de investigación que asumen los roles basicos</t>
        </r>
      </text>
    </comment>
    <comment ref="H29" authorId="1">
      <text>
        <r>
          <rPr>
            <b/>
            <sz val="9"/>
            <color indexed="81"/>
            <rFont val="Tahoma"/>
            <family val="2"/>
          </rPr>
          <t>Coordinador aseo
Auxiliar operativo</t>
        </r>
        <r>
          <rPr>
            <sz val="9"/>
            <color indexed="81"/>
            <rFont val="Tahoma"/>
            <family val="2"/>
          </rPr>
          <t xml:space="preserve">
Practicante aseo</t>
        </r>
      </text>
    </comment>
    <comment ref="S29" authorId="0">
      <text>
        <r>
          <rPr>
            <b/>
            <sz val="9"/>
            <color indexed="81"/>
            <rFont val="Tahoma"/>
            <charset val="1"/>
          </rPr>
          <t xml:space="preserve">No se detiene el proceso, se consigue un sustituto </t>
        </r>
      </text>
    </comment>
    <comment ref="X29" authorId="0">
      <text>
        <r>
          <rPr>
            <b/>
            <sz val="9"/>
            <color indexed="81"/>
            <rFont val="Tahoma"/>
            <charset val="1"/>
          </rPr>
          <t>Aux S.O y Aseo</t>
        </r>
      </text>
    </comment>
    <comment ref="AB29" authorId="0">
      <text>
        <r>
          <rPr>
            <b/>
            <sz val="9"/>
            <color indexed="81"/>
            <rFont val="Tahoma"/>
            <family val="2"/>
          </rPr>
          <t>Persona que asume el servicio mientras llega sustituto</t>
        </r>
      </text>
    </comment>
    <comment ref="H30" authorId="1">
      <text>
        <r>
          <rPr>
            <b/>
            <sz val="9"/>
            <color indexed="81"/>
            <rFont val="Tahoma"/>
            <family val="2"/>
          </rPr>
          <t>Coordinador aseo
Auxiliar operativo</t>
        </r>
        <r>
          <rPr>
            <sz val="9"/>
            <color indexed="81"/>
            <rFont val="Tahoma"/>
            <family val="2"/>
          </rPr>
          <t xml:space="preserve">
Practicante aseo</t>
        </r>
      </text>
    </comment>
    <comment ref="S30" authorId="0">
      <text>
        <r>
          <rPr>
            <b/>
            <sz val="9"/>
            <color indexed="81"/>
            <rFont val="Tahoma"/>
            <charset val="1"/>
          </rPr>
          <t xml:space="preserve">No se detiene el proceso, se consigue un sustituto </t>
        </r>
      </text>
    </comment>
    <comment ref="AB30" authorId="0">
      <text>
        <r>
          <rPr>
            <b/>
            <sz val="9"/>
            <color indexed="81"/>
            <rFont val="Tahoma"/>
            <family val="2"/>
          </rPr>
          <t>Persona que asume el servicio mientras llega sustituto</t>
        </r>
      </text>
    </comment>
    <comment ref="H31" authorId="1">
      <text>
        <r>
          <rPr>
            <b/>
            <sz val="9"/>
            <color indexed="81"/>
            <rFont val="Tahoma"/>
            <family val="2"/>
          </rPr>
          <t>Coordinador Biblioteca
Jefe inmediato</t>
        </r>
        <r>
          <rPr>
            <sz val="9"/>
            <color indexed="81"/>
            <rFont val="Tahoma"/>
            <family val="2"/>
          </rPr>
          <t xml:space="preserve">
</t>
        </r>
      </text>
    </comment>
    <comment ref="S31" authorId="0">
      <text>
        <r>
          <rPr>
            <b/>
            <sz val="9"/>
            <color indexed="81"/>
            <rFont val="Tahoma"/>
            <family val="2"/>
          </rPr>
          <t>Se detiene el proceso hasta el regreso del empleado de la incapacidad</t>
        </r>
      </text>
    </comment>
    <comment ref="X31" authorId="0">
      <text>
        <r>
          <rPr>
            <b/>
            <sz val="9"/>
            <color indexed="81"/>
            <rFont val="Tahoma"/>
            <charset val="1"/>
          </rPr>
          <t>Jefe Inmediato y Aux. S.O</t>
        </r>
      </text>
    </comment>
    <comment ref="H32" authorId="1">
      <text>
        <r>
          <rPr>
            <b/>
            <sz val="9"/>
            <color indexed="81"/>
            <rFont val="Tahoma"/>
            <family val="2"/>
          </rPr>
          <t>Jefe Inmediato 
Coordinador Operación</t>
        </r>
        <r>
          <rPr>
            <sz val="9"/>
            <color indexed="81"/>
            <rFont val="Tahoma"/>
            <family val="2"/>
          </rPr>
          <t xml:space="preserve">
</t>
        </r>
      </text>
    </comment>
    <comment ref="O32" authorId="1">
      <text>
        <r>
          <rPr>
            <b/>
            <sz val="9"/>
            <color indexed="81"/>
            <rFont val="Tahoma"/>
            <family val="2"/>
          </rPr>
          <t>Auxiliar operativo</t>
        </r>
      </text>
    </comment>
    <comment ref="S32" authorId="0">
      <text>
        <r>
          <rPr>
            <b/>
            <sz val="9"/>
            <color indexed="81"/>
            <rFont val="Tahoma"/>
            <family val="2"/>
          </rPr>
          <t>No se detiene el servicio, las actividades del cargo se reparten entre los compañeros</t>
        </r>
      </text>
    </comment>
    <comment ref="X32" authorId="0">
      <text>
        <r>
          <rPr>
            <b/>
            <sz val="9"/>
            <color indexed="81"/>
            <rFont val="Tahoma"/>
            <charset val="1"/>
          </rPr>
          <t>Jefe Inmediato y Aux. S.O</t>
        </r>
      </text>
    </comment>
    <comment ref="AB32" authorId="0">
      <text>
        <r>
          <rPr>
            <b/>
            <sz val="9"/>
            <color indexed="81"/>
            <rFont val="Tahoma"/>
            <family val="2"/>
          </rPr>
          <t>Compañeros que deben mover puntos de servicio para suplir la ausencia</t>
        </r>
      </text>
    </comment>
  </commentList>
</comments>
</file>

<file path=xl/sharedStrings.xml><?xml version="1.0" encoding="utf-8"?>
<sst xmlns="http://schemas.openxmlformats.org/spreadsheetml/2006/main" count="2998" uniqueCount="1021">
  <si>
    <t>Variables</t>
  </si>
  <si>
    <t>Tiempo perdido personal directo proceso</t>
  </si>
  <si>
    <t>Tiempo perdido trabajador accidentado</t>
  </si>
  <si>
    <t>Tiempo perdido trabajador que ayudo en el accidente</t>
  </si>
  <si>
    <t>Tiempo de paro del proceso</t>
  </si>
  <si>
    <t>Tiempo de baja productividad</t>
  </si>
  <si>
    <t>Costo materias primas (Averiadas)</t>
  </si>
  <si>
    <t>Costos de daños a equipos o herramientas</t>
  </si>
  <si>
    <t>Costo de producto terminado o semiterminado (Averiado)</t>
  </si>
  <si>
    <t>Perdidas por paralizacion temporal</t>
  </si>
  <si>
    <t>Horas extras</t>
  </si>
  <si>
    <t>Sustitutos o personal temporal</t>
  </si>
  <si>
    <t>Costos fiscales</t>
  </si>
  <si>
    <t>Costos parafiscales</t>
  </si>
  <si>
    <t>Gastos por traslados</t>
  </si>
  <si>
    <t>Gastos por sanciones</t>
  </si>
  <si>
    <t>Gastos por honorarios profesionales</t>
  </si>
  <si>
    <t>Gastos por seguridad social</t>
  </si>
  <si>
    <t xml:space="preserve">Gastos por seguridad  social durante incapacidad </t>
  </si>
  <si>
    <t>Tiempo de otros profesionales</t>
  </si>
  <si>
    <t>Horario diurno</t>
  </si>
  <si>
    <t>Horario nocturno</t>
  </si>
  <si>
    <t>Gravedad de las lesiones</t>
  </si>
  <si>
    <t>Restricciones medicas (Costo)</t>
  </si>
  <si>
    <t>Numero de trabajadores evaluados</t>
  </si>
  <si>
    <t>Salarios de los involucrados</t>
  </si>
  <si>
    <t>Numero de trabajadores accidentados</t>
  </si>
  <si>
    <t>Costos de repuestos - piezas</t>
  </si>
  <si>
    <t>Perdida de beneficios</t>
  </si>
  <si>
    <t>Conflictos laborales</t>
  </si>
  <si>
    <t>Impactos ambientales</t>
  </si>
  <si>
    <t>Sanciones</t>
  </si>
  <si>
    <t>Multas</t>
  </si>
  <si>
    <t>Procesos judiciales</t>
  </si>
  <si>
    <t>Daños a terceros</t>
  </si>
  <si>
    <t>Otros gastos generales</t>
  </si>
  <si>
    <t>Tiempo perdido directivos</t>
  </si>
  <si>
    <t>Tiempo perdido jefes</t>
  </si>
  <si>
    <t>Tiempo perdido mando directo (Coordinador, supervisor)</t>
  </si>
  <si>
    <t>Tiempo perdido</t>
  </si>
  <si>
    <t>Costos Materiales</t>
  </si>
  <si>
    <t>Perdidas</t>
  </si>
  <si>
    <t>Gastos Generales</t>
  </si>
  <si>
    <t>Ejercicio los costes de los accidentes</t>
  </si>
  <si>
    <t>Costos personal</t>
  </si>
  <si>
    <t>Tasa horaria media mandos medios</t>
  </si>
  <si>
    <t>Horas perdidas por el accidente no cubierto por el seguro</t>
  </si>
  <si>
    <t>Tiempo real accidente</t>
  </si>
  <si>
    <t>Valor del salario no asumido por el seguro</t>
  </si>
  <si>
    <t>Tiempo de paro del piso</t>
  </si>
  <si>
    <t>Tiempo informe accidente</t>
  </si>
  <si>
    <t>Costo material perdido no incluido en el seguro</t>
  </si>
  <si>
    <t>Costo producto perdido no incluido en el seguro</t>
  </si>
  <si>
    <t>Costo materias primas perdidas no incluido en el seguro</t>
  </si>
  <si>
    <t>Alquiler maquinas, equipos o herramientas</t>
  </si>
  <si>
    <t>Reemplazo accidente interior o exterior</t>
  </si>
  <si>
    <t>Horas reemplazo</t>
  </si>
  <si>
    <t>Efecto del reemplazo en el proceso si viene de otro sitio</t>
  </si>
  <si>
    <t>Costos Mano de Obra Directa</t>
  </si>
  <si>
    <t>Tiempo perdido accidente</t>
  </si>
  <si>
    <t>Tiempo perdido por otros trabajadores</t>
  </si>
  <si>
    <t xml:space="preserve">Horas extras </t>
  </si>
  <si>
    <t>Otros costos de mano de obra directa</t>
  </si>
  <si>
    <t>Daños maquinaria</t>
  </si>
  <si>
    <t>Daños herramientas</t>
  </si>
  <si>
    <t>Daños otros bienes</t>
  </si>
  <si>
    <t>Daño materiales, productos y materias primas</t>
  </si>
  <si>
    <t>Alquiler materiales</t>
  </si>
  <si>
    <t>Perdida de rendimiento</t>
  </si>
  <si>
    <t>Rendimiento esperado de la maquina desocupada</t>
  </si>
  <si>
    <t>Costos Generales</t>
  </si>
  <si>
    <t>Gasto material servicio medico</t>
  </si>
  <si>
    <t>Numero horas de trabajo</t>
  </si>
  <si>
    <t>Gasto traslado urgencia</t>
  </si>
  <si>
    <t>Costos fijos imputables al tiempo perdido por parar el proceso</t>
  </si>
  <si>
    <t>Perdida pedidos en cartera no iniciados</t>
  </si>
  <si>
    <t>Honorarios profesionales</t>
  </si>
  <si>
    <t>Costos por peso judicial</t>
  </si>
  <si>
    <t>Perdida mercado</t>
  </si>
  <si>
    <t>NTP 540: Costos de los accidentes: Procedimientos evaluados</t>
  </si>
  <si>
    <t>Dias incapacidad (Baja)</t>
  </si>
  <si>
    <t>Efecto en el trabajo en cadena (Tiempo)</t>
  </si>
  <si>
    <t>Numero de trabajadores afectados</t>
  </si>
  <si>
    <t>Primeros auxilios</t>
  </si>
  <si>
    <t>Daños materiales a instalaciones, equipos y productos</t>
  </si>
  <si>
    <t>Gastos fijos</t>
  </si>
  <si>
    <t>Procesos y condenas judiciales</t>
  </si>
  <si>
    <t>Sanciones administrativas</t>
  </si>
  <si>
    <t>Perdida de imagen y mercado</t>
  </si>
  <si>
    <t>Facturas - Compra de equipos y herramientas</t>
  </si>
  <si>
    <t>Reposicion</t>
  </si>
  <si>
    <t>Valor residual</t>
  </si>
  <si>
    <t>Costos por grupo salarial indirecto</t>
  </si>
  <si>
    <t>Sustitutos</t>
  </si>
  <si>
    <t>Subcontratar tareas</t>
  </si>
  <si>
    <t>Perdida de mercado</t>
  </si>
  <si>
    <t>Intangibles</t>
  </si>
  <si>
    <t>Traslado del accidente</t>
  </si>
  <si>
    <t>Sanciones, multas y procesos judiciales</t>
  </si>
  <si>
    <t>Alquiler materia</t>
  </si>
  <si>
    <t>Otros</t>
  </si>
  <si>
    <t>Costos de Oportunidad</t>
  </si>
  <si>
    <t>Tiempo Perdido</t>
  </si>
  <si>
    <t>Tiempo Dedicado por Personal No Vinculado al Proceso Productivo</t>
  </si>
  <si>
    <t>Perdida de Mercado</t>
  </si>
  <si>
    <t>Perdida de imagen</t>
  </si>
  <si>
    <t>Repercusion proceso</t>
  </si>
  <si>
    <t>Deterioro de imagen</t>
  </si>
  <si>
    <t>Costos Salariales Directos (Costos de Oportunidad)</t>
  </si>
  <si>
    <t>Tiempo perdido por el trabajador y sus compañeros por el accidente</t>
  </si>
  <si>
    <t>Costos Salariales Indirectos (Costos de Oportunidad)</t>
  </si>
  <si>
    <t>Beneficios no generados</t>
  </si>
  <si>
    <t>Perdidas de pedidos</t>
  </si>
  <si>
    <t>Costos de los Daños Materiales (Costos Financieros)</t>
  </si>
  <si>
    <t>Costos Generales (Costos Financieros)</t>
  </si>
  <si>
    <t>Condenas Judiciales</t>
  </si>
  <si>
    <t>Honorarios Profesionales</t>
  </si>
  <si>
    <t>Daños Terceros</t>
  </si>
  <si>
    <t>Costos Directos</t>
  </si>
  <si>
    <t xml:space="preserve">Gastos medicos no incluidos en el seguro </t>
  </si>
  <si>
    <t>Pago de primas por accidente</t>
  </si>
  <si>
    <t>Costo selección y aprendizaje del sustituto</t>
  </si>
  <si>
    <t>Tiempo empleado por instrucciones y mandos en formar el nuevo trabajador</t>
  </si>
  <si>
    <t>Perdida productividad (El nuevo trabajador tendra un rendimiento mas bajo y mas defectos)</t>
  </si>
  <si>
    <t>Indemnizaciones y multas por infracciones en SST</t>
  </si>
  <si>
    <t>Costos Indirectos</t>
  </si>
  <si>
    <t>Costo tiempo perdido por otros trabajadores no accidentados</t>
  </si>
  <si>
    <t>Perdida de productividad por bajo rendimiento</t>
  </si>
  <si>
    <t>Perdida de producto defectuoso</t>
  </si>
  <si>
    <t>Costo daños producidos en maquinas y equipos</t>
  </si>
  <si>
    <t>Perdidas comerciales por incumplir plazos</t>
  </si>
  <si>
    <t>Costos Asegurados</t>
  </si>
  <si>
    <t>Costos No Asegurados</t>
  </si>
  <si>
    <t>Primas de los seguros de accidentes</t>
  </si>
  <si>
    <t>Todos los demas costos</t>
  </si>
  <si>
    <t>Mano de Obra</t>
  </si>
  <si>
    <t>Tiempo trabajadores invertido en el accidente</t>
  </si>
  <si>
    <t>Maquinaria</t>
  </si>
  <si>
    <t>Costo daños maquinaria y herramientas</t>
  </si>
  <si>
    <t>Material</t>
  </si>
  <si>
    <t>Bruto</t>
  </si>
  <si>
    <t>Peso fabricado</t>
  </si>
  <si>
    <t>Producto acabado</t>
  </si>
  <si>
    <t>Instalaciones</t>
  </si>
  <si>
    <t>Edificios e instalaciones dañados</t>
  </si>
  <si>
    <t>Tiempo</t>
  </si>
  <si>
    <t>Tiempo de las horas del trabajador perdido por el accidente</t>
  </si>
  <si>
    <t>Tiempo perdido del personal proceso y afectado por el Accidente</t>
  </si>
  <si>
    <t>Beneficios no obtenidos</t>
  </si>
  <si>
    <t>Derivados del accidente incluyendo seguridad social</t>
  </si>
  <si>
    <t>Tiempo Dedicado al Accidente por otro Personal</t>
  </si>
  <si>
    <t>METODO SIMPLIFICADO</t>
  </si>
  <si>
    <t>Costo de las materias primas averiadas</t>
  </si>
  <si>
    <t>Costo de producto terminado o semiterminado averiado</t>
  </si>
  <si>
    <t>Perdidas por paralización parcial</t>
  </si>
  <si>
    <t>Perdidas por paralización total del proceso</t>
  </si>
  <si>
    <t>Tiempo perdido personal directo del proceso</t>
  </si>
  <si>
    <t>Unidad</t>
  </si>
  <si>
    <t>Cantidad</t>
  </si>
  <si>
    <t>Formula</t>
  </si>
  <si>
    <t>Resultado</t>
  </si>
  <si>
    <t>Total</t>
  </si>
  <si>
    <t>Valor
Unitario</t>
  </si>
  <si>
    <t>Descripción 
Daños</t>
  </si>
  <si>
    <t>Descripción 
Perdida</t>
  </si>
  <si>
    <t>Perdida de mercado (Cancelación de contratos, multas, etc.)</t>
  </si>
  <si>
    <t>Perdida de imagen (Perdida de clientes, mala publicidad, etc.)</t>
  </si>
  <si>
    <t>$</t>
  </si>
  <si>
    <t>Perdida de beneficios (Impuestos, descuentos, etc.)</t>
  </si>
  <si>
    <t>Horas extras diurnas</t>
  </si>
  <si>
    <t>Horas extras nocturnas</t>
  </si>
  <si>
    <t>Gastos por aplicar restricciones medicas</t>
  </si>
  <si>
    <t>INDICADORES FINANCIEROS</t>
  </si>
  <si>
    <t>Inventario</t>
  </si>
  <si>
    <t>Activos Corrientes</t>
  </si>
  <si>
    <t>Pasivos Corrientes</t>
  </si>
  <si>
    <t>Efectivo</t>
  </si>
  <si>
    <t>Inversiones Temporales</t>
  </si>
  <si>
    <t>Activos Totales Promedio</t>
  </si>
  <si>
    <t>Patrimonio Promedio</t>
  </si>
  <si>
    <t>Pasivo Total</t>
  </si>
  <si>
    <t>Activo Total</t>
  </si>
  <si>
    <t>EBITDA</t>
  </si>
  <si>
    <t>Intereses</t>
  </si>
  <si>
    <t>Ingresos Totales</t>
  </si>
  <si>
    <t>Utilidad Neta</t>
  </si>
  <si>
    <t>Utilidad Operativa (EBIT)</t>
  </si>
  <si>
    <t>Nombre Formula</t>
  </si>
  <si>
    <t>Variable 1</t>
  </si>
  <si>
    <t>Variable 2</t>
  </si>
  <si>
    <t>Cuentas por pagar - Proveedores</t>
  </si>
  <si>
    <t>INDICADORES DE LIQUIDEZ</t>
  </si>
  <si>
    <t>Variable 3</t>
  </si>
  <si>
    <t>Inventario Promedio</t>
  </si>
  <si>
    <t>INDICADORES SIN IMPACTO</t>
  </si>
  <si>
    <t>INDICADORES CON IMPACTO</t>
  </si>
  <si>
    <t>INDICADORES DE EFICIENCIA</t>
  </si>
  <si>
    <t>Activo Totales Promedio</t>
  </si>
  <si>
    <t>Numero de Empleados Promedio en el año</t>
  </si>
  <si>
    <t>INDICADORES DE ENDEUDAMIENTO</t>
  </si>
  <si>
    <t>INDICADORES DE RENTABILIDAD</t>
  </si>
  <si>
    <t>Activos Totales</t>
  </si>
  <si>
    <t>Rotación de inventarios (S.I)</t>
  </si>
  <si>
    <t>Rotación de inventarios (C.I)</t>
  </si>
  <si>
    <t>Demandas</t>
  </si>
  <si>
    <t>Limpieza</t>
  </si>
  <si>
    <t>Descripción 
Gasto</t>
  </si>
  <si>
    <t>Penalización por retraso</t>
  </si>
  <si>
    <t>Sanciones por impacto ambientales</t>
  </si>
  <si>
    <t>Sanciones por incumplimientos en SST</t>
  </si>
  <si>
    <t>Sanciones por incumplimientos laborales</t>
  </si>
  <si>
    <t>Tiempo de paro de otros trabajadores</t>
  </si>
  <si>
    <t>Costos de otros bienes</t>
  </si>
  <si>
    <t>Perdidas por bajo rendimiento</t>
  </si>
  <si>
    <t>Costos de otros materiales de producción</t>
  </si>
  <si>
    <t>Tiempo de paro de mandos medios  y directores</t>
  </si>
  <si>
    <t>Tiempo dedicado al accidente por la administración</t>
  </si>
  <si>
    <t>Tiempo dedicado por personal de gestión humana (Of. Personal)</t>
  </si>
  <si>
    <t>Otros gastos de materiales</t>
  </si>
  <si>
    <t>Gastos por traslados de urgencia</t>
  </si>
  <si>
    <t>Gastos por otros traslados</t>
  </si>
  <si>
    <t>Salario no asumido por el seguro</t>
  </si>
  <si>
    <t>Tiempo de ineficiencia - Puesta en marcha</t>
  </si>
  <si>
    <t>Tiempo investigación + informe del accidente</t>
  </si>
  <si>
    <t>Tiempo de seguimiento a la implementación de los controles</t>
  </si>
  <si>
    <t>Costos Materiales y del Proceso</t>
  </si>
  <si>
    <t>Costos de la implementación de los controles</t>
  </si>
  <si>
    <t>Costos de reposición de bienes (no incluidos en el seguro)</t>
  </si>
  <si>
    <t>Costos de bienes y daños a terceros</t>
  </si>
  <si>
    <t>Gastos contratación sustitutos</t>
  </si>
  <si>
    <t>Gastos por subcontratación</t>
  </si>
  <si>
    <t>Gastos por tratamiento de residuos</t>
  </si>
  <si>
    <t>Costos de aprendizaje del sustituto</t>
  </si>
  <si>
    <t>Tiempo empleado de entrenamiento en formar el nuevo trabajador</t>
  </si>
  <si>
    <t>Tiempo empleado en instrucciones en formar el nuevo trabajador</t>
  </si>
  <si>
    <t>Gastos de reparación en instalaciones y edificios</t>
  </si>
  <si>
    <t>Costo mantenimiento de equipos y herramientas</t>
  </si>
  <si>
    <t>Costos de dolor y sufrimiento</t>
  </si>
  <si>
    <t>Costo de no cumplimiento de metas (ventas)</t>
  </si>
  <si>
    <t>WorkSafeBC: Workplace Incident Cost Calculator</t>
  </si>
  <si>
    <t>Safety Management Group: Injury Cost Calculator</t>
  </si>
  <si>
    <t>Occupacional Safety &amp; Health Administracion: OSHA's Safety Pays Program</t>
  </si>
  <si>
    <t>Injury Cost Calculator</t>
  </si>
  <si>
    <t>Arbill: Calculate Your Company's Injury Costs</t>
  </si>
  <si>
    <t>Mine Safety and Health Administration (MSHA) </t>
  </si>
  <si>
    <t>Workplace Health and Safety Queensland: A workplace injury: The real cost to your business</t>
  </si>
  <si>
    <t>Workplace safety and Health council: Incident Cost Calculator</t>
  </si>
  <si>
    <t>Alberta: Incident Cost Calculator</t>
  </si>
  <si>
    <t>Safe work Manitoba: Incident Cost Calculator</t>
  </si>
  <si>
    <t>Ontario Safety Ássociation for Community and Healthcare: Health Care Injury Cost Calculator</t>
  </si>
  <si>
    <t>Sala de Urgencias</t>
  </si>
  <si>
    <t>Costos de remplazo mientras el trabajador esta fuera de WISB:</t>
  </si>
  <si>
    <t>Personal interno</t>
  </si>
  <si>
    <t>Tratamiento</t>
  </si>
  <si>
    <t>Personal interno como horas extras</t>
  </si>
  <si>
    <t>Personal exteerno de una agencia</t>
  </si>
  <si>
    <t xml:space="preserve">Sueldo del empleado lesionado (Pagado por WSIB y evaluado contra el empleador) </t>
  </si>
  <si>
    <t>Acomodacion del empleado modificado y retorno al trabajo:</t>
  </si>
  <si>
    <t xml:space="preserve">Los costos asociados con el acomodamiento de los empleados para las tareas modificadas </t>
  </si>
  <si>
    <t xml:space="preserve">Honorarios de los consultores / tiempo para completar el papeleo </t>
  </si>
  <si>
    <t>Honorarios de los consultores / apelaciones</t>
  </si>
  <si>
    <t>Costos Legales (Asociados con Actividad MOL ):</t>
  </si>
  <si>
    <t>Los costos asociados con multas MOL, si es declarado culpable bajo la Ley OHS</t>
  </si>
  <si>
    <t>Honorarios de abogados (si corresponde)</t>
  </si>
  <si>
    <t>Costos WSIB (Para completar, la información de su Declaración Resumen NEER Firm):</t>
  </si>
  <si>
    <t>Costos esperados</t>
  </si>
  <si>
    <t>Costos NEER</t>
  </si>
  <si>
    <t>Maximo potencial descuento NEER</t>
  </si>
  <si>
    <t>Actual descuento NEER (Pago)</t>
  </si>
  <si>
    <t>Salarios pagados a los trabajadores lesionados por ausencias no cubiertas por la compensación de los trabajadores</t>
  </si>
  <si>
    <t>Costos de incapacidad a largo plazo</t>
  </si>
  <si>
    <t>Los costes salariales relacionados con tiempo perdido por paro laboral asociada a la lesión del trabajador</t>
  </si>
  <si>
    <t>Los costos de nómina no recuperables (beneficios legales, CPP, la IE, EHT)</t>
  </si>
  <si>
    <t>Aumentos en costos de seguros</t>
  </si>
  <si>
    <t>Los costos de horas extras requeridas por la lesión</t>
  </si>
  <si>
    <t>Tiempo administrativo dedicado por los supervisores, personal de seguridad, y los empleados de oficina después de una lesión</t>
  </si>
  <si>
    <t>Los costos de capacitación para un trabajador de reemplazo</t>
  </si>
  <si>
    <t>Pérdida de productividad relacionada con el trabajo de reprogramación, las nuevas curvas de aprendizaje de los empleados, y el alojamiento de los empleados lesionados</t>
  </si>
  <si>
    <t>Limpieza, reparación y los costos de reemplazo de material dañado, maquinaria y bienes</t>
  </si>
  <si>
    <t>Costos del Incidente</t>
  </si>
  <si>
    <t>Tiempo para los primeros auxilios</t>
  </si>
  <si>
    <t>Tiempo para transporte al centro medico</t>
  </si>
  <si>
    <t>Tiempo para transporte al hospital/clinica/casa</t>
  </si>
  <si>
    <t>Transporte al hospital</t>
  </si>
  <si>
    <t>Perdida de Productividad de trabajadores</t>
  </si>
  <si>
    <t>Perdida de Productividad de todos los trabajadores afectados</t>
  </si>
  <si>
    <t>Perdida de Productividad del trabajador lesionado</t>
  </si>
  <si>
    <t>Perdida de Productividad de empleadores</t>
  </si>
  <si>
    <t>Perdida de Productividad de los trabajadores afectados</t>
  </si>
  <si>
    <t>Perdida de productividad debido a la interrupcion</t>
  </si>
  <si>
    <t>Tiempo para hacer el area segura</t>
  </si>
  <si>
    <t>Restaurar el area segura</t>
  </si>
  <si>
    <t>Suministros para Primeros auxilios y equipo</t>
  </si>
  <si>
    <t>Ambulancias o taxi</t>
  </si>
  <si>
    <t>Costo de ambulancia o taxi</t>
  </si>
  <si>
    <t>Otros Costos</t>
  </si>
  <si>
    <t>Otros costos</t>
  </si>
  <si>
    <t>Costos de Investigacion</t>
  </si>
  <si>
    <t>Investigacion del incidente</t>
  </si>
  <si>
    <t>Formulario de informe preliminar</t>
  </si>
  <si>
    <t>Completar el papeleo de la empresa</t>
  </si>
  <si>
    <t>Tiempo para completar el papeleo de la empresa</t>
  </si>
  <si>
    <t>Completar el papeleo de WorkSafeBC</t>
  </si>
  <si>
    <t>Reuniones semanales de seguimiento para analizar los resultados (Trabajadores)</t>
  </si>
  <si>
    <t>Tiempo para completar el papeleo de WorkCover Queensland</t>
  </si>
  <si>
    <t>Completar el papeleo de WCB</t>
  </si>
  <si>
    <t>Reuniones semanales de seguimiento para analizar los resultados (Empleadores)</t>
  </si>
  <si>
    <t>Para graves incidentes y lesiones</t>
  </si>
  <si>
    <t>Informar y reunirse con la autoridad</t>
  </si>
  <si>
    <t>Reuniones de seguimiento para discutir los incidentes (Trabajadores)</t>
  </si>
  <si>
    <t>Reuniones de seguimiento (Trabajadores y Empleadores)</t>
  </si>
  <si>
    <t>Reuniones de seguimiento para discutir el incidente</t>
  </si>
  <si>
    <t>Tiempo perdido gerencia</t>
  </si>
  <si>
    <t>Reuniones de seguimiento para discutir los incidentes (Empleadores)</t>
  </si>
  <si>
    <t>Perdida de productividad a causa de la investigacion</t>
  </si>
  <si>
    <t>Costos de Daños</t>
  </si>
  <si>
    <t>Costos de Daños/Reemplazo</t>
  </si>
  <si>
    <t>Tiempo para evaluar el daño</t>
  </si>
  <si>
    <t>Tiempo para reparar o reemplazar el equipo(s)</t>
  </si>
  <si>
    <t>Reparar, reemplazar o alquilar equipos</t>
  </si>
  <si>
    <t>Tiempo para coordinar el trabajo de reparacion</t>
  </si>
  <si>
    <t>Tiempo de limpieza (Incluye la coordinacion)</t>
  </si>
  <si>
    <t>Tiempo de limpieza</t>
  </si>
  <si>
    <t>Contratistas externos y materiales para limpieza</t>
  </si>
  <si>
    <t>Disposicion de equipos dañados</t>
  </si>
  <si>
    <t>Piezas de repuesto, equipos, o producto perdido</t>
  </si>
  <si>
    <t>Costo de las piezas de repuesto, equipos, o producto perdido</t>
  </si>
  <si>
    <t>Costo de propiedad actual o daños en el equipo o pérdida de producto</t>
  </si>
  <si>
    <t>Los costos de alquiler de equipo para cubrir período intermedio</t>
  </si>
  <si>
    <t>Costos de Remplazo</t>
  </si>
  <si>
    <t>Tiempo para contratar o reubicar el remplazo del trabajador</t>
  </si>
  <si>
    <t>Reubicación o reprogramación de otro trabajador</t>
  </si>
  <si>
    <t>Tiempo del entrenador para un nuevo o reubicado trabajador</t>
  </si>
  <si>
    <t>Tiempo de entrenamiento para un nuevo o reubicado trabajador</t>
  </si>
  <si>
    <t>Costo de contratar un trabajador de remplazo</t>
  </si>
  <si>
    <t>Costos de Productividad</t>
  </si>
  <si>
    <t>Perdida inmediata de productividad (trabajadores)</t>
  </si>
  <si>
    <t>Gestion de demanda de daños</t>
  </si>
  <si>
    <t>Perdida inmediata de productividad (Empleadores)</t>
  </si>
  <si>
    <t>Reduccion de la productividad de los trabajadores heridos tras volver al trabajo</t>
  </si>
  <si>
    <t>Perdida de productividad (Tiempo de Trabajo) debido a la interrupcion</t>
  </si>
  <si>
    <t>Tiempo dedicado gestiónando el problema de las lesiones</t>
  </si>
  <si>
    <t>Reduccion de la productividad del trabajador herido tras volver al trabajo</t>
  </si>
  <si>
    <t>Costo Anual Estimado de Accidentes</t>
  </si>
  <si>
    <t>Numero anual de muertes en el trabajo</t>
  </si>
  <si>
    <t>Numero anual de casos de dias de trabajo perdidos</t>
  </si>
  <si>
    <t>Numero anual de casos reportables sin dias de trabajo perdidos</t>
  </si>
  <si>
    <t>Impacto de los Accidentes en las Ganancias y las Ventas</t>
  </si>
  <si>
    <t>Volumes de ventas</t>
  </si>
  <si>
    <t>Margen de ganancia</t>
  </si>
  <si>
    <t>Costos de Accidente (Estimado o Actual)</t>
  </si>
  <si>
    <t>Costos de los accidentes como porcentaje en los beneficios</t>
  </si>
  <si>
    <t>Costos de Recuperacion</t>
  </si>
  <si>
    <t xml:space="preserve">Reprogramación de trabajo </t>
  </si>
  <si>
    <t xml:space="preserve">Recuperación de trabajo / producción </t>
  </si>
  <si>
    <t xml:space="preserve">Reclutamiento de nuevo personal </t>
  </si>
  <si>
    <t xml:space="preserve">Formación de nuevo personal / reubicados </t>
  </si>
  <si>
    <t xml:space="preserve">Costo de oportunidad perdida </t>
  </si>
  <si>
    <t xml:space="preserve">Goodwill / Reputación </t>
  </si>
  <si>
    <t>Compensación y sanciones</t>
  </si>
  <si>
    <t>Compensación / Reclamo</t>
  </si>
  <si>
    <t>Sanciónes por Contrato</t>
  </si>
  <si>
    <t>Los pedidos cancelados y / o perdidos</t>
  </si>
  <si>
    <t>Los honorarios del abogado</t>
  </si>
  <si>
    <t>Tratar con los casos legales</t>
  </si>
  <si>
    <t>Multas / Sanciones</t>
  </si>
  <si>
    <t>Aumento de las primas de seguros</t>
  </si>
  <si>
    <t># Cuenta PUC</t>
  </si>
  <si>
    <t>Balance General</t>
  </si>
  <si>
    <t>Estado de Perdidas Y Ganancias</t>
  </si>
  <si>
    <t>CLASIFICACIÓN PUC</t>
  </si>
  <si>
    <t>Inventarios</t>
  </si>
  <si>
    <t>Propiedad, planta y equipo</t>
  </si>
  <si>
    <t>Indicador Financiero</t>
  </si>
  <si>
    <t>Corporate cost of occupational accidents: an activity-based analysis</t>
  </si>
  <si>
    <t>Economic cost of occupational accidents: Evidence from a small island economy</t>
  </si>
  <si>
    <t>The costs of industrial accidents for the organization: Developing methods and tools for evaluation and cost–benefit analysis of investment in safety</t>
  </si>
  <si>
    <t>Nomina de un empleado nuevo</t>
  </si>
  <si>
    <t>Numero de trabajadores lesionados</t>
  </si>
  <si>
    <t>Beneficios monetarios dados al trabajador lesionado</t>
  </si>
  <si>
    <t>Reembolso del seguro nacional</t>
  </si>
  <si>
    <t>Inconmesurables</t>
  </si>
  <si>
    <t>Servicios Externos</t>
  </si>
  <si>
    <t>Estimating the Economic Costs of Occupational Injuries and Illnesses in Developing Countries: Essential Information for Decision-Makers</t>
  </si>
  <si>
    <t>Pagos del empleador a los fondos de seguro de accidentes de trabajo</t>
  </si>
  <si>
    <t>Costos indirectos</t>
  </si>
  <si>
    <t>Costos del Empleador</t>
  </si>
  <si>
    <t>Los daños colaterales a los equipos y materiales</t>
  </si>
  <si>
    <t>El tiempo de inactividad</t>
  </si>
  <si>
    <t>Efectos negativos sobre los compañeros de trabajo</t>
  </si>
  <si>
    <t>Compensaciones por trabajadores externos</t>
  </si>
  <si>
    <t>Costos de responsabilidad administrativa</t>
  </si>
  <si>
    <t>Costos adicionales de contratación</t>
  </si>
  <si>
    <t>Costos Laborales</t>
  </si>
  <si>
    <t>Perdidad de calidad de vida</t>
  </si>
  <si>
    <t>Muerte</t>
  </si>
  <si>
    <t>Costos para la Sociedad</t>
  </si>
  <si>
    <t>Costos de administración del sistema de SST pública, o por lo menos aquellas partes requeridas por la persistencia de los casos de incidentes de salud relacionados con el trabajo</t>
  </si>
  <si>
    <t>Reclamaciones sobre los sistemas de seguros distintos del seguro de accidentes del trabajo</t>
  </si>
  <si>
    <t>El uso de los servicios de salud pública no administrado sobre una base de pago por servicio.</t>
  </si>
  <si>
    <t>Costo involucrado por la falta de disponibilidad del sistema</t>
  </si>
  <si>
    <t>Impacto en los medios de comunicación masivos</t>
  </si>
  <si>
    <t>Estudios de riesgos</t>
  </si>
  <si>
    <t>Dispositivos de Seguridad (Costo a priori)</t>
  </si>
  <si>
    <t>Costos del Seguro</t>
  </si>
  <si>
    <t>Contribuciones al seguro</t>
  </si>
  <si>
    <t>Costos de Prevención</t>
  </si>
  <si>
    <t xml:space="preserve">Elementos de protección individual </t>
  </si>
  <si>
    <t xml:space="preserve">Elementos de protección colectiva </t>
  </si>
  <si>
    <t xml:space="preserve">Sistemas de seguridad y control de maquinaria y equipos </t>
  </si>
  <si>
    <t xml:space="preserve">Servicio médico de empresa y artículos de primeros auxilios </t>
  </si>
  <si>
    <t>Servicio de Prevención (de la propia empresa o de otro proveedor de servicios)</t>
  </si>
  <si>
    <t>Coste del Accidente</t>
  </si>
  <si>
    <t xml:space="preserve">El tiempo perdido por el trabajador lesionado </t>
  </si>
  <si>
    <t xml:space="preserve">El tiempo perdido por otros trabajadores por el accidente </t>
  </si>
  <si>
    <t xml:space="preserve">Los costos de los materiales </t>
  </si>
  <si>
    <t xml:space="preserve">Gastos de traslado del Hospital (ambulancia u otro vehículo) </t>
  </si>
  <si>
    <t xml:space="preserve">Investigación del accidente </t>
  </si>
  <si>
    <t xml:space="preserve">Recuperación de la producción </t>
  </si>
  <si>
    <t xml:space="preserve">Sustitución del trabajador lesionado </t>
  </si>
  <si>
    <t xml:space="preserve">La pérdida de negocio </t>
  </si>
  <si>
    <t xml:space="preserve">Pérdida de imagen comercial </t>
  </si>
  <si>
    <t>Los conflictos laborales</t>
  </si>
  <si>
    <t>Costos de Recuperación</t>
  </si>
  <si>
    <t>Recuperación de los pagos de contribuciones de seguros</t>
  </si>
  <si>
    <t>Gestión del accidente</t>
  </si>
  <si>
    <t xml:space="preserve">Pérdida de productividad (Valor de la Producción) </t>
  </si>
  <si>
    <t xml:space="preserve">Costo de horas extra y el exceso de trabajo </t>
  </si>
  <si>
    <t xml:space="preserve">La pérdida de ingresos corrientes </t>
  </si>
  <si>
    <t xml:space="preserve">Pérdida de ingresos futuros (costos de capital humano) </t>
  </si>
  <si>
    <t xml:space="preserve">Los gastos médicos y de rehabilitación </t>
  </si>
  <si>
    <t xml:space="preserve">Multas legales y sanciones </t>
  </si>
  <si>
    <t xml:space="preserve">Los pagos de bienestar social </t>
  </si>
  <si>
    <t xml:space="preserve">Rehabilitación </t>
  </si>
  <si>
    <t xml:space="preserve">La pérdida de los ingresos del gobierno </t>
  </si>
  <si>
    <t>A Method to Estimate Occupational Health and Safety Costs in Construction Projects</t>
  </si>
  <si>
    <t>The Cost of Work-related Injury and Illness for Australian Employers, Workers and the Community: 2005-06</t>
  </si>
  <si>
    <t xml:space="preserve">Pago por excesos a cargo del Empleador </t>
  </si>
  <si>
    <t>Costos por reclutamiento, formación y rotación del personal</t>
  </si>
  <si>
    <t xml:space="preserve">Costos de investigación </t>
  </si>
  <si>
    <t xml:space="preserve">Los costes y gastos generales </t>
  </si>
  <si>
    <t>Los gastos de traslados</t>
  </si>
  <si>
    <t xml:space="preserve">Pérdida de productividad (trabajo) </t>
  </si>
  <si>
    <t xml:space="preserve">Pérdida de productividad (del hogar) </t>
  </si>
  <si>
    <t>Economic Impact of Occupational Accidents: Resource Allocation for AUVA's Prevention Programs</t>
  </si>
  <si>
    <t xml:space="preserve">Costos de las pensiones </t>
  </si>
  <si>
    <t xml:space="preserve">Subsidios </t>
  </si>
  <si>
    <t xml:space="preserve">Gastos funerarios </t>
  </si>
  <si>
    <t xml:space="preserve">Costos de hospitalización </t>
  </si>
  <si>
    <t xml:space="preserve">Costos de prótesis y otros dispositivos </t>
  </si>
  <si>
    <t xml:space="preserve">Costos de rehabilitación </t>
  </si>
  <si>
    <t xml:space="preserve">Costo para la prevención y primeros auxilios </t>
  </si>
  <si>
    <t xml:space="preserve">Costos de transporte </t>
  </si>
  <si>
    <t xml:space="preserve">Costos médicos y otros cuidados especiales </t>
  </si>
  <si>
    <t xml:space="preserve">Cuotas de pago </t>
  </si>
  <si>
    <t xml:space="preserve">Costos de administración </t>
  </si>
  <si>
    <t xml:space="preserve">Depreciación </t>
  </si>
  <si>
    <t>Costos extraordinarios y otros</t>
  </si>
  <si>
    <t xml:space="preserve">Asignación a reservas </t>
  </si>
  <si>
    <t xml:space="preserve">Costos directos de la lesión </t>
  </si>
  <si>
    <t xml:space="preserve">Pago por enfermedad </t>
  </si>
  <si>
    <t xml:space="preserve">Tiempo perdido por trabajador lesionado </t>
  </si>
  <si>
    <t xml:space="preserve">Tiempo perdido por los trabajadores no lesionados </t>
  </si>
  <si>
    <t xml:space="preserve">Disminución de la producción de Trabajadores Lesionados después de Retorno </t>
  </si>
  <si>
    <t xml:space="preserve">Tiempo de Supervisor </t>
  </si>
  <si>
    <t xml:space="preserve">Investigación y Manejo de Compensación de Seguros </t>
  </si>
  <si>
    <t>Estimating Industrial Accident Costs</t>
  </si>
  <si>
    <t>Las horas extraordinarias necesarias para el trabajo</t>
  </si>
  <si>
    <t xml:space="preserve">Disminucion de produccion a causa del trabajador suplente </t>
  </si>
  <si>
    <t xml:space="preserve">Daños a la Propiedad </t>
  </si>
  <si>
    <t xml:space="preserve">Atención sin seguro médico </t>
  </si>
  <si>
    <t>Accidents - The Total Cost, A Guide for Estimating The Total Cost of Accidents</t>
  </si>
  <si>
    <t>Salarios pagados a los trabajadores durante una ausencia por lesiones o enfermedades inducidas</t>
  </si>
  <si>
    <t>Gastos médicos para los cuales el empleador es el responsable</t>
  </si>
  <si>
    <t>La ausencia del trabajador asegurado o enfermo</t>
  </si>
  <si>
    <t>Subsidios adicionales para la sutitucion del salario y el reembolso médico fuera de las cuentas de seguros accidentes no laborales</t>
  </si>
  <si>
    <t>Reducción de la productividad cuando se deteriora la salud de los trabajadores</t>
  </si>
  <si>
    <t>Tiempo perdido por el accidente</t>
  </si>
  <si>
    <t>Tiempo perdido por los mandos</t>
  </si>
  <si>
    <t xml:space="preserve">Tiempo perdido por otros trabajadores </t>
  </si>
  <si>
    <t>Tasa horaria media trabajador</t>
  </si>
  <si>
    <t>Costos Materiales de Producción</t>
  </si>
  <si>
    <t>Costos inexperiencia reemplazado</t>
  </si>
  <si>
    <t>Costos por no producción</t>
  </si>
  <si>
    <t>Otros materiales de producción</t>
  </si>
  <si>
    <t>Costo reparación maquinaria no cubierto por el seguro (Mantenimiento y Personal)</t>
  </si>
  <si>
    <t>Costo reposición maquinaria no cubierto por el seguro (Mantenimiento y Personal)</t>
  </si>
  <si>
    <t>Reposición otros bienes no incluidos en el seguro</t>
  </si>
  <si>
    <t>Reparación otros bienes no incluidos en el seguro</t>
  </si>
  <si>
    <t>Tiempo dedicado al accidente por mandos (Ingenieros, producción, directores)</t>
  </si>
  <si>
    <t>Tiempo dedicado al accidente por gestión humana</t>
  </si>
  <si>
    <t>Tiempo dedicado al accidente por mantenimiento</t>
  </si>
  <si>
    <t>Tiempo dedicado al accidente por mandos medios</t>
  </si>
  <si>
    <t>Perdida energía (Gas, vapor, agua, electricidad)</t>
  </si>
  <si>
    <t>Penalización por retardo</t>
  </si>
  <si>
    <t>Tiempo de puesta en marcha del proceso (Recuperación)</t>
  </si>
  <si>
    <t>Tiempo mando medio para recuperar el proceso</t>
  </si>
  <si>
    <t>Costos adicionales por la disminución de producción</t>
  </si>
  <si>
    <t>Desocupación temporal de maquinaria por el accidente (Tiempo)</t>
  </si>
  <si>
    <t>Días incapacidad (Baja)</t>
  </si>
  <si>
    <t>Tiempo del profesional de la investigación</t>
  </si>
  <si>
    <t>Material primeros auxilios</t>
  </si>
  <si>
    <t>Compensación al trabajador accidentado durante la incapacidad transitoria</t>
  </si>
  <si>
    <t>Tasa horaria de los trabajadores: coste promedio para la empresa de sus trabajadores.</t>
  </si>
  <si>
    <t>Gravedad de las lesiones: accidente mortal, grave, leve o sin lesiones.</t>
  </si>
  <si>
    <t>Número de trabajadores en la zona de influencia del accidente: personas susceptibles de interrumpir su trabajo para atender a la persona accidentada</t>
  </si>
  <si>
    <t>Gravedad de las consecuencias en el proceso productivo: destrucción de instalaciones, paro de proceso, daños materiales puntuales.</t>
  </si>
  <si>
    <t>Pérdida del Negocio (Costos de Oportunidad)</t>
  </si>
  <si>
    <t>Penalización por retardos</t>
  </si>
  <si>
    <t>Duración de la baja: días de ausencia de la persona accidentada como consecuencia del accidente.</t>
  </si>
  <si>
    <t>Complicaciones después del alta: recuperación del accidentado que provoque nuevos tiempos improductivos.</t>
  </si>
  <si>
    <t>Tipo de proceso: valora las características especiales del trabajo en cadena.</t>
  </si>
  <si>
    <t>Materiales usados de primeros auxilios</t>
  </si>
  <si>
    <t>Traslados del  Accidentado</t>
  </si>
  <si>
    <t>Sanciones para la administración (Responsabilidades civiles, administrativas y penales)</t>
  </si>
  <si>
    <t>Tratamiento de Residuos</t>
  </si>
  <si>
    <t>Actividad de la empresa: probable influencia de los recursos tecnológicos empleados en los costes de los siniestros.</t>
  </si>
  <si>
    <t>Tipo de accidente: grado de espectacularidad del accidente, independientemente de sus consecuencias.</t>
  </si>
  <si>
    <t>Tiempo dedicado al accidente por el personal de estructura (Mando intermedios, administración, prevención, mantenimiento, etc.)</t>
  </si>
  <si>
    <t>Incremento del costo de Producción (Costos Financieros)</t>
  </si>
  <si>
    <t>Estimación del tiempo perdido por la recuperación del accidente</t>
  </si>
  <si>
    <t>Grado de especialización de la tarea del trabajador accidentado: mayor dificultad y, probablemente, mayor coste económico ante la eventual contratación de un sustituto.</t>
  </si>
  <si>
    <t>Lugar del accidente: propio centro de trabajo, trabajador desplazado a otro centro de trabajo, trabajo en domicilio particular, trabajos exteriores: ámbito urbano o ámbito rural.</t>
  </si>
  <si>
    <t>Costos por grupos salarial</t>
  </si>
  <si>
    <t>Pago horas extras</t>
  </si>
  <si>
    <t>Formación</t>
  </si>
  <si>
    <t>Pagos adicionales de la empresa</t>
  </si>
  <si>
    <t>Seguridad social</t>
  </si>
  <si>
    <t>Perdida de ingresos a largo plazo</t>
  </si>
  <si>
    <t>Subsidios</t>
  </si>
  <si>
    <t>Perdida de impuestos</t>
  </si>
  <si>
    <t>Costos Medios</t>
  </si>
  <si>
    <t>Costos de Dolor y Sufrimiento</t>
  </si>
  <si>
    <t>Costos asociados al mantenimiento de la producción</t>
  </si>
  <si>
    <t>Valor de la producción (Pagos de horas extraordinarias, Pagos adicionales de la empresa “Employer excess payment”)</t>
  </si>
  <si>
    <t>Costes de sustitución y formación (Costes de sustitución y preparación)</t>
  </si>
  <si>
    <t>Costes de capital humano</t>
  </si>
  <si>
    <t>Valor actual de los ingresos antes del accidente menos ingresos posteriores</t>
  </si>
  <si>
    <t>Costes sanitarios</t>
  </si>
  <si>
    <t>Costes sanitarios asociados al accidente</t>
  </si>
  <si>
    <t>Costes de administración</t>
  </si>
  <si>
    <t>Costes legales</t>
  </si>
  <si>
    <t>Costes de investigación</t>
  </si>
  <si>
    <t>Costes de desplazamiento</t>
  </si>
  <si>
    <t>Costes de funerales (menos valor presente del coste futuro)</t>
  </si>
  <si>
    <t>Tiempo perdido, mientras la persona asiste a una cita de seguimiento médico y otros tratamientos relacionados</t>
  </si>
  <si>
    <t>Sueldo/ salario del asistente de primeros auxilios</t>
  </si>
  <si>
    <t xml:space="preserve">Sueldo / salario de la persona para organizar los servicios de emergencia y de transporte. </t>
  </si>
  <si>
    <t>Sueldo / salario del asistente de primeros auxilios para rellenar registro de primeros auxilios.</t>
  </si>
  <si>
    <t>Sueldo/ salario del acompañante del trabajador herido al hospital</t>
  </si>
  <si>
    <t>Sueldo/ salario de los trabajadores mientras llega el transporte</t>
  </si>
  <si>
    <t>Sueldo/ salario del trabajador que acompaña al trabajador herido en el hospital</t>
  </si>
  <si>
    <t>Sueldo/ salario del trabajador herido</t>
  </si>
  <si>
    <t>Sueldo/ salario de todos los trabajadores que temporalmente dejen de trabajar, si no se registran en otros lugares</t>
  </si>
  <si>
    <t>Costo de las actividades para hacer el area segura inmediatamente</t>
  </si>
  <si>
    <t>Costo de evacuar el area y/o rescate de emergencia</t>
  </si>
  <si>
    <t>Tiempo para reportar incidentes de Seguridad y Salud Laboral de Queensland (WHSQ) y se reunirá con funcionarios WHSQ</t>
  </si>
  <si>
    <t xml:space="preserve">Reunirse con los trabajadores, los representantes de los trabajadores o los miembros del comité de seguridad para discutir el incidente y los hallazgos de las investigaciones, y los cambios necesarios en procedimientos o procesos (empleador y trabajador a tiempo). </t>
  </si>
  <si>
    <t xml:space="preserve">Reúnase con el trabajador lesionado y su familia. </t>
  </si>
  <si>
    <t>Tiempo para investigar el incidente que incluye entrevistas con el trabajador herido y testigos</t>
  </si>
  <si>
    <t>Tiempo para reunirse con los fabricantes, ingenieros y otros especialistas</t>
  </si>
  <si>
    <t>Haga un seguimiento con el oficial de WHSQ.</t>
  </si>
  <si>
    <t xml:space="preserve">Tiempo para determinar qué reparaciones o modificaciones pueden ser necesarias como resultado de las investigaciones de incidentes. </t>
  </si>
  <si>
    <t>Tiempo para determinar si el equipo o partes necesitan ser actualizadas o cambiadas.</t>
  </si>
  <si>
    <t>Costos laborales para las reparaciones</t>
  </si>
  <si>
    <t xml:space="preserve">Tiempo para coordinar las compras. </t>
  </si>
  <si>
    <t xml:space="preserve">Tiempo para coordinar modificaciones de los equipos, incluyendo modificaciones temporales. </t>
  </si>
  <si>
    <t>Tiempo para coordinar la producción para dar cabida a los trabajos de reparación.</t>
  </si>
  <si>
    <t xml:space="preserve">Tiempo de los trabajadores para limpiar el sitio. </t>
  </si>
  <si>
    <t xml:space="preserve">Tiempo de coordinar y supervisar la limpieza. </t>
  </si>
  <si>
    <t xml:space="preserve">Tiempo para evaluar si los trabajadores existentes pueden ser reubicados para cubrir obligaciones del trabajador lesionado o si un trabajador de reemplazo debe ser contratado. </t>
  </si>
  <si>
    <t xml:space="preserve">Tiempo para revisar hojas de vida, llevar a cabo entrevistas telefónicas, horario de entrevistas en persona. </t>
  </si>
  <si>
    <t xml:space="preserve">Tiempo para probar y / o entrevistar nuevo trabajador potencial. </t>
  </si>
  <si>
    <t>Tiempo para coordinar la capacitación y orientación de trabajador nuevo o reubicado.</t>
  </si>
  <si>
    <t>Tiempo para completar el papeleo.</t>
  </si>
  <si>
    <t>Horas extraordinarias y / o diferencia en la remuneración.</t>
  </si>
  <si>
    <t>Pérdida de la productividad desde donde se retiró trabajador reubicado.</t>
  </si>
  <si>
    <t>Tiempo de Empleador para la reprogramación, la coordinación y la corriente de comunicacion.</t>
  </si>
  <si>
    <t xml:space="preserve">Tiempo para la formación. </t>
  </si>
  <si>
    <t xml:space="preserve">Tiempo de la supervisión adicional de trabajador nuevo o reubicado. </t>
  </si>
  <si>
    <t>Pérdida de productividad de la persona requerida para capacitar y supervisar.</t>
  </si>
  <si>
    <t>Reducción de la productividad del trabajador nuevo o reubicado.</t>
  </si>
  <si>
    <t xml:space="preserve">Los gastos de publicidad. </t>
  </si>
  <si>
    <t xml:space="preserve">Gastos de agencias (si trabajador temporal es utilizado). </t>
  </si>
  <si>
    <t xml:space="preserve">Costo de la reducción de la productividad. </t>
  </si>
  <si>
    <t xml:space="preserve">Costo de los contratistas o subcontratistas que estaban ociosos. </t>
  </si>
  <si>
    <t xml:space="preserve">El costo de la producción perdida en el día del incidente. </t>
  </si>
  <si>
    <t xml:space="preserve">El costo de la producción perdida durante la investigación. </t>
  </si>
  <si>
    <t xml:space="preserve">Reducción de la productividad debido al impacto en los compañeros de trabajo. </t>
  </si>
  <si>
    <t>En respuesta a los problemas de servicio al cliente, debido a retrasos en la entrega o la escasez de existencias.</t>
  </si>
  <si>
    <t xml:space="preserve">Mantener el contacto con el trabajador (y su familia) y la coordinación de las actividades y las fechas de regreso al trabajo. </t>
  </si>
  <si>
    <t xml:space="preserve">Ponerse en contacto con WorkCover Queensland para discutir reclamo y progreso y coordinar las actividades y las fechas de regreso al trabajo. </t>
  </si>
  <si>
    <t xml:space="preserve">Contratacion rehabilitación externa y volver a la experiencia de trabajo si es necesario. </t>
  </si>
  <si>
    <t>Revisión de la decisión por Q-COMP.</t>
  </si>
  <si>
    <t xml:space="preserve">El trabajador puede seguirse recuperando y no volver al trabajo a tiempo completo. </t>
  </si>
  <si>
    <t>Tiempo de seguimiento de las citas médicas.</t>
  </si>
  <si>
    <t xml:space="preserve">Tiempo para ponerse al día en la producción o el proyecto actual. </t>
  </si>
  <si>
    <t>Prima de turno para el personal de socorro (Si aplica)</t>
  </si>
  <si>
    <t>Variables método Aaltonen, 1996</t>
  </si>
  <si>
    <t>Horas de trabajo perdidas</t>
  </si>
  <si>
    <t>Activos corrientes perdidas</t>
  </si>
  <si>
    <t>Activos fijos perdidos</t>
  </si>
  <si>
    <t>Pagos a corto plazo</t>
  </si>
  <si>
    <t>Ingresos Perdidos</t>
  </si>
  <si>
    <t>Ingresos</t>
  </si>
  <si>
    <t>Variables método SACA, 2002</t>
  </si>
  <si>
    <t>Materiales y Componentes</t>
  </si>
  <si>
    <t>Costo de transporte al hospital</t>
  </si>
  <si>
    <t>El costo de la admisión en el hospital y los gastos de personal médico (incluyendo el costo por cama, costo consultor y costo personal médico)</t>
  </si>
  <si>
    <t>Costo de otros recursos médicos</t>
  </si>
  <si>
    <t>Costo de la Investigación de Seguridad y Salud ocupacional</t>
  </si>
  <si>
    <t>Pérdida de ingresos por incapacidad laboral</t>
  </si>
  <si>
    <t>Pérdida de ingresos debido a la pérdida de la productividad</t>
  </si>
  <si>
    <t>Cálculo de la pérdida de productividad debido a la incapacidad permanente</t>
  </si>
  <si>
    <t>Cálculo de la pérdida de productividad debido a accidentes mortales</t>
  </si>
  <si>
    <t xml:space="preserve">Costos por Daños </t>
  </si>
  <si>
    <t>Costos por Médicos</t>
  </si>
  <si>
    <t xml:space="preserve">Costos por Multas </t>
  </si>
  <si>
    <t xml:space="preserve">Costos por Seguros </t>
  </si>
  <si>
    <t xml:space="preserve">Costos Directos </t>
  </si>
  <si>
    <t>Costos por reclutamiento, entrenamiento, nuevos trabajadores</t>
  </si>
  <si>
    <t>Pagos</t>
  </si>
  <si>
    <t>Numero de meses que el trabajador lesionado es reemplazado</t>
  </si>
  <si>
    <t>Impacto en la Reputación</t>
  </si>
  <si>
    <t>Impacto en la Moral</t>
  </si>
  <si>
    <t xml:space="preserve">Establishing the acceptable risk level considering the formal analysys of the function related to the structure of costs involved by occupational accidents and diseases </t>
  </si>
  <si>
    <t>Rotación de cuentas por pagar (S.I)</t>
  </si>
  <si>
    <t>Activo Corriente</t>
  </si>
  <si>
    <t>Activos Corriente</t>
  </si>
  <si>
    <t>Pasivo Corriente</t>
  </si>
  <si>
    <t>Honorarios</t>
  </si>
  <si>
    <t xml:space="preserve">Impuestos </t>
  </si>
  <si>
    <t>Arrendamientos</t>
  </si>
  <si>
    <t>Contribuciones y afiliaciones</t>
  </si>
  <si>
    <t>Seguros</t>
  </si>
  <si>
    <t>Servicios</t>
  </si>
  <si>
    <t>Gastos legales</t>
  </si>
  <si>
    <t>Mantenimiento y reparación</t>
  </si>
  <si>
    <t>Adecuación e instalación</t>
  </si>
  <si>
    <t>Gastos de viaje</t>
  </si>
  <si>
    <t>Depreciaciones</t>
  </si>
  <si>
    <t>Amortizaciones</t>
  </si>
  <si>
    <t>Libros y revistas</t>
  </si>
  <si>
    <t>Publicidad material promocional</t>
  </si>
  <si>
    <t>Anuncios medios masivos</t>
  </si>
  <si>
    <t>Relaciones públicas cortesías</t>
  </si>
  <si>
    <t>Gastos de representación y otros</t>
  </si>
  <si>
    <t>Papelería útiles y fotocopias</t>
  </si>
  <si>
    <t>Material y recurso docente</t>
  </si>
  <si>
    <t>Elementos de aseo y cafetería</t>
  </si>
  <si>
    <t>Reintegro gastos</t>
  </si>
  <si>
    <t>Otros apoyos</t>
  </si>
  <si>
    <t>Herramientas</t>
  </si>
  <si>
    <t>Regalos de protocolo</t>
  </si>
  <si>
    <t>Souvenirs</t>
  </si>
  <si>
    <t>Diversos</t>
  </si>
  <si>
    <t>Gastos asociados a asesorías y consultorías</t>
  </si>
  <si>
    <t>Taxis y buses</t>
  </si>
  <si>
    <t>Casino y restaurante</t>
  </si>
  <si>
    <t>Implementos deportivos y culturales</t>
  </si>
  <si>
    <t xml:space="preserve">Los salarios pagados sin compensar </t>
  </si>
  <si>
    <t>Los salarios de los trabajadores</t>
  </si>
  <si>
    <t>Producto perdido</t>
  </si>
  <si>
    <t>Tiempo perdido del trabajador</t>
  </si>
  <si>
    <t>Daños a la propiedad de reparación y reemplazo</t>
  </si>
  <si>
    <t>Recuperación de producto perdido</t>
  </si>
  <si>
    <t xml:space="preserve">Gastos distribuibles durante el tiempo inactivo </t>
  </si>
  <si>
    <t>Operaciones de respuesta ante el accidente</t>
  </si>
  <si>
    <t xml:space="preserve">Ventas perdidas </t>
  </si>
  <si>
    <t>Recuperación del sitio de trabajo</t>
  </si>
  <si>
    <t xml:space="preserve">Gastos de sustitución del trabajador </t>
  </si>
  <si>
    <t xml:space="preserve">Demoras </t>
  </si>
  <si>
    <t xml:space="preserve">Sanciones </t>
  </si>
  <si>
    <t>Intereses pagados por retraso, Compensación,  Daños,  Reclamos médicos</t>
  </si>
  <si>
    <t xml:space="preserve">Gastos médicos no compensados </t>
  </si>
  <si>
    <t>Deducible de Seguro</t>
  </si>
  <si>
    <t>Los pagos de reclamación de seguros</t>
  </si>
  <si>
    <t xml:space="preserve">Responsabilidades de pago </t>
  </si>
  <si>
    <t>Tiempos de investigación</t>
  </si>
  <si>
    <t>Tiempos de entrevista</t>
  </si>
  <si>
    <t>Reuniones para discutir accidentes</t>
  </si>
  <si>
    <t>Tiempo de preparación de informes</t>
  </si>
  <si>
    <t>Tiempo de reclamaciones o trámites</t>
  </si>
  <si>
    <t>Honorarios legales no reportados en otros lugares</t>
  </si>
  <si>
    <t>Honorarios de los consultores externos no reportados en otros lugares</t>
  </si>
  <si>
    <t>Prima de seguro de ajuste</t>
  </si>
  <si>
    <t>El daño a la reputación y la moral</t>
  </si>
  <si>
    <t>Pérdida de productividad</t>
  </si>
  <si>
    <t>Producto Reemplazo</t>
  </si>
  <si>
    <t>Aseguramiento del area</t>
  </si>
  <si>
    <t>Nombre Cuenta PUC</t>
  </si>
  <si>
    <t>Variables PUC</t>
  </si>
  <si>
    <r>
      <rPr>
        <b/>
        <sz val="12"/>
        <color theme="1"/>
        <rFont val="Calibri"/>
        <family val="2"/>
        <scheme val="minor"/>
      </rPr>
      <t>CRITERIO:</t>
    </r>
    <r>
      <rPr>
        <sz val="12"/>
        <color theme="1"/>
        <rFont val="Calibri"/>
        <family val="2"/>
        <scheme val="minor"/>
      </rPr>
      <t xml:space="preserve"> Datos obtenidos de la estimación de costos de los accidentes de trabajo de La Universidad EAFIT 2013, cifras expresadas en miles de pesos. Estas cifras no tienen incluido los costos de los accidentes de trabajo, periodo 2013.</t>
    </r>
  </si>
  <si>
    <t>Tiempo en tramites administrativos derivados del accidente</t>
  </si>
  <si>
    <t>Tiempo para el cambio de procesos y procedimientos</t>
  </si>
  <si>
    <t>Gastos por aumento de primas de seguros</t>
  </si>
  <si>
    <t>Gastos por deducibles para reparación o reposición de equipos</t>
  </si>
  <si>
    <t>Tiempo dedicado al accidente por personal de mantenimiento</t>
  </si>
  <si>
    <t>Tiempo para la coordinación y limpieza del lugar del accidente</t>
  </si>
  <si>
    <t>Ingresos Operacionales y no Op.</t>
  </si>
  <si>
    <t xml:space="preserve"> Deuda - Pasivo Total</t>
  </si>
  <si>
    <t>Total Patrimonio Promedio</t>
  </si>
  <si>
    <t>De Personal</t>
  </si>
  <si>
    <t>Ferretería</t>
  </si>
  <si>
    <t>Ingresos CEC</t>
  </si>
  <si>
    <t>Ingresos Eafit - Social</t>
  </si>
  <si>
    <t>Formación universitaria</t>
  </si>
  <si>
    <t>Formación avanzada</t>
  </si>
  <si>
    <t>Centro de idiomas</t>
  </si>
  <si>
    <t>Sislenguas</t>
  </si>
  <si>
    <t>Departamento de deportes</t>
  </si>
  <si>
    <t>Derechos académicos</t>
  </si>
  <si>
    <t>Promoción cultural</t>
  </si>
  <si>
    <t>Convenios</t>
  </si>
  <si>
    <t>Eventos departamentos académicos</t>
  </si>
  <si>
    <t>Orquesta sinfónica</t>
  </si>
  <si>
    <t>Asesorías y consultorías</t>
  </si>
  <si>
    <t>Servicios de laboratorio</t>
  </si>
  <si>
    <t>Proyectos de investigación</t>
  </si>
  <si>
    <t>Fondo editorial</t>
  </si>
  <si>
    <t>Acentos</t>
  </si>
  <si>
    <t>Tienda</t>
  </si>
  <si>
    <t>Sol y melón</t>
  </si>
  <si>
    <t>Máquinas snack</t>
  </si>
  <si>
    <t>Vivo</t>
  </si>
  <si>
    <t>Ingresos por arrendamiento de lockers</t>
  </si>
  <si>
    <t>Otros ingresos actividades varias</t>
  </si>
  <si>
    <t>Descripción</t>
  </si>
  <si>
    <t>Gastos Operacionales (Gastos de Administración, nota 22, P&amp;G )</t>
  </si>
  <si>
    <t>TOTAL COSTOS BALANCE GENERAL Y ESTADO DE RESULTADOS</t>
  </si>
  <si>
    <t>Costos Operacionales (Gastos de Administración, nota 22, P&amp;G )</t>
  </si>
  <si>
    <t>Inventario (Activo Corriente, Balance General)</t>
  </si>
  <si>
    <t>Propiedad, Planta, Equipos (Activo No Corriente, Balance General, nota 7)</t>
  </si>
  <si>
    <t>17, 18, 25</t>
  </si>
  <si>
    <t>Ingresos Operacionales (17: Servicios de Enseñanza, 18: Otros Servicios Operacionales) y No Operacionales (25: Otras Ventas)</t>
  </si>
  <si>
    <t>Terrenos</t>
  </si>
  <si>
    <t>Construcciones en curso</t>
  </si>
  <si>
    <t>Maquinaria y equipo en montaje</t>
  </si>
  <si>
    <t>Construcciones y edificaciones</t>
  </si>
  <si>
    <t>Maquinaria y Equipo</t>
  </si>
  <si>
    <t>Equipo de oficina</t>
  </si>
  <si>
    <t>Equipo de computación y comunicación</t>
  </si>
  <si>
    <t>Flota y equipo de transporte y fluvial</t>
  </si>
  <si>
    <t>Equipo en tránsito</t>
  </si>
  <si>
    <t>Materiales varios</t>
  </si>
  <si>
    <t>Propaganda</t>
  </si>
  <si>
    <t>Propiedad, planta y equipo (nota 7)</t>
  </si>
  <si>
    <t>Costos Operacionales (Gastos de Administración, nota 22)</t>
  </si>
  <si>
    <t>Costo de Venta (Ingresos operacionales y No Operacionales, nota 17, 18 y 25)</t>
  </si>
  <si>
    <t>Gastos operacionales (nota 22)</t>
  </si>
  <si>
    <t>Costos por maquilas (Reemplazos)</t>
  </si>
  <si>
    <t xml:space="preserve">Perdidas por paralización parcial </t>
  </si>
  <si>
    <t xml:space="preserve">Perdidas por paralización total del proceso </t>
  </si>
  <si>
    <t>Perdidas por efectos cuello de botella (Retrasos)</t>
  </si>
  <si>
    <t>PROFESOR</t>
  </si>
  <si>
    <t>TECNICO</t>
  </si>
  <si>
    <t>CENTRO CULTURAL LUIS ECHAVARRI</t>
  </si>
  <si>
    <t>AUXILIAR ADMINISTRATIVO</t>
  </si>
  <si>
    <t>CENTRO DE EDUCACIÓN CONTINUA</t>
  </si>
  <si>
    <t>PROFESIONAL</t>
  </si>
  <si>
    <t>CONSULTOR</t>
  </si>
  <si>
    <t>AREA METROP.BICICLETAS VER. 2</t>
  </si>
  <si>
    <t>TECNICO II- TEMPORAL</t>
  </si>
  <si>
    <t>TALLERES DE DISENO</t>
  </si>
  <si>
    <t>DEPTO.GBNO.CIENCIAS POLITICAS</t>
  </si>
  <si>
    <t>LABORATORIO DE SUELOS, CONCRET</t>
  </si>
  <si>
    <t>AUXILIAR OPERATIVO</t>
  </si>
  <si>
    <t>DEPTO. DE PLANTA FISICA</t>
  </si>
  <si>
    <t>ASISTENTE DE INVESTIGACION</t>
  </si>
  <si>
    <t>SERVICIO GEOLOGICO BLOQUE 16</t>
  </si>
  <si>
    <t>AUXILIAR ADMINISTRATIVO-TEMPORAL</t>
  </si>
  <si>
    <t>CONSULTORIO JURÍDICO</t>
  </si>
  <si>
    <t>APRENDIZ -TEMPORAL</t>
  </si>
  <si>
    <t>CENTRO MULTIMEDIAL</t>
  </si>
  <si>
    <t>VIVO - CAF  CENTRO ACONDICION.</t>
  </si>
  <si>
    <t>HORNO GAS ALTO DESEMPEÑO-COLC.</t>
  </si>
  <si>
    <t>CARGO</t>
  </si>
  <si>
    <t>DEPENDENCIA</t>
  </si>
  <si>
    <t>TTIPO INCAPACIDAD</t>
  </si>
  <si>
    <t>ACCIDENTE DE TRABAJO</t>
  </si>
  <si>
    <t>DIAS INCAPACIDAD</t>
  </si>
  <si>
    <t>VALOR AUSENTISMO</t>
  </si>
  <si>
    <t>VALOR DIA</t>
  </si>
  <si>
    <t>Total Tiempo 
Perdido Hrs</t>
  </si>
  <si>
    <t>Total Numero
 Trabajadores</t>
  </si>
  <si>
    <t>Numero de Trabajadores Total</t>
  </si>
  <si>
    <t>Salario Promedio Hora</t>
  </si>
  <si>
    <t>Tiempo Perdido   Promedio</t>
  </si>
  <si>
    <t>Salario Promedio
Hora</t>
  </si>
  <si>
    <t>Total Salario Tiempo Perdido</t>
  </si>
  <si>
    <t>Tiempo de baja productividad (Por la ausencia del trabajador)</t>
  </si>
  <si>
    <r>
      <rPr>
        <b/>
        <sz val="12"/>
        <color theme="1"/>
        <rFont val="Calibri"/>
        <family val="2"/>
        <scheme val="minor"/>
      </rPr>
      <t>CRITERIO:</t>
    </r>
    <r>
      <rPr>
        <sz val="12"/>
        <color theme="1"/>
        <rFont val="Calibri"/>
        <family val="2"/>
        <scheme val="minor"/>
      </rPr>
      <t xml:space="preserve"> Datos obtenidos de los estados financieros de La Universidad EAFIT 2013, cifras expresadas en miles de pesos. Estas cifras incluyen los costos diluidos de los accidentes de trabajo, Periodo 2013.</t>
    </r>
  </si>
  <si>
    <t>Costos de los materiales usados en la atención de la emergencia</t>
  </si>
  <si>
    <t>Gastos médicos no incluidos en el seguro</t>
  </si>
  <si>
    <t>Sanciones por impactos ambientales</t>
  </si>
  <si>
    <t>Tiempo del personal que atendió la emergencia en la empresa</t>
  </si>
  <si>
    <t>Tiempo de aseguramiento del área</t>
  </si>
  <si>
    <t>Tiempo de evaluación de daños</t>
  </si>
  <si>
    <t>Categoría Método Simplificado</t>
  </si>
  <si>
    <t>Rehabilitación</t>
  </si>
  <si>
    <t>Atención de  los medios no deseados</t>
  </si>
  <si>
    <t>Tiempo para hacer el área segura</t>
  </si>
  <si>
    <t>Documentación relacionada para la empresa</t>
  </si>
  <si>
    <t>Tiempo de coordinación para la reparación de daños</t>
  </si>
  <si>
    <t>Tiempo de reunión con especialistas - asesoría técnica</t>
  </si>
  <si>
    <t>Tiempo de atención de funcionarios del gobierno</t>
  </si>
  <si>
    <t>Categoría</t>
  </si>
  <si>
    <t>Costo de recuperación de maquinaria</t>
  </si>
  <si>
    <t>Perdidas por volúmenes de ventas afectado</t>
  </si>
  <si>
    <t>Disminución moral</t>
  </si>
  <si>
    <r>
      <rPr>
        <b/>
        <sz val="12"/>
        <color theme="1"/>
        <rFont val="Calibri"/>
        <family val="2"/>
        <scheme val="minor"/>
      </rPr>
      <t>CRITERIO:</t>
    </r>
    <r>
      <rPr>
        <sz val="12"/>
        <color theme="1"/>
        <rFont val="Calibri"/>
        <family val="2"/>
        <scheme val="minor"/>
      </rPr>
      <t xml:space="preserve"> Solo ingresan las variables relacionadas con accidentes de trabajo que sean cuantificables por la empresa y que su costo sea asumido por la misma, es decir, no se incluyen variables que se encuentren aseguradas, o que por obligación legal se deban asegurar o transferir a una compañía de seguros. Ejemplo: ARL, pólizas de responsabilidad civil, entre otras. la categoría de variables seleccionadas no corresponden a métodos contables, solo es una agrupación de las variables mas mencionadas en los métodos de costeo.</t>
    </r>
  </si>
  <si>
    <t>Tiempo de paro del proceso (A partir del primer día)</t>
  </si>
  <si>
    <r>
      <rPr>
        <b/>
        <sz val="12"/>
        <color theme="1"/>
        <rFont val="Calibri"/>
        <family val="2"/>
        <scheme val="minor"/>
      </rPr>
      <t>CRITERIO:</t>
    </r>
    <r>
      <rPr>
        <sz val="12"/>
        <color theme="1"/>
        <rFont val="Calibri"/>
        <family val="2"/>
        <scheme val="minor"/>
      </rPr>
      <t xml:space="preserve"> Se realiza una relación entre las variables de los accidentes de trabajo y las cuentas contables del PUC.</t>
    </r>
  </si>
  <si>
    <r>
      <rPr>
        <b/>
        <sz val="12"/>
        <color theme="1"/>
        <rFont val="Calibri"/>
        <family val="2"/>
        <scheme val="minor"/>
      </rPr>
      <t>CRITERIO:</t>
    </r>
    <r>
      <rPr>
        <sz val="12"/>
        <color theme="1"/>
        <rFont val="Calibri"/>
        <family val="2"/>
        <scheme val="minor"/>
      </rPr>
      <t xml:space="preserve"> Total de costos por cuenta PUC, las variables y los valores del método simplificado vienen de la hoja de Excel método Simplificado y corresponde al costeo de los accidentes de la Universidad EAFIT periodo 2013, las variables PUC son la relación con las cuentas del Balance General y El Estado de Perdidas y Ganancias. Fuente: Anexo 2: Balance General y Estado P&amp;G EAFIT 2013.</t>
    </r>
  </si>
  <si>
    <t>Variables Método Simplificado</t>
  </si>
  <si>
    <t>Valor Método Simplificado</t>
  </si>
  <si>
    <t>Centro de estudios Asia pacífico</t>
  </si>
  <si>
    <t>Indicador de días de inventario (S.I)</t>
  </si>
  <si>
    <t>Costo Mercancía Vendida</t>
  </si>
  <si>
    <t>Indicador de días de inventario (C.I)</t>
  </si>
  <si>
    <t>Razón corriente (S.I)</t>
  </si>
  <si>
    <t>Razón corriente (C.I)</t>
  </si>
  <si>
    <t>Amortización Capital</t>
  </si>
  <si>
    <t>Tiempo Perdido Promedio</t>
  </si>
  <si>
    <t>Descripción Daño</t>
  </si>
  <si>
    <t>Valor Unitario</t>
  </si>
  <si>
    <t>Total Costo</t>
  </si>
  <si>
    <t>No aplica</t>
  </si>
  <si>
    <t>Descripción Perdida</t>
  </si>
  <si>
    <t>Descripción Gasto</t>
  </si>
  <si>
    <t>Total Gasto</t>
  </si>
  <si>
    <t>No se presentaron</t>
  </si>
  <si>
    <t>Gastos por traslados de urgencia (asumidos por la empresa)</t>
  </si>
  <si>
    <t>Gastos por subcontratación servicios</t>
  </si>
  <si>
    <t>Sin datos para calcular</t>
  </si>
  <si>
    <t>Método 1</t>
  </si>
  <si>
    <t>Método 2</t>
  </si>
  <si>
    <t>Método 3</t>
  </si>
  <si>
    <t>Método 4</t>
  </si>
  <si>
    <t>Método 5</t>
  </si>
  <si>
    <t>Método 6</t>
  </si>
  <si>
    <t>Método 7</t>
  </si>
  <si>
    <t>Método 8</t>
  </si>
  <si>
    <t>Método 9</t>
  </si>
  <si>
    <t>Método 10</t>
  </si>
  <si>
    <t>Método 11</t>
  </si>
  <si>
    <t>Método 12</t>
  </si>
  <si>
    <t>Método 13</t>
  </si>
  <si>
    <t>Método 14</t>
  </si>
  <si>
    <t>Método 15</t>
  </si>
  <si>
    <t>Método 16</t>
  </si>
  <si>
    <t>Método 17</t>
  </si>
  <si>
    <t>Método 18</t>
  </si>
  <si>
    <t>Método 19</t>
  </si>
  <si>
    <t>Método 20</t>
  </si>
  <si>
    <t>Método 21</t>
  </si>
  <si>
    <t>Método 22</t>
  </si>
  <si>
    <t>Método 23</t>
  </si>
  <si>
    <t>Método 24</t>
  </si>
  <si>
    <t>Método 25</t>
  </si>
  <si>
    <t>Método 26</t>
  </si>
  <si>
    <t>Método 27</t>
  </si>
  <si>
    <t>Método 28</t>
  </si>
  <si>
    <t>Método 29</t>
  </si>
  <si>
    <t>Método 30</t>
  </si>
  <si>
    <t>Método 31</t>
  </si>
  <si>
    <t>Método 32</t>
  </si>
  <si>
    <t>Método  para la Evaluación Económica de Accidentes</t>
  </si>
  <si>
    <t>NTP 273: Costes no asegurados de accidentes: Método simple de calculo</t>
  </si>
  <si>
    <t>NTP 594: La gestión integral de los accidentes (III): Costos de los accidentes</t>
  </si>
  <si>
    <t>NTP 982: Análisis Costo-Beneficio en la acción preventiva (I): Bases conceptuales: Método Heinrich (1930)</t>
  </si>
  <si>
    <t>NTP 982: Análisis Costo-Beneficio en la acción preventiva (I): Bases conceptuales: Método Rollind h. Simonds (1954)</t>
  </si>
  <si>
    <t>NTP 982: Análisis Costo-Beneficio en la acción preventiva (I): Bases conceptuales: Método de Elementos de Producción</t>
  </si>
  <si>
    <t>NTP 982: Análisis Costo-Beneficio en la acción preventiva (I): Bases conceptuales: Método Simplificado de Costos del Accidente (INSHT)</t>
  </si>
  <si>
    <t>NTP 983: Análisis Costo Beneficio en la Acción preventiva (II): Estrategias de Medición</t>
  </si>
  <si>
    <t>Análisis de los costes de la siniestralidad laboral en Cataluña. Propuesta metodológica y cifras para los años 2006 y 2007</t>
  </si>
  <si>
    <t>Tiempo de la evaluación</t>
  </si>
  <si>
    <t>Tiempo de la atención del accidente - emergencia</t>
  </si>
  <si>
    <t>Costo de recuperación - mantenimmiento</t>
  </si>
  <si>
    <t>Costo reparación</t>
  </si>
  <si>
    <t>Gastos contratación</t>
  </si>
  <si>
    <t>Penalización por retrasos</t>
  </si>
  <si>
    <t>Costos de materias en la atención del accidente</t>
  </si>
  <si>
    <t>Tiempo de recuperación del proceso</t>
  </si>
  <si>
    <t>Interferencia en la producción</t>
  </si>
  <si>
    <t>Reparación interna - piezas y repuestos</t>
  </si>
  <si>
    <t>Repercusión proceso de produccion</t>
  </si>
  <si>
    <t>Perdidad de producción cantidad - materias primas</t>
  </si>
  <si>
    <t>Parada de la producción - Horas extras</t>
  </si>
  <si>
    <t>Perdidas para el Negocio por baja en el Incremento de Producción</t>
  </si>
  <si>
    <t>Gastos administración contratos sustitutos</t>
  </si>
  <si>
    <t>Estimacion del tiempo perdido por la recuperación del accidente</t>
  </si>
  <si>
    <t>Perdida de rendimiento trabajador hasta total recuperación</t>
  </si>
  <si>
    <t>Costo investigación del accidente</t>
  </si>
  <si>
    <t>Salarios del accidente por tiempo improductivo, tiempo de atencion y rehabilitación</t>
  </si>
  <si>
    <t>Costo de mantenimiento de la producción</t>
  </si>
  <si>
    <t>Costo extra para mantener la producción</t>
  </si>
  <si>
    <t>Costos de sustitución</t>
  </si>
  <si>
    <t xml:space="preserve">Atención </t>
  </si>
  <si>
    <t>En función de la gravedad del accidente</t>
  </si>
  <si>
    <t>Costos de Investigación</t>
  </si>
  <si>
    <t>Tiempo de investigación</t>
  </si>
  <si>
    <t>Reporte completo de la investigación del incidente</t>
  </si>
  <si>
    <t>Notificacion de incidentes graves/investigación</t>
  </si>
  <si>
    <t>Tiempo para coordinar el trabajo de reparación</t>
  </si>
  <si>
    <t>Tiempo de limpieza (Incluye la coordinación)</t>
  </si>
  <si>
    <t>Contratación o reubicación de los trabajadores de remplazo</t>
  </si>
  <si>
    <t>Perdida de productividad por la interrupción (Retrasos, espera para reiniciar la producción)</t>
  </si>
  <si>
    <t>Costos Directos de la Lesión</t>
  </si>
  <si>
    <t>Visitas al Médico</t>
  </si>
  <si>
    <t xml:space="preserve">Gastos Médicos </t>
  </si>
  <si>
    <t>Costos Indirectos de la Lesión</t>
  </si>
  <si>
    <t>Tiempo administrativo en frente de la lesión</t>
  </si>
  <si>
    <t>Atención médica</t>
  </si>
  <si>
    <t>Sustitución de horas perdidos por empleado lesionado por otro empleado</t>
  </si>
  <si>
    <t>Perdida de reputación y confianza en los empleados y clientes</t>
  </si>
  <si>
    <t>Transporte al médico</t>
  </si>
  <si>
    <t>Costos de asistencia médica</t>
  </si>
  <si>
    <t>Investigación del accidente</t>
  </si>
  <si>
    <t>Documentación completa relacionada para su empresa</t>
  </si>
  <si>
    <t>Investigacion de la lesión</t>
  </si>
  <si>
    <t>Tiempo para completar un reporte de la investigación del incidente</t>
  </si>
  <si>
    <t>Tiempo si las actividades de producción/trabajo deben parar para la investigación</t>
  </si>
  <si>
    <t>Costo de limpieza/recuperación</t>
  </si>
  <si>
    <t>Perdida de productividad por la interrupción (Retrasos, espera para reiniciar la produccion)</t>
  </si>
  <si>
    <t>Recuperación</t>
  </si>
  <si>
    <t>Evaluación de daños</t>
  </si>
  <si>
    <t>Reporte de la investigación del incidente</t>
  </si>
  <si>
    <t>Disposición de equipos dañados</t>
  </si>
  <si>
    <t>Contratación adicional, los costes de reconversión</t>
  </si>
  <si>
    <t>Salarios de sustitución al empleado modificado mientras el empleado esta accidentado</t>
  </si>
  <si>
    <t>Administración:</t>
  </si>
  <si>
    <t>Factor de clasificación</t>
  </si>
  <si>
    <t>Costos NEER de solo esta reclamación</t>
  </si>
  <si>
    <t>Costos NEER sin reclamación</t>
  </si>
  <si>
    <t>Descuento (o pago) sin la reclamación</t>
  </si>
  <si>
    <t>Perdida de capacidad de producción</t>
  </si>
  <si>
    <t>Perdidas para clientes, ciclos de entrega atrasados, cancelación de contratos, rebaja de precios</t>
  </si>
  <si>
    <t>Tiempos de instrucción a nuevos trabajadores, investigación del accidente</t>
  </si>
  <si>
    <t>Efectos de cuello de botella, aumento del inventario</t>
  </si>
  <si>
    <t>Tiempo del gerente traducido en la disminución de ventas</t>
  </si>
  <si>
    <t>Costo relacionado con la eliminación de los daños humanos y materiales</t>
  </si>
  <si>
    <t>Liquidez, Endeudamiento y Rentabilidad</t>
  </si>
  <si>
    <t>Eficiencia</t>
  </si>
  <si>
    <t>Eficacia, endeudamiento y Rentabilidad</t>
  </si>
  <si>
    <t>Bicicletas, Bisturi</t>
  </si>
  <si>
    <t>Maquina Universal</t>
  </si>
  <si>
    <t>Laminas Aluminio</t>
  </si>
  <si>
    <t>Sensor movimiento, anclaje maquina universal</t>
  </si>
  <si>
    <t xml:space="preserve">Bicicleta </t>
  </si>
  <si>
    <t>Bicicleta</t>
  </si>
  <si>
    <t>Bisturi</t>
  </si>
  <si>
    <t>Anclaje maquina universal</t>
  </si>
  <si>
    <t xml:space="preserve">Sensor de movimiento  </t>
  </si>
  <si>
    <t>Cierre temporal laboratorio de suelos</t>
  </si>
  <si>
    <t xml:space="preserve">Cierre temporal del servicio </t>
  </si>
  <si>
    <t>Cierre temporal del servicio del Consultorio Juridico, del Laboratorio de Suelos, de actividades de consultoria e Investigación</t>
  </si>
  <si>
    <t>Cierre temporal</t>
  </si>
  <si>
    <t>Laboratorio de suelos y Servicio de Aseo y Encicla</t>
  </si>
  <si>
    <t xml:space="preserve">Sustituto </t>
  </si>
  <si>
    <t>CEM</t>
  </si>
  <si>
    <t>Asesoria en anclajes y movimiento de carga</t>
  </si>
  <si>
    <t>Ayuda medio tiempo</t>
  </si>
  <si>
    <t>Disminución jornada laboral</t>
  </si>
  <si>
    <t>Botiquines de primeros auxilios, bolsas, detergentes</t>
  </si>
  <si>
    <t>Elementos del botiquin</t>
  </si>
  <si>
    <t>Elementos del botiquin, bolsas, detergentes</t>
  </si>
  <si>
    <t>Quimicos de desinfección especializados (Glutacidex)</t>
  </si>
  <si>
    <t>No se presentaron datos</t>
  </si>
  <si>
    <t>Montacargas</t>
  </si>
  <si>
    <t>Alquiler Montacargas</t>
  </si>
  <si>
    <t>Gastos de administración aseo</t>
  </si>
  <si>
    <t>Residuos biologicos</t>
  </si>
  <si>
    <t>Sin datos de calculo</t>
  </si>
  <si>
    <t>Total Costos</t>
  </si>
  <si>
    <t>RELACIÓN DEL IMPACTO FINANCIERO DE LOS ACCIDENTES DE TRABAJO</t>
  </si>
  <si>
    <t>Gráfico 1</t>
  </si>
  <si>
    <t>Gráfico 2</t>
  </si>
  <si>
    <t>Gráfico 3</t>
  </si>
  <si>
    <t>Número de días de proveedores (S.I)</t>
  </si>
  <si>
    <t>Número de días de proveedores (C.I)</t>
  </si>
  <si>
    <t>Prueba ácida (S.I)</t>
  </si>
  <si>
    <t>Prueba ácida (C.I)</t>
  </si>
  <si>
    <t>Gráfico 4</t>
  </si>
  <si>
    <t>Capital de trabajo (S.I)</t>
  </si>
  <si>
    <t>Capital de trabajo (C.I)</t>
  </si>
  <si>
    <t>Rotación del activo total (C.I)</t>
  </si>
  <si>
    <t>Rotación del activo total (S.I)</t>
  </si>
  <si>
    <t>Ventas por empleado (S.I)</t>
  </si>
  <si>
    <t>Ventas por empleado (C.I)</t>
  </si>
  <si>
    <t>Rotación del patrimonio (C.I)</t>
  </si>
  <si>
    <t>Rotación del patrimonio (S.I)</t>
  </si>
  <si>
    <t>Razón apalancamiento (S.I)</t>
  </si>
  <si>
    <t>Razón apalancamiento (C.I)</t>
  </si>
  <si>
    <t>Endeudamiento corto plazo (C.I)</t>
  </si>
  <si>
    <t>Endeudamiento corto plazo (S.I)</t>
  </si>
  <si>
    <t>Indicador de cobertura de deuda 1 (S.I)</t>
  </si>
  <si>
    <t>Indicador de cobertura de deuda 2 (S.I)</t>
  </si>
  <si>
    <t>Indicador de cobertura de deuda 3 (S.I)</t>
  </si>
  <si>
    <t>Indicador de cobertura de deuda 1 (C.I)</t>
  </si>
  <si>
    <t>Indicador de cobertura de deuda 2 (C.I)</t>
  </si>
  <si>
    <t>Indicador de cobertura de deuda 3 (C.I)</t>
  </si>
  <si>
    <t>Margen operacional (S.I)</t>
  </si>
  <si>
    <t>Margen Ebitda (S.I)</t>
  </si>
  <si>
    <t>Margen neto (S.I)</t>
  </si>
  <si>
    <t>Rentabilidad básica del activo (S.I)</t>
  </si>
  <si>
    <t>Rentabilidad del activo (ROA) (S.I)</t>
  </si>
  <si>
    <t>Rentabilidad del patrimonio (ROE) (S.I)</t>
  </si>
  <si>
    <t>Margen operacional (C.I)</t>
  </si>
  <si>
    <t>Margen Ebitda (C.I)</t>
  </si>
  <si>
    <t>Margen neto (C.I)</t>
  </si>
  <si>
    <t>Rentabilidad básica del activo (C.I)</t>
  </si>
  <si>
    <t>Rentabilidad del activo (ROA) (C.I)</t>
  </si>
  <si>
    <t>Rentabilidad del patrimonio (ROE) (C.I)</t>
  </si>
  <si>
    <t>Gráfico 5</t>
  </si>
  <si>
    <t>Gráfico 6</t>
  </si>
  <si>
    <t>Gráfico 7</t>
  </si>
  <si>
    <t>Gráfico 8</t>
  </si>
  <si>
    <t>Gráfico 9</t>
  </si>
  <si>
    <t>Gráfico 10</t>
  </si>
  <si>
    <t>Gráfico 11</t>
  </si>
</sst>
</file>

<file path=xl/styles.xml><?xml version="1.0" encoding="utf-8"?>
<styleSheet xmlns="http://schemas.openxmlformats.org/spreadsheetml/2006/main" xmlns:mc="http://schemas.openxmlformats.org/markup-compatibility/2006" xmlns:x14ac="http://schemas.microsoft.com/office/spreadsheetml/2009/9/ac" mc:Ignorable="x14ac">
  <numFmts count="10">
    <numFmt numFmtId="43" formatCode="_-* #,##0.00\ _€_-;\-* #,##0.00\ _€_-;_-* &quot;-&quot;??\ _€_-;_-@_-"/>
    <numFmt numFmtId="164" formatCode="_(&quot;$&quot;\ * #,##0.00_);_(&quot;$&quot;\ * \(#,##0.00\);_(&quot;$&quot;\ * &quot;-&quot;??_);_(@_)"/>
    <numFmt numFmtId="165" formatCode="[$$-240A]\ #,##0"/>
    <numFmt numFmtId="166" formatCode="&quot;$&quot;\ #,##0"/>
    <numFmt numFmtId="167" formatCode="&quot;$&quot;#,##0"/>
    <numFmt numFmtId="168" formatCode="0.000"/>
    <numFmt numFmtId="169" formatCode="0.0000"/>
    <numFmt numFmtId="170" formatCode="_([$$-240A]\ * #,##0.00_);_([$$-240A]\ * \(#,##0.00\);_([$$-240A]\ * &quot;-&quot;??_);_(@_)"/>
    <numFmt numFmtId="171" formatCode="0.0"/>
    <numFmt numFmtId="172" formatCode="0.000000"/>
  </numFmts>
  <fonts count="20" x14ac:knownFonts="1">
    <font>
      <sz val="11"/>
      <color theme="1"/>
      <name val="Calibri"/>
      <family val="2"/>
      <scheme val="minor"/>
    </font>
    <font>
      <b/>
      <sz val="11"/>
      <color theme="1"/>
      <name val="Calibri"/>
      <family val="2"/>
      <scheme val="minor"/>
    </font>
    <font>
      <sz val="22"/>
      <color theme="1"/>
      <name val="Calibri"/>
      <family val="2"/>
      <scheme val="minor"/>
    </font>
    <font>
      <b/>
      <sz val="14"/>
      <color theme="1"/>
      <name val="Calibri"/>
      <family val="2"/>
      <scheme val="minor"/>
    </font>
    <font>
      <sz val="12"/>
      <color theme="1"/>
      <name val="Calibri"/>
      <family val="2"/>
      <scheme val="minor"/>
    </font>
    <font>
      <b/>
      <sz val="12"/>
      <color theme="1"/>
      <name val="Calibri"/>
      <family val="2"/>
      <scheme val="minor"/>
    </font>
    <font>
      <b/>
      <sz val="24"/>
      <color theme="1"/>
      <name val="Calibri"/>
      <family val="2"/>
      <scheme val="minor"/>
    </font>
    <font>
      <sz val="11"/>
      <color theme="1"/>
      <name val="Calibri"/>
      <family val="2"/>
      <scheme val="minor"/>
    </font>
    <font>
      <b/>
      <sz val="20"/>
      <color theme="1"/>
      <name val="Calibri"/>
      <family val="2"/>
      <scheme val="minor"/>
    </font>
    <font>
      <sz val="10"/>
      <name val="Arial"/>
      <family val="2"/>
    </font>
    <font>
      <b/>
      <sz val="11"/>
      <color rgb="FF000000"/>
      <name val="Calibri"/>
      <family val="2"/>
      <scheme val="minor"/>
    </font>
    <font>
      <sz val="11"/>
      <color rgb="FF000000"/>
      <name val="Calibri"/>
      <family val="2"/>
      <scheme val="minor"/>
    </font>
    <font>
      <sz val="11"/>
      <name val="Calibri"/>
      <family val="2"/>
      <scheme val="minor"/>
    </font>
    <font>
      <sz val="18"/>
      <color theme="1"/>
      <name val="Calibri"/>
      <family val="2"/>
      <scheme val="minor"/>
    </font>
    <font>
      <sz val="9"/>
      <color theme="1"/>
      <name val="Calibri"/>
      <family val="2"/>
      <scheme val="minor"/>
    </font>
    <font>
      <sz val="9"/>
      <color indexed="81"/>
      <name val="Tahoma"/>
      <family val="2"/>
    </font>
    <font>
      <b/>
      <sz val="9"/>
      <color indexed="81"/>
      <name val="Tahoma"/>
      <family val="2"/>
    </font>
    <font>
      <sz val="9"/>
      <color indexed="81"/>
      <name val="Tahoma"/>
      <charset val="1"/>
    </font>
    <font>
      <b/>
      <sz val="9"/>
      <color indexed="81"/>
      <name val="Tahoma"/>
      <charset val="1"/>
    </font>
    <font>
      <sz val="20"/>
      <color theme="1"/>
      <name val="Calibri"/>
      <family val="2"/>
      <scheme val="minor"/>
    </font>
  </fonts>
  <fills count="8">
    <fill>
      <patternFill patternType="none"/>
    </fill>
    <fill>
      <patternFill patternType="gray125"/>
    </fill>
    <fill>
      <patternFill patternType="solid">
        <fgColor rgb="FFFFFF00"/>
        <bgColor indexed="64"/>
      </patternFill>
    </fill>
    <fill>
      <patternFill patternType="solid">
        <fgColor rgb="FF00B0F0"/>
        <bgColor indexed="64"/>
      </patternFill>
    </fill>
    <fill>
      <patternFill patternType="solid">
        <fgColor rgb="FFFF0000"/>
        <bgColor indexed="64"/>
      </patternFill>
    </fill>
    <fill>
      <patternFill patternType="solid">
        <fgColor rgb="FF92D050"/>
        <bgColor indexed="64"/>
      </patternFill>
    </fill>
    <fill>
      <patternFill patternType="solid">
        <fgColor theme="7"/>
        <bgColor indexed="64"/>
      </patternFill>
    </fill>
    <fill>
      <patternFill patternType="solid">
        <fgColor theme="2" tint="-0.249977111117893"/>
        <bgColor indexed="64"/>
      </patternFill>
    </fill>
  </fills>
  <borders count="53">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bottom style="thin">
        <color indexed="64"/>
      </bottom>
      <diagonal/>
    </border>
    <border>
      <left style="medium">
        <color indexed="64"/>
      </left>
      <right style="medium">
        <color indexed="64"/>
      </right>
      <top/>
      <bottom/>
      <diagonal/>
    </border>
    <border>
      <left style="thin">
        <color indexed="64"/>
      </left>
      <right/>
      <top style="medium">
        <color indexed="64"/>
      </top>
      <bottom style="thin">
        <color indexed="64"/>
      </bottom>
      <diagonal/>
    </border>
    <border>
      <left/>
      <right style="medium">
        <color indexed="64"/>
      </right>
      <top/>
      <bottom/>
      <diagonal/>
    </border>
    <border>
      <left style="thin">
        <color indexed="64"/>
      </left>
      <right/>
      <top style="thin">
        <color indexed="64"/>
      </top>
      <bottom style="thin">
        <color indexed="64"/>
      </bottom>
      <diagonal/>
    </border>
    <border>
      <left style="medium">
        <color indexed="64"/>
      </left>
      <right/>
      <top/>
      <bottom/>
      <diagonal/>
    </border>
    <border>
      <left style="medium">
        <color indexed="64"/>
      </left>
      <right style="thin">
        <color indexed="64"/>
      </right>
      <top style="thin">
        <color indexed="64"/>
      </top>
      <bottom/>
      <diagonal/>
    </border>
    <border>
      <left/>
      <right style="thin">
        <color indexed="64"/>
      </right>
      <top/>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style="thin">
        <color indexed="64"/>
      </top>
      <bottom style="medium">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s>
  <cellStyleXfs count="8">
    <xf numFmtId="0" fontId="0" fillId="0" borderId="0"/>
    <xf numFmtId="9" fontId="7" fillId="0" borderId="0" applyFont="0" applyFill="0" applyBorder="0" applyAlignment="0" applyProtection="0"/>
    <xf numFmtId="164" fontId="7" fillId="0" borderId="0" applyFont="0" applyFill="0" applyBorder="0" applyAlignment="0" applyProtection="0"/>
    <xf numFmtId="0" fontId="9" fillId="0" borderId="0"/>
    <xf numFmtId="9" fontId="9" fillId="0" borderId="0" applyFont="0" applyFill="0" applyBorder="0" applyAlignment="0" applyProtection="0"/>
    <xf numFmtId="0" fontId="9" fillId="0" borderId="0"/>
    <xf numFmtId="43" fontId="9" fillId="0" borderId="0" applyFont="0" applyFill="0" applyBorder="0" applyAlignment="0" applyProtection="0"/>
    <xf numFmtId="0" fontId="14" fillId="0" borderId="0"/>
  </cellStyleXfs>
  <cellXfs count="372">
    <xf numFmtId="0" fontId="0" fillId="0" borderId="0" xfId="0"/>
    <xf numFmtId="0" fontId="0" fillId="0" borderId="0" xfId="0" applyAlignment="1">
      <alignment horizontal="center" vertical="center"/>
    </xf>
    <xf numFmtId="0" fontId="0" fillId="0" borderId="0" xfId="0" applyAlignment="1">
      <alignment wrapText="1"/>
    </xf>
    <xf numFmtId="0" fontId="0" fillId="0" borderId="0" xfId="0" applyAlignment="1">
      <alignment horizontal="center" wrapText="1"/>
    </xf>
    <xf numFmtId="0" fontId="1" fillId="0" borderId="0" xfId="0" applyFont="1" applyAlignment="1">
      <alignment horizontal="center" vertical="center"/>
    </xf>
    <xf numFmtId="0" fontId="1" fillId="0" borderId="0" xfId="0" applyFont="1" applyAlignment="1">
      <alignment horizontal="center"/>
    </xf>
    <xf numFmtId="0" fontId="0" fillId="0" borderId="0" xfId="0" applyAlignment="1"/>
    <xf numFmtId="0" fontId="0" fillId="0" borderId="0" xfId="0" applyFont="1" applyAlignment="1">
      <alignment horizontal="left"/>
    </xf>
    <xf numFmtId="0" fontId="1" fillId="0" borderId="0" xfId="0" applyFont="1"/>
    <xf numFmtId="0" fontId="1" fillId="0" borderId="0" xfId="0" applyFont="1" applyAlignment="1">
      <alignment horizontal="left"/>
    </xf>
    <xf numFmtId="165" fontId="1" fillId="0" borderId="0" xfId="0" applyNumberFormat="1" applyFont="1"/>
    <xf numFmtId="0" fontId="0" fillId="0" borderId="1" xfId="0" applyBorder="1"/>
    <xf numFmtId="0" fontId="0" fillId="0" borderId="1" xfId="0" applyBorder="1" applyAlignment="1">
      <alignment horizontal="center" vertical="center"/>
    </xf>
    <xf numFmtId="0" fontId="0" fillId="0" borderId="1" xfId="0" applyBorder="1" applyAlignment="1">
      <alignment horizontal="center"/>
    </xf>
    <xf numFmtId="165" fontId="0" fillId="0" borderId="1" xfId="0" applyNumberFormat="1" applyBorder="1" applyAlignment="1">
      <alignment horizontal="center"/>
    </xf>
    <xf numFmtId="165" fontId="0" fillId="0" borderId="1" xfId="0" applyNumberFormat="1" applyBorder="1" applyAlignment="1">
      <alignment horizontal="center" vertical="center"/>
    </xf>
    <xf numFmtId="0" fontId="6" fillId="0" borderId="0" xfId="0" applyFont="1" applyBorder="1" applyAlignment="1">
      <alignment horizontal="center"/>
    </xf>
    <xf numFmtId="0" fontId="1" fillId="0" borderId="2" xfId="0" applyFont="1" applyBorder="1" applyAlignment="1">
      <alignment horizontal="center"/>
    </xf>
    <xf numFmtId="0" fontId="1" fillId="0" borderId="3" xfId="0" applyFont="1" applyBorder="1" applyAlignment="1">
      <alignment horizontal="center"/>
    </xf>
    <xf numFmtId="0" fontId="1" fillId="0" borderId="4" xfId="0" applyFont="1" applyBorder="1" applyAlignment="1">
      <alignment horizontal="center" vertical="center"/>
    </xf>
    <xf numFmtId="0" fontId="0" fillId="0" borderId="6" xfId="0" applyBorder="1" applyAlignment="1">
      <alignment horizontal="center" vertical="center"/>
    </xf>
    <xf numFmtId="0" fontId="0" fillId="0" borderId="6" xfId="0" applyBorder="1" applyAlignment="1">
      <alignment horizontal="center"/>
    </xf>
    <xf numFmtId="0" fontId="0" fillId="0" borderId="6" xfId="0" applyBorder="1"/>
    <xf numFmtId="165" fontId="0" fillId="0" borderId="11" xfId="0" applyNumberFormat="1" applyBorder="1" applyAlignment="1">
      <alignment horizontal="center" vertical="center"/>
    </xf>
    <xf numFmtId="0" fontId="0" fillId="0" borderId="11" xfId="0" applyBorder="1"/>
    <xf numFmtId="0" fontId="1" fillId="0" borderId="0" xfId="0" applyFont="1" applyBorder="1" applyAlignment="1">
      <alignment horizontal="center" vertical="center"/>
    </xf>
    <xf numFmtId="0" fontId="0" fillId="0" borderId="0" xfId="0" applyBorder="1" applyAlignment="1">
      <alignment horizontal="center" vertical="center"/>
    </xf>
    <xf numFmtId="2" fontId="0" fillId="0" borderId="0" xfId="0" applyNumberFormat="1" applyBorder="1" applyAlignment="1">
      <alignment horizontal="center" vertical="center"/>
    </xf>
    <xf numFmtId="0" fontId="0" fillId="0" borderId="1" xfId="0" applyBorder="1" applyAlignment="1">
      <alignment vertical="center"/>
    </xf>
    <xf numFmtId="0" fontId="0" fillId="0" borderId="1" xfId="0" applyBorder="1" applyAlignment="1">
      <alignment horizontal="center" vertical="center" wrapText="1"/>
    </xf>
    <xf numFmtId="0" fontId="0" fillId="0" borderId="22" xfId="0" applyBorder="1"/>
    <xf numFmtId="0" fontId="0" fillId="0" borderId="24" xfId="0" applyBorder="1"/>
    <xf numFmtId="0" fontId="0" fillId="0" borderId="26" xfId="0" applyBorder="1"/>
    <xf numFmtId="0" fontId="0" fillId="0" borderId="21" xfId="0" applyBorder="1" applyAlignment="1">
      <alignment horizontal="center" vertical="center"/>
    </xf>
    <xf numFmtId="0" fontId="0" fillId="0" borderId="11" xfId="0" applyBorder="1" applyAlignment="1">
      <alignment vertical="center"/>
    </xf>
    <xf numFmtId="0" fontId="0" fillId="0" borderId="15" xfId="0" applyBorder="1"/>
    <xf numFmtId="0" fontId="0" fillId="0" borderId="19" xfId="0" applyBorder="1" applyAlignment="1">
      <alignment vertical="center"/>
    </xf>
    <xf numFmtId="0" fontId="0" fillId="0" borderId="0" xfId="0" applyBorder="1"/>
    <xf numFmtId="0" fontId="3" fillId="0" borderId="15" xfId="0" applyFont="1" applyBorder="1" applyAlignment="1">
      <alignment vertical="center" textRotation="90" wrapText="1"/>
    </xf>
    <xf numFmtId="0" fontId="3" fillId="0" borderId="0" xfId="0" applyFont="1" applyBorder="1" applyAlignment="1">
      <alignment vertical="center" textRotation="90" wrapText="1"/>
    </xf>
    <xf numFmtId="0" fontId="0" fillId="0" borderId="11" xfId="0" applyBorder="1" applyAlignment="1">
      <alignment horizontal="center" vertical="center"/>
    </xf>
    <xf numFmtId="0" fontId="0" fillId="0" borderId="6" xfId="0" applyBorder="1" applyAlignment="1">
      <alignment vertical="center"/>
    </xf>
    <xf numFmtId="0" fontId="0" fillId="0" borderId="19" xfId="0" applyBorder="1" applyAlignment="1">
      <alignment horizontal="center" vertical="center"/>
    </xf>
    <xf numFmtId="0" fontId="0" fillId="0" borderId="17" xfId="0" applyBorder="1"/>
    <xf numFmtId="0" fontId="6" fillId="0" borderId="26" xfId="0" applyFont="1" applyBorder="1" applyAlignment="1">
      <alignment horizontal="center"/>
    </xf>
    <xf numFmtId="0" fontId="1" fillId="0" borderId="0" xfId="0" applyFont="1" applyAlignment="1">
      <alignment horizontal="center" wrapText="1"/>
    </xf>
    <xf numFmtId="0" fontId="1" fillId="0" borderId="0" xfId="0" applyFont="1" applyAlignment="1">
      <alignment wrapText="1"/>
    </xf>
    <xf numFmtId="0" fontId="0" fillId="0" borderId="0" xfId="0" applyFont="1" applyAlignment="1">
      <alignment wrapText="1"/>
    </xf>
    <xf numFmtId="0" fontId="0" fillId="0" borderId="0" xfId="0" applyAlignment="1">
      <alignment horizontal="left" wrapText="1"/>
    </xf>
    <xf numFmtId="0" fontId="1" fillId="0" borderId="39" xfId="0" applyFont="1" applyBorder="1" applyAlignment="1">
      <alignment horizontal="center" vertical="center"/>
    </xf>
    <xf numFmtId="0" fontId="1" fillId="0" borderId="39" xfId="0" applyFont="1" applyBorder="1" applyAlignment="1">
      <alignment horizontal="center" vertical="center" wrapText="1"/>
    </xf>
    <xf numFmtId="0" fontId="1" fillId="0" borderId="42" xfId="0" applyFont="1" applyBorder="1" applyAlignment="1">
      <alignment horizontal="center" vertical="center" wrapText="1"/>
    </xf>
    <xf numFmtId="165" fontId="1" fillId="0" borderId="15" xfId="0" applyNumberFormat="1" applyFont="1" applyBorder="1"/>
    <xf numFmtId="165" fontId="0" fillId="0" borderId="24" xfId="0" applyNumberFormat="1" applyBorder="1" applyAlignment="1">
      <alignment horizontal="center"/>
    </xf>
    <xf numFmtId="165" fontId="1" fillId="0" borderId="18" xfId="0" applyNumberFormat="1" applyFont="1" applyBorder="1"/>
    <xf numFmtId="166" fontId="0" fillId="0" borderId="24" xfId="2" applyNumberFormat="1" applyFont="1" applyBorder="1" applyAlignment="1">
      <alignment horizontal="center"/>
    </xf>
    <xf numFmtId="0" fontId="1" fillId="0" borderId="18" xfId="0" applyFont="1" applyBorder="1" applyAlignment="1">
      <alignment horizontal="center"/>
    </xf>
    <xf numFmtId="0" fontId="0" fillId="0" borderId="0" xfId="0" applyBorder="1" applyAlignment="1">
      <alignment horizontal="center"/>
    </xf>
    <xf numFmtId="0" fontId="0" fillId="0" borderId="16" xfId="0" applyBorder="1" applyAlignment="1">
      <alignment horizontal="center"/>
    </xf>
    <xf numFmtId="0" fontId="0" fillId="0" borderId="24" xfId="0" applyBorder="1" applyAlignment="1">
      <alignment horizontal="center"/>
    </xf>
    <xf numFmtId="0" fontId="0" fillId="0" borderId="18" xfId="0" applyBorder="1"/>
    <xf numFmtId="0" fontId="0" fillId="0" borderId="44" xfId="0" applyBorder="1"/>
    <xf numFmtId="165" fontId="0" fillId="0" borderId="16" xfId="0" applyNumberFormat="1" applyBorder="1" applyAlignment="1">
      <alignment horizontal="center"/>
    </xf>
    <xf numFmtId="0" fontId="0" fillId="0" borderId="18" xfId="0" applyBorder="1" applyAlignment="1">
      <alignment horizontal="center"/>
    </xf>
    <xf numFmtId="165" fontId="0" fillId="0" borderId="18" xfId="0" applyNumberFormat="1" applyBorder="1" applyAlignment="1">
      <alignment horizontal="center"/>
    </xf>
    <xf numFmtId="0" fontId="1" fillId="0" borderId="42" xfId="0" applyFont="1" applyBorder="1" applyAlignment="1">
      <alignment horizontal="center"/>
    </xf>
    <xf numFmtId="165" fontId="1" fillId="0" borderId="42" xfId="0" applyNumberFormat="1" applyFont="1" applyBorder="1"/>
    <xf numFmtId="0" fontId="0" fillId="0" borderId="15" xfId="0" applyBorder="1" applyAlignment="1">
      <alignment horizontal="center"/>
    </xf>
    <xf numFmtId="0" fontId="0" fillId="0" borderId="43" xfId="0" applyBorder="1"/>
    <xf numFmtId="0" fontId="0" fillId="0" borderId="22" xfId="0" applyBorder="1" applyAlignment="1">
      <alignment horizontal="center"/>
    </xf>
    <xf numFmtId="0" fontId="1" fillId="0" borderId="44" xfId="0" applyFont="1" applyBorder="1" applyAlignment="1">
      <alignment horizontal="center"/>
    </xf>
    <xf numFmtId="0" fontId="0" fillId="0" borderId="44" xfId="0" applyBorder="1" applyAlignment="1">
      <alignment horizontal="center"/>
    </xf>
    <xf numFmtId="0" fontId="1" fillId="0" borderId="40" xfId="0" applyFont="1" applyBorder="1" applyAlignment="1">
      <alignment horizontal="center" vertical="center"/>
    </xf>
    <xf numFmtId="165" fontId="0" fillId="0" borderId="44" xfId="0" applyNumberFormat="1" applyBorder="1" applyAlignment="1">
      <alignment horizontal="center"/>
    </xf>
    <xf numFmtId="0" fontId="1" fillId="0" borderId="41" xfId="0" applyFont="1" applyBorder="1" applyAlignment="1">
      <alignment horizontal="center" vertical="center" wrapText="1"/>
    </xf>
    <xf numFmtId="165" fontId="0" fillId="0" borderId="43" xfId="0" applyNumberFormat="1" applyBorder="1" applyAlignment="1">
      <alignment horizontal="center"/>
    </xf>
    <xf numFmtId="165" fontId="0" fillId="0" borderId="22" xfId="0" applyNumberFormat="1" applyBorder="1" applyAlignment="1">
      <alignment horizontal="center"/>
    </xf>
    <xf numFmtId="0" fontId="0" fillId="0" borderId="13" xfId="0" applyBorder="1" applyAlignment="1">
      <alignment horizontal="center"/>
    </xf>
    <xf numFmtId="165" fontId="0" fillId="0" borderId="22" xfId="0" applyNumberFormat="1" applyFill="1" applyBorder="1" applyAlignment="1">
      <alignment horizontal="center"/>
    </xf>
    <xf numFmtId="165" fontId="0" fillId="0" borderId="24" xfId="0" applyNumberFormat="1" applyFill="1" applyBorder="1" applyAlignment="1">
      <alignment horizontal="center"/>
    </xf>
    <xf numFmtId="0" fontId="1" fillId="0" borderId="14" xfId="0" applyFont="1" applyBorder="1" applyAlignment="1">
      <alignment horizontal="center"/>
    </xf>
    <xf numFmtId="0" fontId="4" fillId="0" borderId="41" xfId="0" applyFont="1" applyBorder="1" applyAlignment="1">
      <alignment horizontal="center" wrapText="1"/>
    </xf>
    <xf numFmtId="165" fontId="1" fillId="0" borderId="39" xfId="0" applyNumberFormat="1" applyFont="1" applyFill="1" applyBorder="1" applyAlignment="1">
      <alignment horizontal="center"/>
    </xf>
    <xf numFmtId="0" fontId="1" fillId="0" borderId="0" xfId="0" applyFont="1" applyBorder="1" applyAlignment="1">
      <alignment vertical="center" wrapText="1"/>
    </xf>
    <xf numFmtId="0" fontId="1" fillId="0" borderId="0" xfId="0" applyFont="1" applyBorder="1" applyAlignment="1">
      <alignment vertical="center"/>
    </xf>
    <xf numFmtId="0" fontId="1" fillId="0" borderId="0" xfId="0" applyFont="1" applyBorder="1" applyAlignment="1">
      <alignment horizontal="right"/>
    </xf>
    <xf numFmtId="0" fontId="0" fillId="0" borderId="0" xfId="0" applyBorder="1" applyAlignment="1"/>
    <xf numFmtId="0" fontId="0" fillId="0" borderId="0" xfId="0" applyFont="1"/>
    <xf numFmtId="0" fontId="0" fillId="0" borderId="0" xfId="0" applyFont="1" applyAlignment="1">
      <alignment horizontal="left" vertical="center"/>
    </xf>
    <xf numFmtId="0" fontId="0" fillId="0" borderId="0" xfId="0" applyAlignment="1">
      <alignment horizontal="left" vertical="center"/>
    </xf>
    <xf numFmtId="0" fontId="1" fillId="0" borderId="0" xfId="0" applyFont="1" applyAlignment="1">
      <alignment horizontal="left" vertical="center"/>
    </xf>
    <xf numFmtId="0" fontId="0" fillId="0" borderId="0" xfId="0" applyAlignment="1">
      <alignment horizontal="center"/>
    </xf>
    <xf numFmtId="0" fontId="10" fillId="0" borderId="0" xfId="0" applyFont="1" applyBorder="1" applyAlignment="1">
      <alignment horizontal="center" vertical="center"/>
    </xf>
    <xf numFmtId="0" fontId="11" fillId="0" borderId="0" xfId="0" applyFont="1" applyBorder="1" applyAlignment="1">
      <alignment vertical="center"/>
    </xf>
    <xf numFmtId="0" fontId="12" fillId="0" borderId="0" xfId="0" applyFont="1" applyBorder="1" applyAlignment="1">
      <alignment vertical="center"/>
    </xf>
    <xf numFmtId="0" fontId="0" fillId="0" borderId="0" xfId="0" applyFill="1" applyAlignment="1">
      <alignment wrapText="1"/>
    </xf>
    <xf numFmtId="0" fontId="0" fillId="0" borderId="0" xfId="0" applyAlignment="1">
      <alignment horizontal="left"/>
    </xf>
    <xf numFmtId="0" fontId="0" fillId="0" borderId="0" xfId="0" applyFont="1" applyAlignment="1"/>
    <xf numFmtId="0" fontId="1" fillId="0" borderId="0" xfId="0" applyFont="1" applyAlignment="1"/>
    <xf numFmtId="0" fontId="0" fillId="0" borderId="0" xfId="0" applyAlignment="1">
      <alignment horizontal="center"/>
    </xf>
    <xf numFmtId="0" fontId="1" fillId="0" borderId="0" xfId="0" applyFont="1" applyAlignment="1">
      <alignment horizontal="center" wrapText="1"/>
    </xf>
    <xf numFmtId="0" fontId="1" fillId="0" borderId="0" xfId="0" applyFont="1" applyAlignment="1">
      <alignment horizontal="center" wrapText="1"/>
    </xf>
    <xf numFmtId="0" fontId="0" fillId="0" borderId="1" xfId="0" applyBorder="1" applyAlignment="1">
      <alignment horizontal="center" vertical="center"/>
    </xf>
    <xf numFmtId="0" fontId="0" fillId="0" borderId="1" xfId="0" applyBorder="1" applyAlignment="1">
      <alignment horizontal="center" vertical="center"/>
    </xf>
    <xf numFmtId="0" fontId="0" fillId="0" borderId="1" xfId="0" applyFill="1" applyBorder="1" applyAlignment="1">
      <alignment horizontal="center" vertical="center"/>
    </xf>
    <xf numFmtId="0" fontId="2" fillId="0" borderId="0" xfId="0" applyFont="1" applyBorder="1" applyAlignment="1"/>
    <xf numFmtId="0" fontId="4" fillId="0" borderId="0" xfId="0" applyFont="1" applyBorder="1" applyAlignment="1">
      <alignment wrapText="1"/>
    </xf>
    <xf numFmtId="165" fontId="0" fillId="3" borderId="1" xfId="0" applyNumberFormat="1" applyFill="1" applyBorder="1" applyAlignment="1">
      <alignment horizontal="center" vertical="center"/>
    </xf>
    <xf numFmtId="167" fontId="0" fillId="3" borderId="1" xfId="0" applyNumberFormat="1" applyFill="1" applyBorder="1" applyAlignment="1">
      <alignment horizontal="center" vertical="center"/>
    </xf>
    <xf numFmtId="0" fontId="1" fillId="0" borderId="0" xfId="0" applyFont="1" applyBorder="1" applyAlignment="1">
      <alignment horizontal="left"/>
    </xf>
    <xf numFmtId="0" fontId="0" fillId="0" borderId="0" xfId="0" applyFill="1" applyAlignment="1">
      <alignment horizontal="center" vertical="center" wrapText="1"/>
    </xf>
    <xf numFmtId="0" fontId="3" fillId="0" borderId="0" xfId="0" applyFont="1" applyAlignment="1">
      <alignment horizontal="center" vertical="center"/>
    </xf>
    <xf numFmtId="0" fontId="3" fillId="0" borderId="0" xfId="0" applyFont="1" applyAlignment="1">
      <alignment horizontal="center" vertical="center" wrapText="1"/>
    </xf>
    <xf numFmtId="165" fontId="0" fillId="4" borderId="1" xfId="0" applyNumberFormat="1" applyFill="1" applyBorder="1" applyAlignment="1">
      <alignment horizontal="center"/>
    </xf>
    <xf numFmtId="0" fontId="0" fillId="0" borderId="6" xfId="0" applyFill="1" applyBorder="1" applyAlignment="1">
      <alignment horizontal="center"/>
    </xf>
    <xf numFmtId="165" fontId="0" fillId="2" borderId="1" xfId="0" applyNumberFormat="1" applyFill="1" applyBorder="1" applyAlignment="1">
      <alignment horizontal="center" vertical="center"/>
    </xf>
    <xf numFmtId="165" fontId="0" fillId="4" borderId="1" xfId="0" applyNumberFormat="1" applyFill="1" applyBorder="1" applyAlignment="1">
      <alignment horizontal="center" vertical="center"/>
    </xf>
    <xf numFmtId="165" fontId="0" fillId="4" borderId="11" xfId="0" applyNumberFormat="1" applyFill="1" applyBorder="1" applyAlignment="1">
      <alignment horizontal="center" vertical="center"/>
    </xf>
    <xf numFmtId="0" fontId="0" fillId="0" borderId="0" xfId="0" applyAlignment="1">
      <alignment horizontal="center"/>
    </xf>
    <xf numFmtId="0" fontId="0" fillId="0" borderId="21" xfId="0" applyBorder="1" applyAlignment="1">
      <alignment horizontal="center" vertical="center"/>
    </xf>
    <xf numFmtId="0" fontId="0" fillId="0" borderId="1" xfId="0" applyBorder="1" applyAlignment="1">
      <alignment horizontal="center" vertical="center"/>
    </xf>
    <xf numFmtId="0" fontId="0" fillId="0" borderId="25" xfId="0" applyBorder="1" applyAlignment="1">
      <alignment horizontal="center"/>
    </xf>
    <xf numFmtId="0" fontId="0" fillId="3" borderId="1" xfId="0" applyFill="1" applyBorder="1" applyAlignment="1">
      <alignment horizontal="center" vertical="center"/>
    </xf>
    <xf numFmtId="165" fontId="0" fillId="5" borderId="19" xfId="0" applyNumberFormat="1" applyFill="1" applyBorder="1" applyAlignment="1">
      <alignment horizontal="center" vertical="center"/>
    </xf>
    <xf numFmtId="165" fontId="0" fillId="5" borderId="1" xfId="0" applyNumberFormat="1" applyFill="1" applyBorder="1" applyAlignment="1">
      <alignment horizontal="center" vertical="center"/>
    </xf>
    <xf numFmtId="0" fontId="0" fillId="6" borderId="1" xfId="0" applyFill="1" applyBorder="1" applyAlignment="1">
      <alignment horizontal="center" vertical="center"/>
    </xf>
    <xf numFmtId="165" fontId="0" fillId="0" borderId="1" xfId="0" applyNumberFormat="1" applyFill="1" applyBorder="1" applyAlignment="1">
      <alignment horizontal="center" vertical="center"/>
    </xf>
    <xf numFmtId="0" fontId="0" fillId="3" borderId="21" xfId="0" applyFill="1" applyBorder="1" applyAlignment="1">
      <alignment horizontal="center"/>
    </xf>
    <xf numFmtId="0" fontId="0" fillId="3" borderId="21" xfId="0" applyFill="1" applyBorder="1" applyAlignment="1">
      <alignment horizontal="center" vertical="center"/>
    </xf>
    <xf numFmtId="0" fontId="0" fillId="4" borderId="1" xfId="0" applyFill="1" applyBorder="1" applyAlignment="1">
      <alignment horizontal="center" vertical="center"/>
    </xf>
    <xf numFmtId="0" fontId="12" fillId="0" borderId="1" xfId="0" applyFont="1" applyFill="1" applyBorder="1" applyAlignment="1">
      <alignment horizontal="center" vertical="center"/>
    </xf>
    <xf numFmtId="165" fontId="0" fillId="2" borderId="11" xfId="0" applyNumberFormat="1" applyFill="1" applyBorder="1" applyAlignment="1">
      <alignment horizontal="center" vertical="center"/>
    </xf>
    <xf numFmtId="165" fontId="12" fillId="0" borderId="11" xfId="0" applyNumberFormat="1" applyFont="1" applyBorder="1" applyAlignment="1">
      <alignment horizontal="center" vertical="center"/>
    </xf>
    <xf numFmtId="165" fontId="12" fillId="2" borderId="11" xfId="0" applyNumberFormat="1" applyFont="1" applyFill="1" applyBorder="1" applyAlignment="1">
      <alignment horizontal="center" vertical="center"/>
    </xf>
    <xf numFmtId="0" fontId="1" fillId="0" borderId="31" xfId="0" applyFont="1" applyBorder="1" applyAlignment="1">
      <alignment horizontal="center"/>
    </xf>
    <xf numFmtId="0" fontId="4" fillId="0" borderId="15" xfId="0" applyFont="1" applyBorder="1" applyAlignment="1">
      <alignment horizontal="center" wrapText="1"/>
    </xf>
    <xf numFmtId="0" fontId="0" fillId="0" borderId="1" xfId="0" applyFill="1" applyBorder="1"/>
    <xf numFmtId="165" fontId="0" fillId="0" borderId="1" xfId="0" applyNumberFormat="1" applyBorder="1" applyAlignment="1">
      <alignment horizontal="center" vertical="center" wrapText="1"/>
    </xf>
    <xf numFmtId="0" fontId="0" fillId="0" borderId="21" xfId="0" applyFill="1" applyBorder="1"/>
    <xf numFmtId="0" fontId="1" fillId="0" borderId="11" xfId="0" applyFont="1" applyBorder="1" applyAlignment="1">
      <alignment horizontal="center" vertical="center" wrapText="1"/>
    </xf>
    <xf numFmtId="0" fontId="1" fillId="0" borderId="12" xfId="0" applyFont="1" applyBorder="1" applyAlignment="1">
      <alignment horizontal="center" vertical="center" wrapText="1"/>
    </xf>
    <xf numFmtId="0" fontId="0" fillId="0" borderId="8" xfId="0" applyFill="1" applyBorder="1"/>
    <xf numFmtId="0" fontId="0" fillId="0" borderId="47" xfId="0" applyFill="1" applyBorder="1"/>
    <xf numFmtId="0" fontId="0" fillId="0" borderId="30" xfId="0" applyBorder="1" applyAlignment="1">
      <alignment horizontal="center" vertical="center"/>
    </xf>
    <xf numFmtId="0" fontId="0" fillId="0" borderId="25" xfId="0" applyBorder="1" applyAlignment="1">
      <alignment horizontal="center" vertical="center"/>
    </xf>
    <xf numFmtId="0" fontId="1" fillId="0" borderId="10" xfId="0" applyFont="1" applyBorder="1" applyAlignment="1">
      <alignment horizontal="center" vertical="center" wrapText="1"/>
    </xf>
    <xf numFmtId="0" fontId="0" fillId="0" borderId="47" xfId="0" applyBorder="1" applyAlignment="1">
      <alignment horizontal="center"/>
    </xf>
    <xf numFmtId="0" fontId="0" fillId="0" borderId="8" xfId="0" applyBorder="1" applyAlignment="1">
      <alignment horizontal="center"/>
    </xf>
    <xf numFmtId="0" fontId="0" fillId="0" borderId="8" xfId="0" applyBorder="1" applyAlignment="1">
      <alignment horizontal="center" wrapText="1"/>
    </xf>
    <xf numFmtId="165" fontId="0" fillId="0" borderId="8" xfId="0" applyNumberFormat="1" applyBorder="1" applyAlignment="1">
      <alignment horizontal="center" wrapText="1"/>
    </xf>
    <xf numFmtId="0" fontId="0" fillId="0" borderId="8" xfId="0" applyBorder="1" applyAlignment="1"/>
    <xf numFmtId="0" fontId="0" fillId="0" borderId="10" xfId="0" applyBorder="1" applyAlignment="1"/>
    <xf numFmtId="0" fontId="0" fillId="0" borderId="21" xfId="0" applyBorder="1" applyAlignment="1">
      <alignment horizontal="center" wrapText="1"/>
    </xf>
    <xf numFmtId="0" fontId="0" fillId="0" borderId="0" xfId="0" applyBorder="1" applyAlignment="1">
      <alignment horizontal="left"/>
    </xf>
    <xf numFmtId="0" fontId="0" fillId="0" borderId="1" xfId="0" applyBorder="1" applyAlignment="1">
      <alignment horizontal="center" wrapText="1"/>
    </xf>
    <xf numFmtId="0" fontId="0" fillId="0" borderId="11" xfId="0" applyBorder="1" applyAlignment="1">
      <alignment horizontal="center" wrapText="1"/>
    </xf>
    <xf numFmtId="0" fontId="0" fillId="0" borderId="1" xfId="0" applyBorder="1" applyAlignment="1">
      <alignment horizontal="left" vertical="center"/>
    </xf>
    <xf numFmtId="0" fontId="0" fillId="0" borderId="0" xfId="0" applyAlignment="1">
      <alignment horizontal="left"/>
    </xf>
    <xf numFmtId="0" fontId="0" fillId="2" borderId="22" xfId="0" applyFill="1" applyBorder="1"/>
    <xf numFmtId="0" fontId="0" fillId="4" borderId="22" xfId="0" applyFill="1" applyBorder="1"/>
    <xf numFmtId="0" fontId="0" fillId="5" borderId="22" xfId="0" applyFill="1" applyBorder="1"/>
    <xf numFmtId="0" fontId="0" fillId="3" borderId="22" xfId="0" applyFill="1" applyBorder="1"/>
    <xf numFmtId="0" fontId="0" fillId="4" borderId="44" xfId="0" applyFill="1" applyBorder="1"/>
    <xf numFmtId="165" fontId="0" fillId="7" borderId="19" xfId="0" applyNumberFormat="1" applyFill="1" applyBorder="1" applyAlignment="1">
      <alignment horizontal="center" vertical="center"/>
    </xf>
    <xf numFmtId="165" fontId="0" fillId="7" borderId="1" xfId="0" applyNumberFormat="1" applyFill="1" applyBorder="1" applyAlignment="1">
      <alignment horizontal="center" vertical="center"/>
    </xf>
    <xf numFmtId="165" fontId="0" fillId="7" borderId="11" xfId="0" applyNumberFormat="1" applyFill="1" applyBorder="1" applyAlignment="1">
      <alignment horizontal="center" vertical="center"/>
    </xf>
    <xf numFmtId="0" fontId="1" fillId="0" borderId="0" xfId="0" applyFont="1" applyBorder="1" applyAlignment="1">
      <alignment horizontal="left" vertical="center"/>
    </xf>
    <xf numFmtId="0" fontId="0" fillId="7" borderId="22" xfId="0" applyFill="1" applyBorder="1"/>
    <xf numFmtId="0" fontId="0" fillId="0" borderId="8" xfId="0" applyFill="1" applyBorder="1" applyAlignment="1">
      <alignment vertical="center"/>
    </xf>
    <xf numFmtId="0" fontId="0" fillId="0" borderId="1" xfId="0" applyFill="1" applyBorder="1" applyAlignment="1">
      <alignment vertical="center"/>
    </xf>
    <xf numFmtId="0" fontId="0" fillId="0" borderId="50" xfId="0" applyFill="1" applyBorder="1" applyAlignment="1">
      <alignment vertical="center"/>
    </xf>
    <xf numFmtId="0" fontId="0" fillId="0" borderId="51" xfId="0" applyBorder="1" applyAlignment="1">
      <alignment horizontal="center" vertical="center"/>
    </xf>
    <xf numFmtId="0" fontId="0" fillId="7" borderId="44" xfId="0" applyFill="1" applyBorder="1"/>
    <xf numFmtId="0" fontId="0" fillId="0" borderId="25" xfId="0" applyFill="1" applyBorder="1" applyAlignment="1">
      <alignment horizontal="center" vertical="center"/>
    </xf>
    <xf numFmtId="0" fontId="0" fillId="0" borderId="10" xfId="0" applyFill="1" applyBorder="1" applyAlignment="1">
      <alignment vertical="center"/>
    </xf>
    <xf numFmtId="0" fontId="0" fillId="0" borderId="49" xfId="0" applyBorder="1" applyAlignment="1">
      <alignment horizontal="center" vertical="center"/>
    </xf>
    <xf numFmtId="0" fontId="0" fillId="4" borderId="43" xfId="0" applyFill="1" applyBorder="1"/>
    <xf numFmtId="0" fontId="0" fillId="0" borderId="51" xfId="0" applyFill="1" applyBorder="1" applyAlignment="1">
      <alignment horizontal="center" vertical="center"/>
    </xf>
    <xf numFmtId="0" fontId="0" fillId="2" borderId="44" xfId="0" applyFill="1" applyBorder="1"/>
    <xf numFmtId="0" fontId="0" fillId="2" borderId="14" xfId="0" applyFill="1" applyBorder="1"/>
    <xf numFmtId="0" fontId="0" fillId="2" borderId="26" xfId="0" applyFill="1" applyBorder="1"/>
    <xf numFmtId="0" fontId="0" fillId="2" borderId="17" xfId="0" applyFill="1" applyBorder="1"/>
    <xf numFmtId="0" fontId="1" fillId="0" borderId="1" xfId="0" applyFont="1" applyBorder="1" applyAlignment="1">
      <alignment horizontal="left" vertical="center"/>
    </xf>
    <xf numFmtId="0" fontId="0" fillId="0" borderId="1" xfId="0" applyFont="1" applyBorder="1" applyAlignment="1">
      <alignment horizontal="left" vertical="center"/>
    </xf>
    <xf numFmtId="0" fontId="0" fillId="0" borderId="1" xfId="0" applyBorder="1" applyAlignment="1">
      <alignment horizontal="left"/>
    </xf>
    <xf numFmtId="0" fontId="0" fillId="0" borderId="1" xfId="0" applyFont="1" applyBorder="1" applyAlignment="1">
      <alignment horizontal="left"/>
    </xf>
    <xf numFmtId="165" fontId="0" fillId="0" borderId="9" xfId="0" applyNumberFormat="1" applyFont="1" applyBorder="1" applyAlignment="1">
      <alignment horizontal="center" vertical="center" wrapText="1"/>
    </xf>
    <xf numFmtId="0" fontId="1" fillId="0" borderId="9" xfId="0" applyFont="1" applyBorder="1" applyAlignment="1">
      <alignment horizontal="center" vertical="center" wrapText="1"/>
    </xf>
    <xf numFmtId="166" fontId="0" fillId="0" borderId="9" xfId="0" applyNumberFormat="1" applyFont="1" applyBorder="1" applyAlignment="1">
      <alignment horizontal="center" vertical="center"/>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1" fillId="0" borderId="3" xfId="0" applyFont="1" applyBorder="1" applyAlignment="1">
      <alignment horizontal="center" vertical="center"/>
    </xf>
    <xf numFmtId="0" fontId="1" fillId="0" borderId="3" xfId="0" applyFont="1" applyBorder="1" applyAlignment="1">
      <alignment horizontal="left" vertical="center"/>
    </xf>
    <xf numFmtId="0" fontId="1" fillId="0" borderId="4" xfId="0" applyFont="1" applyBorder="1" applyAlignment="1">
      <alignment horizontal="center" vertical="center" wrapText="1"/>
    </xf>
    <xf numFmtId="0" fontId="0" fillId="0" borderId="6" xfId="0" applyFont="1" applyBorder="1" applyAlignment="1">
      <alignment horizontal="left" vertical="center"/>
    </xf>
    <xf numFmtId="165" fontId="0" fillId="0" borderId="7" xfId="0" applyNumberFormat="1" applyFont="1" applyBorder="1" applyAlignment="1">
      <alignment horizontal="center" vertical="center" wrapText="1"/>
    </xf>
    <xf numFmtId="0" fontId="0" fillId="0" borderId="11" xfId="0" applyFont="1" applyBorder="1" applyAlignment="1">
      <alignment horizontal="left" vertical="center"/>
    </xf>
    <xf numFmtId="0" fontId="1" fillId="0" borderId="11" xfId="0" applyFont="1" applyBorder="1" applyAlignment="1">
      <alignment horizontal="left" vertical="center"/>
    </xf>
    <xf numFmtId="166" fontId="1" fillId="0" borderId="38" xfId="0" applyNumberFormat="1" applyFont="1" applyBorder="1" applyAlignment="1">
      <alignment horizontal="center"/>
    </xf>
    <xf numFmtId="0" fontId="0" fillId="3" borderId="2" xfId="0" applyFill="1" applyBorder="1" applyAlignment="1">
      <alignment horizontal="center" vertical="center"/>
    </xf>
    <xf numFmtId="0" fontId="0" fillId="3" borderId="3" xfId="0" applyFill="1" applyBorder="1" applyAlignment="1">
      <alignment horizontal="center" vertical="center" wrapText="1"/>
    </xf>
    <xf numFmtId="0" fontId="0" fillId="0" borderId="3" xfId="0" applyBorder="1" applyAlignment="1">
      <alignment horizontal="left" vertical="center"/>
    </xf>
    <xf numFmtId="166" fontId="0" fillId="0" borderId="4" xfId="0" applyNumberFormat="1" applyFont="1" applyBorder="1" applyAlignment="1">
      <alignment horizontal="center" vertical="center"/>
    </xf>
    <xf numFmtId="0" fontId="0" fillId="0" borderId="6" xfId="0" applyBorder="1" applyAlignment="1">
      <alignment horizontal="left"/>
    </xf>
    <xf numFmtId="0" fontId="0" fillId="0" borderId="7" xfId="0" applyBorder="1"/>
    <xf numFmtId="0" fontId="0" fillId="0" borderId="11" xfId="0" applyBorder="1" applyAlignment="1">
      <alignment horizontal="left" vertical="center"/>
    </xf>
    <xf numFmtId="166" fontId="0" fillId="0" borderId="12" xfId="0" applyNumberFormat="1" applyFont="1" applyBorder="1" applyAlignment="1">
      <alignment horizontal="center" vertical="center"/>
    </xf>
    <xf numFmtId="166" fontId="1" fillId="0" borderId="35" xfId="0" applyNumberFormat="1" applyFont="1" applyBorder="1" applyAlignment="1">
      <alignment horizontal="center"/>
    </xf>
    <xf numFmtId="0" fontId="0" fillId="0" borderId="12" xfId="0" applyBorder="1"/>
    <xf numFmtId="0" fontId="14" fillId="0" borderId="0" xfId="7"/>
    <xf numFmtId="170" fontId="14" fillId="0" borderId="0" xfId="7" applyNumberFormat="1"/>
    <xf numFmtId="0" fontId="14" fillId="0" borderId="0" xfId="7" applyAlignment="1">
      <alignment horizontal="center"/>
    </xf>
    <xf numFmtId="165" fontId="14" fillId="0" borderId="0" xfId="7" applyNumberFormat="1"/>
    <xf numFmtId="0" fontId="14" fillId="0" borderId="0" xfId="7" applyAlignment="1">
      <alignment horizontal="center" vertical="center" textRotation="90"/>
    </xf>
    <xf numFmtId="0" fontId="14" fillId="0" borderId="0" xfId="7" applyAlignment="1">
      <alignment horizontal="center" vertical="center" textRotation="90"/>
    </xf>
    <xf numFmtId="0" fontId="14" fillId="0" borderId="0" xfId="7" applyAlignment="1">
      <alignment horizontal="center" vertical="center" textRotation="90"/>
    </xf>
    <xf numFmtId="3" fontId="14" fillId="0" borderId="0" xfId="7" applyNumberFormat="1" applyAlignment="1">
      <alignment horizontal="center"/>
    </xf>
    <xf numFmtId="165" fontId="14" fillId="0" borderId="0" xfId="7" applyNumberFormat="1" applyAlignment="1">
      <alignment horizontal="center"/>
    </xf>
    <xf numFmtId="3" fontId="0" fillId="0" borderId="24" xfId="0" applyNumberFormat="1" applyBorder="1" applyAlignment="1">
      <alignment horizontal="center"/>
    </xf>
    <xf numFmtId="0" fontId="14" fillId="0" borderId="0" xfId="7" applyAlignment="1">
      <alignment horizontal="center" vertical="center" textRotation="90" wrapText="1"/>
    </xf>
    <xf numFmtId="0" fontId="14" fillId="0" borderId="0" xfId="7" applyAlignment="1">
      <alignment horizontal="center" vertical="center"/>
    </xf>
    <xf numFmtId="0" fontId="14" fillId="0" borderId="0" xfId="7" applyAlignment="1">
      <alignment horizontal="center" vertical="center" textRotation="90"/>
    </xf>
    <xf numFmtId="0" fontId="14" fillId="0" borderId="0" xfId="7" applyAlignment="1">
      <alignment horizontal="center" vertical="center" textRotation="90"/>
    </xf>
    <xf numFmtId="166" fontId="14" fillId="0" borderId="0" xfId="7" applyNumberFormat="1"/>
    <xf numFmtId="0" fontId="14" fillId="0" borderId="0" xfId="7" applyAlignment="1">
      <alignment horizontal="center" vertical="center" textRotation="90"/>
    </xf>
    <xf numFmtId="0" fontId="0" fillId="0" borderId="24" xfId="0" applyBorder="1" applyAlignment="1">
      <alignment horizontal="left"/>
    </xf>
    <xf numFmtId="166" fontId="14" fillId="0" borderId="0" xfId="7" applyNumberFormat="1" applyFill="1"/>
    <xf numFmtId="166" fontId="0" fillId="0" borderId="24" xfId="0" applyNumberFormat="1" applyBorder="1" applyAlignment="1">
      <alignment horizontal="center"/>
    </xf>
    <xf numFmtId="166" fontId="0" fillId="0" borderId="18" xfId="0" applyNumberFormat="1" applyBorder="1" applyAlignment="1">
      <alignment horizontal="center"/>
    </xf>
    <xf numFmtId="0" fontId="0" fillId="0" borderId="43" xfId="0" applyBorder="1" applyAlignment="1">
      <alignment horizontal="center"/>
    </xf>
    <xf numFmtId="0" fontId="14" fillId="4" borderId="0" xfId="7" applyFill="1"/>
    <xf numFmtId="0" fontId="14" fillId="4" borderId="0" xfId="7" applyFill="1" applyAlignment="1">
      <alignment horizontal="center" vertical="center" textRotation="90"/>
    </xf>
    <xf numFmtId="0" fontId="14" fillId="4" borderId="0" xfId="7" applyFill="1" applyAlignment="1">
      <alignment textRotation="90"/>
    </xf>
    <xf numFmtId="0" fontId="14" fillId="0" borderId="0" xfId="7" applyFont="1"/>
    <xf numFmtId="171" fontId="0" fillId="0" borderId="0" xfId="0" applyNumberFormat="1"/>
    <xf numFmtId="165" fontId="0" fillId="0" borderId="29" xfId="0" applyNumberFormat="1" applyBorder="1" applyAlignment="1">
      <alignment horizontal="center" vertical="center" wrapText="1"/>
    </xf>
    <xf numFmtId="165" fontId="0" fillId="0" borderId="9" xfId="0" applyNumberFormat="1" applyBorder="1" applyAlignment="1">
      <alignment horizontal="center" vertical="center" wrapText="1"/>
    </xf>
    <xf numFmtId="165" fontId="0" fillId="0" borderId="9" xfId="0" applyNumberFormat="1" applyBorder="1" applyAlignment="1">
      <alignment vertical="center" wrapText="1"/>
    </xf>
    <xf numFmtId="165" fontId="0" fillId="0" borderId="9" xfId="0" applyNumberFormat="1" applyFill="1" applyBorder="1" applyAlignment="1">
      <alignment horizontal="center" vertical="center" wrapText="1"/>
    </xf>
    <xf numFmtId="165" fontId="0" fillId="0" borderId="12" xfId="0" applyNumberFormat="1" applyFill="1" applyBorder="1" applyAlignment="1">
      <alignment horizontal="center" vertical="center" wrapText="1"/>
    </xf>
    <xf numFmtId="0" fontId="14" fillId="0" borderId="0" xfId="7" applyFill="1"/>
    <xf numFmtId="167" fontId="0" fillId="0" borderId="44" xfId="0" applyNumberFormat="1" applyBorder="1" applyAlignment="1">
      <alignment horizontal="center"/>
    </xf>
    <xf numFmtId="167" fontId="0" fillId="2" borderId="1" xfId="0" applyNumberFormat="1" applyFill="1" applyBorder="1" applyAlignment="1">
      <alignment horizontal="center" vertical="center"/>
    </xf>
    <xf numFmtId="167" fontId="0" fillId="2" borderId="11" xfId="0" applyNumberFormat="1" applyFill="1" applyBorder="1" applyAlignment="1">
      <alignment horizontal="center" vertical="center"/>
    </xf>
    <xf numFmtId="0" fontId="13" fillId="0" borderId="0" xfId="0" applyFont="1" applyAlignment="1">
      <alignment horizontal="center" wrapText="1"/>
    </xf>
    <xf numFmtId="0" fontId="1" fillId="0" borderId="15" xfId="0" applyFont="1" applyBorder="1" applyAlignment="1">
      <alignment horizontal="right"/>
    </xf>
    <xf numFmtId="165" fontId="0" fillId="0" borderId="0" xfId="0" applyNumberFormat="1"/>
    <xf numFmtId="0" fontId="13" fillId="0" borderId="0" xfId="0" applyFont="1" applyAlignment="1">
      <alignment horizontal="center"/>
    </xf>
    <xf numFmtId="0" fontId="19" fillId="0" borderId="0" xfId="0" applyFont="1" applyAlignment="1">
      <alignment horizontal="center"/>
    </xf>
    <xf numFmtId="0" fontId="0" fillId="0" borderId="0" xfId="0" applyAlignment="1">
      <alignment horizontal="center"/>
    </xf>
    <xf numFmtId="0" fontId="13" fillId="0" borderId="0" xfId="0" applyFont="1" applyAlignment="1">
      <alignment horizontal="center" wrapText="1"/>
    </xf>
    <xf numFmtId="0" fontId="14" fillId="0" borderId="0" xfId="7" applyAlignment="1">
      <alignment horizontal="center" vertical="center" textRotation="90"/>
    </xf>
    <xf numFmtId="0" fontId="14" fillId="0" borderId="0" xfId="7" applyAlignment="1">
      <alignment horizontal="center" vertical="center" textRotation="90" wrapText="1"/>
    </xf>
    <xf numFmtId="0" fontId="8" fillId="0" borderId="43" xfId="0" applyFont="1" applyBorder="1" applyAlignment="1">
      <alignment horizontal="center" vertical="center" textRotation="90" wrapText="1"/>
    </xf>
    <xf numFmtId="0" fontId="8" fillId="0" borderId="22" xfId="0" applyFont="1" applyBorder="1" applyAlignment="1">
      <alignment horizontal="center" vertical="center" textRotation="90" wrapText="1"/>
    </xf>
    <xf numFmtId="0" fontId="8" fillId="0" borderId="44" xfId="0" applyFont="1" applyBorder="1" applyAlignment="1">
      <alignment horizontal="center" vertical="center" textRotation="90" wrapText="1"/>
    </xf>
    <xf numFmtId="0" fontId="2" fillId="0" borderId="40" xfId="0" applyFont="1" applyBorder="1" applyAlignment="1">
      <alignment horizontal="center"/>
    </xf>
    <xf numFmtId="0" fontId="2" fillId="0" borderId="41" xfId="0" applyFont="1" applyBorder="1" applyAlignment="1">
      <alignment horizontal="center"/>
    </xf>
    <xf numFmtId="0" fontId="2" fillId="0" borderId="42" xfId="0" applyFont="1" applyBorder="1" applyAlignment="1">
      <alignment horizontal="center"/>
    </xf>
    <xf numFmtId="0" fontId="4" fillId="0" borderId="40" xfId="0" applyFont="1" applyBorder="1" applyAlignment="1">
      <alignment horizontal="center" wrapText="1"/>
    </xf>
    <xf numFmtId="0" fontId="4" fillId="0" borderId="41" xfId="0" applyFont="1" applyBorder="1" applyAlignment="1">
      <alignment horizontal="center" wrapText="1"/>
    </xf>
    <xf numFmtId="0" fontId="4" fillId="0" borderId="42" xfId="0" applyFont="1" applyBorder="1" applyAlignment="1">
      <alignment horizontal="center" wrapText="1"/>
    </xf>
    <xf numFmtId="0" fontId="1" fillId="0" borderId="40" xfId="0" applyFont="1" applyBorder="1" applyAlignment="1">
      <alignment horizontal="center" vertical="center" wrapText="1"/>
    </xf>
    <xf numFmtId="0" fontId="1" fillId="0" borderId="42" xfId="0" applyFont="1" applyBorder="1" applyAlignment="1">
      <alignment horizontal="center" vertical="center" wrapText="1"/>
    </xf>
    <xf numFmtId="0" fontId="0" fillId="0" borderId="0" xfId="0" applyBorder="1" applyAlignment="1">
      <alignment horizontal="left"/>
    </xf>
    <xf numFmtId="0" fontId="0" fillId="0" borderId="24" xfId="0" applyBorder="1" applyAlignment="1">
      <alignment horizontal="left"/>
    </xf>
    <xf numFmtId="0" fontId="0" fillId="0" borderId="40" xfId="0" applyBorder="1" applyAlignment="1">
      <alignment horizontal="center"/>
    </xf>
    <xf numFmtId="0" fontId="0" fillId="0" borderId="41" xfId="0" applyBorder="1" applyAlignment="1">
      <alignment horizontal="center"/>
    </xf>
    <xf numFmtId="0" fontId="0" fillId="0" borderId="42" xfId="0" applyBorder="1" applyAlignment="1">
      <alignment horizontal="center"/>
    </xf>
    <xf numFmtId="0" fontId="0" fillId="0" borderId="0" xfId="0" applyAlignment="1">
      <alignment horizontal="left"/>
    </xf>
    <xf numFmtId="0" fontId="0" fillId="0" borderId="17" xfId="0" applyBorder="1" applyAlignment="1">
      <alignment horizontal="left"/>
    </xf>
    <xf numFmtId="0" fontId="0" fillId="0" borderId="18" xfId="0" applyBorder="1" applyAlignment="1">
      <alignment horizontal="left"/>
    </xf>
    <xf numFmtId="0" fontId="1" fillId="0" borderId="41" xfId="0" applyFont="1" applyBorder="1" applyAlignment="1">
      <alignment horizontal="center" vertical="center" wrapText="1"/>
    </xf>
    <xf numFmtId="0" fontId="0" fillId="0" borderId="15" xfId="0" applyBorder="1" applyAlignment="1">
      <alignment horizontal="left"/>
    </xf>
    <xf numFmtId="0" fontId="1" fillId="0" borderId="5" xfId="0" applyFont="1" applyBorder="1" applyAlignment="1">
      <alignment horizontal="center" vertical="center" wrapText="1"/>
    </xf>
    <xf numFmtId="0" fontId="1" fillId="0" borderId="10" xfId="0" applyFont="1" applyBorder="1" applyAlignment="1">
      <alignment horizontal="center" vertical="center" wrapText="1"/>
    </xf>
    <xf numFmtId="0" fontId="1" fillId="0" borderId="6" xfId="0" applyFont="1" applyBorder="1" applyAlignment="1">
      <alignment horizontal="center" vertical="center" wrapText="1"/>
    </xf>
    <xf numFmtId="0" fontId="1" fillId="0" borderId="7" xfId="0" applyFont="1" applyBorder="1" applyAlignment="1">
      <alignment horizontal="center" vertical="center" wrapText="1"/>
    </xf>
    <xf numFmtId="0" fontId="1" fillId="0" borderId="6" xfId="0" applyFont="1" applyBorder="1" applyAlignment="1">
      <alignment horizontal="center" vertical="center"/>
    </xf>
    <xf numFmtId="0" fontId="1" fillId="0" borderId="11" xfId="0" applyFont="1" applyBorder="1" applyAlignment="1">
      <alignment horizontal="center" vertical="center"/>
    </xf>
    <xf numFmtId="0" fontId="1" fillId="0" borderId="23" xfId="0" applyFont="1" applyBorder="1" applyAlignment="1">
      <alignment horizontal="center" vertical="center" wrapText="1"/>
    </xf>
    <xf numFmtId="0" fontId="1" fillId="0" borderId="49" xfId="0" applyFont="1" applyBorder="1" applyAlignment="1">
      <alignment horizontal="center" vertical="center" wrapText="1"/>
    </xf>
    <xf numFmtId="0" fontId="1" fillId="0" borderId="32" xfId="0" applyFont="1" applyBorder="1" applyAlignment="1">
      <alignment horizontal="right"/>
    </xf>
    <xf numFmtId="0" fontId="1" fillId="0" borderId="52" xfId="0" applyFont="1" applyBorder="1" applyAlignment="1">
      <alignment horizontal="right"/>
    </xf>
    <xf numFmtId="0" fontId="0" fillId="2" borderId="5" xfId="0" applyFont="1" applyFill="1" applyBorder="1" applyAlignment="1">
      <alignment horizontal="center" vertical="center" wrapText="1"/>
    </xf>
    <xf numFmtId="0" fontId="0" fillId="2" borderId="8" xfId="0" applyFont="1" applyFill="1" applyBorder="1" applyAlignment="1">
      <alignment horizontal="center" vertical="center" wrapText="1"/>
    </xf>
    <xf numFmtId="0" fontId="0" fillId="2" borderId="10" xfId="0" applyFont="1" applyFill="1" applyBorder="1" applyAlignment="1">
      <alignment horizontal="center" vertical="center" wrapText="1"/>
    </xf>
    <xf numFmtId="0" fontId="0" fillId="2" borderId="6"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0" fillId="4" borderId="5" xfId="0" applyFont="1" applyFill="1" applyBorder="1" applyAlignment="1">
      <alignment horizontal="center" vertical="center" wrapText="1"/>
    </xf>
    <xf numFmtId="0" fontId="0" fillId="4" borderId="8" xfId="0" applyFont="1" applyFill="1" applyBorder="1" applyAlignment="1">
      <alignment horizontal="center" vertical="center" wrapText="1"/>
    </xf>
    <xf numFmtId="0" fontId="0" fillId="4" borderId="10" xfId="0" applyFont="1" applyFill="1" applyBorder="1" applyAlignment="1">
      <alignment horizontal="center" vertical="center" wrapText="1"/>
    </xf>
    <xf numFmtId="0" fontId="0" fillId="4" borderId="6" xfId="0" applyFill="1" applyBorder="1" applyAlignment="1">
      <alignment horizontal="center" vertical="center" wrapText="1"/>
    </xf>
    <xf numFmtId="0" fontId="0" fillId="4" borderId="1" xfId="0" applyFill="1" applyBorder="1" applyAlignment="1">
      <alignment horizontal="center" vertical="center" wrapText="1"/>
    </xf>
    <xf numFmtId="0" fontId="0" fillId="4" borderId="11" xfId="0" applyFill="1" applyBorder="1" applyAlignment="1">
      <alignment horizontal="center" vertical="center" wrapText="1"/>
    </xf>
    <xf numFmtId="0" fontId="1" fillId="0" borderId="33" xfId="0" applyFont="1" applyBorder="1" applyAlignment="1">
      <alignment horizontal="right"/>
    </xf>
    <xf numFmtId="0" fontId="1" fillId="0" borderId="46" xfId="0" applyFont="1" applyBorder="1" applyAlignment="1">
      <alignment horizontal="right"/>
    </xf>
    <xf numFmtId="0" fontId="0" fillId="0" borderId="6" xfId="0" applyFont="1" applyBorder="1" applyAlignment="1">
      <alignment horizontal="left" vertical="center"/>
    </xf>
    <xf numFmtId="0" fontId="0" fillId="0" borderId="1" xfId="0" applyFont="1" applyBorder="1" applyAlignment="1">
      <alignment horizontal="left" vertical="center"/>
    </xf>
    <xf numFmtId="0" fontId="0" fillId="5" borderId="5" xfId="0" applyFont="1" applyFill="1" applyBorder="1" applyAlignment="1">
      <alignment horizontal="center" vertical="center" wrapText="1"/>
    </xf>
    <xf numFmtId="0" fontId="0" fillId="5" borderId="8" xfId="0" applyFont="1" applyFill="1" applyBorder="1" applyAlignment="1">
      <alignment horizontal="center" vertical="center" wrapText="1"/>
    </xf>
    <xf numFmtId="0" fontId="0" fillId="5" borderId="10" xfId="0" applyFont="1" applyFill="1" applyBorder="1" applyAlignment="1">
      <alignment horizontal="center" vertical="center" wrapText="1"/>
    </xf>
    <xf numFmtId="0" fontId="0" fillId="5" borderId="6" xfId="0" applyFont="1" applyFill="1" applyBorder="1" applyAlignment="1">
      <alignment horizontal="center" vertical="center" wrapText="1"/>
    </xf>
    <xf numFmtId="0" fontId="0" fillId="5" borderId="1" xfId="0" applyFont="1" applyFill="1" applyBorder="1" applyAlignment="1">
      <alignment horizontal="center" vertical="center" wrapText="1"/>
    </xf>
    <xf numFmtId="0" fontId="0" fillId="5" borderId="11" xfId="0" applyFont="1" applyFill="1" applyBorder="1" applyAlignment="1">
      <alignment horizontal="center" vertical="center" wrapText="1"/>
    </xf>
    <xf numFmtId="0" fontId="0" fillId="7" borderId="5" xfId="0" applyFont="1" applyFill="1" applyBorder="1" applyAlignment="1">
      <alignment horizontal="center" vertical="center" wrapText="1"/>
    </xf>
    <xf numFmtId="0" fontId="0" fillId="7" borderId="8" xfId="0" applyFont="1" applyFill="1" applyBorder="1" applyAlignment="1">
      <alignment horizontal="center" vertical="center" wrapText="1"/>
    </xf>
    <xf numFmtId="0" fontId="0" fillId="7" borderId="10" xfId="0" applyFont="1" applyFill="1" applyBorder="1" applyAlignment="1">
      <alignment horizontal="center" vertical="center" wrapText="1"/>
    </xf>
    <xf numFmtId="0" fontId="0" fillId="7" borderId="6" xfId="0" applyFont="1" applyFill="1" applyBorder="1" applyAlignment="1">
      <alignment horizontal="center" vertical="center" wrapText="1"/>
    </xf>
    <xf numFmtId="0" fontId="0" fillId="7" borderId="1" xfId="0" applyFont="1" applyFill="1" applyBorder="1" applyAlignment="1">
      <alignment horizontal="center" vertical="center" wrapText="1"/>
    </xf>
    <xf numFmtId="0" fontId="0" fillId="7" borderId="11" xfId="0" applyFont="1" applyFill="1" applyBorder="1" applyAlignment="1">
      <alignment horizontal="center" vertical="center" wrapText="1"/>
    </xf>
    <xf numFmtId="0" fontId="3" fillId="0" borderId="31" xfId="0" applyFont="1" applyBorder="1" applyAlignment="1">
      <alignment horizontal="center" vertical="center" textRotation="90" wrapText="1"/>
    </xf>
    <xf numFmtId="0" fontId="3" fillId="0" borderId="32" xfId="0" applyFont="1" applyBorder="1" applyAlignment="1">
      <alignment horizontal="center" vertical="center" textRotation="90" wrapText="1"/>
    </xf>
    <xf numFmtId="0" fontId="3" fillId="0" borderId="33" xfId="0" applyFont="1" applyBorder="1" applyAlignment="1">
      <alignment horizontal="center" vertical="center" textRotation="90" wrapText="1"/>
    </xf>
    <xf numFmtId="0" fontId="3" fillId="0" borderId="5" xfId="0" applyFont="1" applyBorder="1" applyAlignment="1">
      <alignment horizontal="center" vertical="center" textRotation="90"/>
    </xf>
    <xf numFmtId="0" fontId="3" fillId="0" borderId="8" xfId="0" applyFont="1" applyBorder="1" applyAlignment="1">
      <alignment horizontal="center" vertical="center" textRotation="90"/>
    </xf>
    <xf numFmtId="0" fontId="3" fillId="0" borderId="27" xfId="0" applyFont="1" applyBorder="1" applyAlignment="1">
      <alignment horizontal="center" vertical="center" textRotation="90"/>
    </xf>
    <xf numFmtId="168" fontId="0" fillId="0" borderId="7" xfId="0" applyNumberFormat="1" applyBorder="1" applyAlignment="1">
      <alignment horizontal="center" vertical="center"/>
    </xf>
    <xf numFmtId="168" fontId="0" fillId="0" borderId="9" xfId="0" applyNumberFormat="1" applyBorder="1" applyAlignment="1">
      <alignment horizontal="center" vertical="center"/>
    </xf>
    <xf numFmtId="0" fontId="0" fillId="0" borderId="1" xfId="0" applyBorder="1" applyAlignment="1">
      <alignment horizontal="left" vertical="center" wrapText="1"/>
    </xf>
    <xf numFmtId="169" fontId="0" fillId="0" borderId="9" xfId="0" applyNumberFormat="1" applyBorder="1" applyAlignment="1">
      <alignment horizontal="center" vertical="center"/>
    </xf>
    <xf numFmtId="0" fontId="0" fillId="0" borderId="19" xfId="0" applyBorder="1" applyAlignment="1">
      <alignment horizontal="left" vertical="center" wrapText="1"/>
    </xf>
    <xf numFmtId="0" fontId="0" fillId="0" borderId="21" xfId="0" applyBorder="1" applyAlignment="1">
      <alignment horizontal="left" vertical="center" wrapText="1"/>
    </xf>
    <xf numFmtId="2" fontId="0" fillId="0" borderId="9" xfId="0" applyNumberFormat="1" applyBorder="1" applyAlignment="1">
      <alignment horizontal="center" vertical="center"/>
    </xf>
    <xf numFmtId="0" fontId="0" fillId="0" borderId="46" xfId="0" applyBorder="1" applyAlignment="1">
      <alignment horizontal="left" vertical="center" wrapText="1"/>
    </xf>
    <xf numFmtId="2" fontId="0" fillId="0" borderId="12" xfId="0" applyNumberFormat="1" applyBorder="1" applyAlignment="1">
      <alignment horizontal="center" vertical="center"/>
    </xf>
    <xf numFmtId="0" fontId="0" fillId="0" borderId="1" xfId="0" applyBorder="1" applyAlignment="1">
      <alignment horizontal="left" vertical="center"/>
    </xf>
    <xf numFmtId="165" fontId="0" fillId="0" borderId="20" xfId="0" applyNumberFormat="1" applyBorder="1" applyAlignment="1">
      <alignment horizontal="center" vertical="center"/>
    </xf>
    <xf numFmtId="165" fontId="0" fillId="0" borderId="29" xfId="0" applyNumberFormat="1" applyBorder="1" applyAlignment="1">
      <alignment horizontal="center" vertical="center"/>
    </xf>
    <xf numFmtId="2" fontId="0" fillId="0" borderId="20" xfId="0" applyNumberFormat="1" applyBorder="1" applyAlignment="1">
      <alignment horizontal="center" vertical="center"/>
    </xf>
    <xf numFmtId="2" fontId="0" fillId="0" borderId="29" xfId="0" applyNumberFormat="1" applyBorder="1" applyAlignment="1">
      <alignment horizontal="center" vertical="center"/>
    </xf>
    <xf numFmtId="0" fontId="0" fillId="0" borderId="1" xfId="0" applyBorder="1" applyAlignment="1">
      <alignment horizontal="center" wrapText="1"/>
    </xf>
    <xf numFmtId="0" fontId="0" fillId="0" borderId="11" xfId="0" applyBorder="1" applyAlignment="1">
      <alignment horizontal="center" wrapText="1"/>
    </xf>
    <xf numFmtId="2" fontId="0" fillId="0" borderId="35" xfId="0" applyNumberFormat="1" applyBorder="1" applyAlignment="1">
      <alignment horizontal="center" vertical="center"/>
    </xf>
    <xf numFmtId="0" fontId="0" fillId="0" borderId="19" xfId="0" applyBorder="1" applyAlignment="1">
      <alignment horizontal="center" vertical="center" wrapText="1"/>
    </xf>
    <xf numFmtId="0" fontId="0" fillId="0" borderId="21" xfId="0" applyBorder="1" applyAlignment="1">
      <alignment horizontal="center" vertical="center" wrapText="1"/>
    </xf>
    <xf numFmtId="0" fontId="6" fillId="0" borderId="40" xfId="0" applyFont="1" applyBorder="1" applyAlignment="1">
      <alignment horizontal="center"/>
    </xf>
    <xf numFmtId="0" fontId="6" fillId="0" borderId="41" xfId="0" applyFont="1" applyBorder="1" applyAlignment="1">
      <alignment horizontal="center"/>
    </xf>
    <xf numFmtId="0" fontId="6" fillId="0" borderId="42" xfId="0" applyFont="1" applyBorder="1" applyAlignment="1">
      <alignment horizontal="center"/>
    </xf>
    <xf numFmtId="0" fontId="3" fillId="0" borderId="47" xfId="0" applyFont="1" applyBorder="1" applyAlignment="1">
      <alignment horizontal="center" vertical="center" textRotation="90" wrapText="1"/>
    </xf>
    <xf numFmtId="0" fontId="3" fillId="0" borderId="8" xfId="0" applyFont="1" applyBorder="1" applyAlignment="1">
      <alignment horizontal="center" vertical="center" textRotation="90" wrapText="1"/>
    </xf>
    <xf numFmtId="0" fontId="3" fillId="0" borderId="10" xfId="0" applyFont="1" applyBorder="1" applyAlignment="1">
      <alignment horizontal="center" vertical="center" textRotation="90" wrapText="1"/>
    </xf>
    <xf numFmtId="169" fontId="0" fillId="0" borderId="34" xfId="0" applyNumberFormat="1" applyBorder="1" applyAlignment="1">
      <alignment horizontal="center" vertical="center"/>
    </xf>
    <xf numFmtId="169" fontId="0" fillId="0" borderId="29" xfId="0" applyNumberFormat="1" applyBorder="1" applyAlignment="1">
      <alignment horizontal="center" vertical="center"/>
    </xf>
    <xf numFmtId="0" fontId="0" fillId="0" borderId="1" xfId="0" applyBorder="1" applyAlignment="1">
      <alignment horizontal="center" vertical="center"/>
    </xf>
    <xf numFmtId="0" fontId="0" fillId="0" borderId="46" xfId="0" applyBorder="1" applyAlignment="1">
      <alignment horizontal="center" vertical="center" wrapText="1"/>
    </xf>
    <xf numFmtId="0" fontId="4" fillId="0" borderId="40" xfId="0" applyFont="1" applyBorder="1" applyAlignment="1">
      <alignment horizontal="left" wrapText="1"/>
    </xf>
    <xf numFmtId="0" fontId="4" fillId="0" borderId="41" xfId="0" applyFont="1" applyBorder="1" applyAlignment="1">
      <alignment horizontal="left" wrapText="1"/>
    </xf>
    <xf numFmtId="0" fontId="4" fillId="0" borderId="42" xfId="0" applyFont="1" applyBorder="1" applyAlignment="1">
      <alignment horizontal="left" wrapText="1"/>
    </xf>
    <xf numFmtId="172" fontId="0" fillId="0" borderId="7" xfId="0" applyNumberFormat="1" applyBorder="1" applyAlignment="1">
      <alignment horizontal="center" vertical="center"/>
    </xf>
    <xf numFmtId="172" fontId="0" fillId="0" borderId="9" xfId="0" applyNumberFormat="1" applyBorder="1" applyAlignment="1">
      <alignment horizontal="center" vertical="center"/>
    </xf>
    <xf numFmtId="0" fontId="0" fillId="0" borderId="45" xfId="0" applyBorder="1" applyAlignment="1">
      <alignment horizontal="center" vertical="center" wrapText="1"/>
    </xf>
    <xf numFmtId="0" fontId="0" fillId="0" borderId="1" xfId="0" applyBorder="1" applyAlignment="1">
      <alignment horizontal="center" vertical="center" wrapText="1"/>
    </xf>
    <xf numFmtId="0" fontId="0" fillId="0" borderId="11" xfId="0" applyBorder="1" applyAlignment="1">
      <alignment horizontal="center" vertical="center" wrapText="1"/>
    </xf>
    <xf numFmtId="0" fontId="3" fillId="0" borderId="28" xfId="0" applyFont="1" applyBorder="1" applyAlignment="1">
      <alignment horizontal="center" vertical="center" textRotation="90" wrapText="1"/>
    </xf>
    <xf numFmtId="10" fontId="0" fillId="0" borderId="38" xfId="1" applyNumberFormat="1" applyFont="1" applyBorder="1" applyAlignment="1">
      <alignment horizontal="center" vertical="center"/>
    </xf>
    <xf numFmtId="10" fontId="0" fillId="0" borderId="29" xfId="1" applyNumberFormat="1" applyFont="1" applyBorder="1" applyAlignment="1">
      <alignment horizontal="center" vertical="center"/>
    </xf>
    <xf numFmtId="10" fontId="0" fillId="0" borderId="20" xfId="1" applyNumberFormat="1" applyFont="1" applyBorder="1" applyAlignment="1">
      <alignment horizontal="center" vertical="center"/>
    </xf>
    <xf numFmtId="10" fontId="0" fillId="0" borderId="35" xfId="1" applyNumberFormat="1" applyFont="1" applyBorder="1" applyAlignment="1">
      <alignment horizontal="center" vertical="center"/>
    </xf>
    <xf numFmtId="0" fontId="0" fillId="0" borderId="48" xfId="0" applyBorder="1" applyAlignment="1">
      <alignment horizontal="center" vertical="center"/>
    </xf>
    <xf numFmtId="0" fontId="0" fillId="0" borderId="36" xfId="0" applyBorder="1" applyAlignment="1">
      <alignment horizontal="center" vertical="center"/>
    </xf>
    <xf numFmtId="0" fontId="0" fillId="0" borderId="36" xfId="0" applyBorder="1" applyAlignment="1">
      <alignment horizontal="center" vertical="center" wrapText="1"/>
    </xf>
    <xf numFmtId="0" fontId="0" fillId="0" borderId="37" xfId="0" applyBorder="1" applyAlignment="1">
      <alignment horizontal="center" vertical="center" wrapText="1"/>
    </xf>
    <xf numFmtId="0" fontId="6" fillId="0" borderId="14" xfId="0" applyFont="1" applyBorder="1" applyAlignment="1">
      <alignment horizontal="center"/>
    </xf>
    <xf numFmtId="0" fontId="6" fillId="0" borderId="15" xfId="0" applyFont="1" applyBorder="1" applyAlignment="1">
      <alignment horizontal="center"/>
    </xf>
    <xf numFmtId="0" fontId="6" fillId="0" borderId="16" xfId="0" applyFont="1" applyBorder="1" applyAlignment="1">
      <alignment horizontal="center"/>
    </xf>
    <xf numFmtId="0" fontId="6" fillId="0" borderId="17" xfId="0" applyFont="1" applyBorder="1" applyAlignment="1">
      <alignment horizontal="center"/>
    </xf>
    <xf numFmtId="0" fontId="6" fillId="0" borderId="13" xfId="0" applyFont="1" applyBorder="1" applyAlignment="1">
      <alignment horizontal="center"/>
    </xf>
    <xf numFmtId="0" fontId="6" fillId="0" borderId="18" xfId="0" applyFont="1" applyBorder="1" applyAlignment="1">
      <alignment horizontal="center"/>
    </xf>
    <xf numFmtId="0" fontId="3" fillId="0" borderId="10" xfId="0" applyFont="1" applyBorder="1" applyAlignment="1">
      <alignment horizontal="center" vertical="center" textRotation="90"/>
    </xf>
    <xf numFmtId="0" fontId="0" fillId="0" borderId="6" xfId="0" applyBorder="1" applyAlignment="1">
      <alignment horizontal="left" vertical="center" wrapText="1"/>
    </xf>
  </cellXfs>
  <cellStyles count="8">
    <cellStyle name="Millares 2" xfId="6"/>
    <cellStyle name="Moneda" xfId="2" builtinId="4"/>
    <cellStyle name="Normal" xfId="0" builtinId="0"/>
    <cellStyle name="Normal 2" xfId="3"/>
    <cellStyle name="Normal 3" xfId="5"/>
    <cellStyle name="Normal 4" xfId="7"/>
    <cellStyle name="Porcentaje" xfId="1" builtinId="5"/>
    <cellStyle name="Porcentaje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Indicador de días de inventario</a:t>
            </a:r>
          </a:p>
        </c:rich>
      </c:tx>
      <c:layout/>
      <c:overlay val="0"/>
      <c:spPr>
        <a:noFill/>
        <a:ln>
          <a:noFill/>
        </a:ln>
        <a:effectLst/>
      </c:spPr>
    </c:title>
    <c:autoTitleDeleted val="0"/>
    <c:plotArea>
      <c:layout>
        <c:manualLayout>
          <c:layoutTarget val="inner"/>
          <c:xMode val="edge"/>
          <c:yMode val="edge"/>
          <c:x val="8.5579268108727777E-2"/>
          <c:y val="0.13174430967868034"/>
          <c:w val="0.88600081916213003"/>
          <c:h val="0.6651966204148354"/>
        </c:manualLayout>
      </c:layout>
      <c:barChart>
        <c:barDir val="col"/>
        <c:grouping val="clustered"/>
        <c:varyColors val="0"/>
        <c:ser>
          <c:idx val="0"/>
          <c:order val="0"/>
          <c:tx>
            <c:strRef>
              <c:f>'Formulas Financieras'!$B$7:$B$8</c:f>
              <c:strCache>
                <c:ptCount val="1"/>
                <c:pt idx="0">
                  <c:v>Indicador de días de inventario (S.I)</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pt idx="0">
                <c:v>1</c:v>
              </c:pt>
              <c:extLst>
                <c:ext xmlns:c15="http://schemas.microsoft.com/office/drawing/2012/chart" uri="{02D57815-91ED-43cb-92C2-25804820EDAC}">
                  <c15:autoCat val="1"/>
                </c:ext>
              </c:extLst>
            </c:strLit>
          </c:cat>
          <c:val>
            <c:numRef>
              <c:f>'Formulas Financieras'!$F$7</c:f>
              <c:numCache>
                <c:formatCode>0.000</c:formatCode>
                <c:ptCount val="1"/>
                <c:pt idx="0">
                  <c:v>4.8313860247559388</c:v>
                </c:pt>
              </c:numCache>
              <c:extLst>
                <c:ext xmlns:c15="http://schemas.microsoft.com/office/drawing/2012/chart" uri="{02D57815-91ED-43cb-92C2-25804820EDAC}">
                  <c15:fullRef>
                    <c15:sqref>'Formulas Financieras'!$F$7:$F$8</c15:sqref>
                  </c15:fullRef>
                </c:ext>
              </c:extLst>
            </c:numRef>
          </c:val>
        </c:ser>
        <c:ser>
          <c:idx val="1"/>
          <c:order val="1"/>
          <c:tx>
            <c:strRef>
              <c:f>'Formulas Financieras'!$I$7:$I$8</c:f>
              <c:strCache>
                <c:ptCount val="1"/>
                <c:pt idx="0">
                  <c:v>Indicador de días de inventario (C.I)</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pt idx="0">
                <c:v>1</c:v>
              </c:pt>
              <c:extLst>
                <c:ext xmlns:c15="http://schemas.microsoft.com/office/drawing/2012/chart" uri="{02D57815-91ED-43cb-92C2-25804820EDAC}">
                  <c15:autoCat val="1"/>
                </c:ext>
              </c:extLst>
            </c:strLit>
          </c:cat>
          <c:val>
            <c:numRef>
              <c:f>'Formulas Financieras'!$M$7</c:f>
              <c:numCache>
                <c:formatCode>0.000</c:formatCode>
                <c:ptCount val="1"/>
                <c:pt idx="0">
                  <c:v>4.8459328120072946</c:v>
                </c:pt>
              </c:numCache>
              <c:extLst>
                <c:ext xmlns:c15="http://schemas.microsoft.com/office/drawing/2012/chart" uri="{02D57815-91ED-43cb-92C2-25804820EDAC}">
                  <c15:fullRef>
                    <c15:sqref>'Formulas Financieras'!$M$7:$M$8</c15:sqref>
                  </c15:fullRef>
                </c:ext>
              </c:extLst>
            </c:numRef>
          </c:val>
        </c:ser>
        <c:dLbls>
          <c:showLegendKey val="0"/>
          <c:showVal val="1"/>
          <c:showCatName val="0"/>
          <c:showSerName val="0"/>
          <c:showPercent val="0"/>
          <c:showBubbleSize val="0"/>
        </c:dLbls>
        <c:gapWidth val="150"/>
        <c:axId val="97163904"/>
        <c:axId val="97177984"/>
      </c:barChart>
      <c:catAx>
        <c:axId val="97163904"/>
        <c:scaling>
          <c:orientation val="minMax"/>
        </c:scaling>
        <c:delete val="1"/>
        <c:axPos val="b"/>
        <c:numFmt formatCode="General" sourceLinked="1"/>
        <c:majorTickMark val="out"/>
        <c:minorTickMark val="none"/>
        <c:tickLblPos val="nextTo"/>
        <c:crossAx val="97177984"/>
        <c:crosses val="autoZero"/>
        <c:auto val="1"/>
        <c:lblAlgn val="ctr"/>
        <c:lblOffset val="100"/>
        <c:noMultiLvlLbl val="0"/>
      </c:catAx>
      <c:valAx>
        <c:axId val="97177984"/>
        <c:scaling>
          <c:orientation val="minMax"/>
        </c:scaling>
        <c:delete val="0"/>
        <c:axPos val="l"/>
        <c:majorGridlines>
          <c:spPr>
            <a:ln w="9525" cap="flat" cmpd="sng" algn="ctr">
              <a:solidFill>
                <a:schemeClr val="tx1">
                  <a:lumMod val="15000"/>
                  <a:lumOff val="85000"/>
                </a:schemeClr>
              </a:solidFill>
              <a:round/>
            </a:ln>
            <a:effectLst/>
          </c:spPr>
        </c:majorGridlines>
        <c:numFmt formatCode="0.00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97163904"/>
        <c:crosses val="autoZero"/>
        <c:crossBetween val="between"/>
      </c:valAx>
      <c:spPr>
        <a:noFill/>
        <a:ln>
          <a:noFill/>
        </a:ln>
        <a:effectLst/>
      </c:spPr>
    </c:plotArea>
    <c:legend>
      <c:legendPos val="r"/>
      <c:layout>
        <c:manualLayout>
          <c:xMode val="edge"/>
          <c:yMode val="edge"/>
          <c:x val="3.4337707786526693E-2"/>
          <c:y val="0.84844579141062437"/>
          <c:w val="0.93509474512125423"/>
          <c:h val="0.13741991217756025"/>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000000000000011" l="0.70000000000000007" r="0.70000000000000007" t="0.75000000000000011" header="0.30000000000000004" footer="0.30000000000000004"/>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Razón de apalancamiento</a:t>
            </a:r>
          </a:p>
        </c:rich>
      </c:tx>
      <c:layout/>
      <c:overlay val="0"/>
      <c:spPr>
        <a:noFill/>
        <a:ln>
          <a:noFill/>
        </a:ln>
        <a:effectLst/>
      </c:spPr>
    </c:title>
    <c:autoTitleDeleted val="0"/>
    <c:plotArea>
      <c:layout>
        <c:manualLayout>
          <c:layoutTarget val="inner"/>
          <c:xMode val="edge"/>
          <c:yMode val="edge"/>
          <c:x val="8.5579268108727777E-2"/>
          <c:y val="0.13174430967868034"/>
          <c:w val="0.88600081916213003"/>
          <c:h val="0.6651966204148354"/>
        </c:manualLayout>
      </c:layout>
      <c:barChart>
        <c:barDir val="col"/>
        <c:grouping val="clustered"/>
        <c:varyColors val="0"/>
        <c:ser>
          <c:idx val="0"/>
          <c:order val="0"/>
          <c:tx>
            <c:strRef>
              <c:f>'Formulas Financieras'!$B$27:$B$28</c:f>
              <c:strCache>
                <c:ptCount val="1"/>
                <c:pt idx="0">
                  <c:v>Razón apalancamiento (S.I)</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pt idx="0">
                <c:v>1</c:v>
              </c:pt>
              <c:extLst>
                <c:ext xmlns:c15="http://schemas.microsoft.com/office/drawing/2012/chart" uri="{02D57815-91ED-43cb-92C2-25804820EDAC}">
                  <c15:autoCat val="1"/>
                </c:ext>
              </c:extLst>
            </c:strLit>
          </c:cat>
          <c:val>
            <c:numRef>
              <c:f>'Formulas Financieras'!$F$27</c:f>
              <c:numCache>
                <c:formatCode>0.000000</c:formatCode>
                <c:ptCount val="1"/>
                <c:pt idx="0">
                  <c:v>0.26008505362935164</c:v>
                </c:pt>
              </c:numCache>
              <c:extLst>
                <c:ext xmlns:c15="http://schemas.microsoft.com/office/drawing/2012/chart" uri="{02D57815-91ED-43cb-92C2-25804820EDAC}">
                  <c15:fullRef>
                    <c15:sqref>'Formulas Financieras'!$F$27:$F$28</c15:sqref>
                  </c15:fullRef>
                </c:ext>
              </c:extLst>
            </c:numRef>
          </c:val>
        </c:ser>
        <c:ser>
          <c:idx val="1"/>
          <c:order val="1"/>
          <c:tx>
            <c:strRef>
              <c:f>'Formulas Financieras'!$I$27:$I$28</c:f>
              <c:strCache>
                <c:ptCount val="1"/>
                <c:pt idx="0">
                  <c:v>Razón apalancamiento (C.I)</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pt idx="0">
                <c:v>1</c:v>
              </c:pt>
              <c:extLst>
                <c:ext xmlns:c15="http://schemas.microsoft.com/office/drawing/2012/chart" uri="{02D57815-91ED-43cb-92C2-25804820EDAC}">
                  <c15:autoCat val="1"/>
                </c:ext>
              </c:extLst>
            </c:strLit>
          </c:cat>
          <c:val>
            <c:numRef>
              <c:f>'Formulas Financieras'!$M$27</c:f>
              <c:numCache>
                <c:formatCode>0.000000</c:formatCode>
                <c:ptCount val="1"/>
                <c:pt idx="0">
                  <c:v>0.26008511657363609</c:v>
                </c:pt>
              </c:numCache>
              <c:extLst>
                <c:ext xmlns:c15="http://schemas.microsoft.com/office/drawing/2012/chart" uri="{02D57815-91ED-43cb-92C2-25804820EDAC}">
                  <c15:fullRef>
                    <c15:sqref>'Formulas Financieras'!$M$27:$M$28</c15:sqref>
                  </c15:fullRef>
                </c:ext>
              </c:extLst>
            </c:numRef>
          </c:val>
        </c:ser>
        <c:dLbls>
          <c:showLegendKey val="0"/>
          <c:showVal val="1"/>
          <c:showCatName val="0"/>
          <c:showSerName val="0"/>
          <c:showPercent val="0"/>
          <c:showBubbleSize val="0"/>
        </c:dLbls>
        <c:gapWidth val="150"/>
        <c:axId val="99269248"/>
        <c:axId val="99291520"/>
      </c:barChart>
      <c:catAx>
        <c:axId val="99269248"/>
        <c:scaling>
          <c:orientation val="minMax"/>
        </c:scaling>
        <c:delete val="1"/>
        <c:axPos val="b"/>
        <c:numFmt formatCode="General" sourceLinked="1"/>
        <c:majorTickMark val="out"/>
        <c:minorTickMark val="none"/>
        <c:tickLblPos val="nextTo"/>
        <c:crossAx val="99291520"/>
        <c:crosses val="autoZero"/>
        <c:auto val="1"/>
        <c:lblAlgn val="ctr"/>
        <c:lblOffset val="100"/>
        <c:noMultiLvlLbl val="0"/>
      </c:catAx>
      <c:valAx>
        <c:axId val="99291520"/>
        <c:scaling>
          <c:orientation val="minMax"/>
        </c:scaling>
        <c:delete val="0"/>
        <c:axPos val="l"/>
        <c:majorGridlines>
          <c:spPr>
            <a:ln w="9525" cap="flat" cmpd="sng" algn="ctr">
              <a:solidFill>
                <a:schemeClr val="tx1">
                  <a:lumMod val="15000"/>
                  <a:lumOff val="85000"/>
                </a:schemeClr>
              </a:solidFill>
              <a:round/>
            </a:ln>
            <a:effectLst/>
          </c:spPr>
        </c:majorGridlines>
        <c:numFmt formatCode="0.00000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99269248"/>
        <c:crosses val="autoZero"/>
        <c:crossBetween val="between"/>
      </c:valAx>
      <c:spPr>
        <a:noFill/>
        <a:ln>
          <a:noFill/>
        </a:ln>
        <a:effectLst/>
      </c:spPr>
    </c:plotArea>
    <c:legend>
      <c:legendPos val="r"/>
      <c:layout>
        <c:manualLayout>
          <c:xMode val="edge"/>
          <c:yMode val="edge"/>
          <c:x val="3.4337707786526693E-2"/>
          <c:y val="0.84844579141062437"/>
          <c:w val="0.93509474512125423"/>
          <c:h val="0.13741991217756025"/>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000000000000011" l="0.70000000000000007" r="0.70000000000000007" t="0.75000000000000011" header="0.30000000000000004" footer="0.30000000000000004"/>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Indicador de cobertura de deuda 1</a:t>
            </a:r>
          </a:p>
        </c:rich>
      </c:tx>
      <c:layout/>
      <c:overlay val="0"/>
      <c:spPr>
        <a:noFill/>
        <a:ln>
          <a:noFill/>
        </a:ln>
        <a:effectLst/>
      </c:spPr>
    </c:title>
    <c:autoTitleDeleted val="0"/>
    <c:plotArea>
      <c:layout>
        <c:manualLayout>
          <c:layoutTarget val="inner"/>
          <c:xMode val="edge"/>
          <c:yMode val="edge"/>
          <c:x val="8.5579268108727777E-2"/>
          <c:y val="0.13174430967868034"/>
          <c:w val="0.88600081916213003"/>
          <c:h val="0.6651966204148354"/>
        </c:manualLayout>
      </c:layout>
      <c:barChart>
        <c:barDir val="col"/>
        <c:grouping val="clustered"/>
        <c:varyColors val="0"/>
        <c:ser>
          <c:idx val="0"/>
          <c:order val="0"/>
          <c:tx>
            <c:strRef>
              <c:f>'Formulas Financieras'!$B$31:$B$32</c:f>
              <c:strCache>
                <c:ptCount val="1"/>
                <c:pt idx="0">
                  <c:v>Indicador de cobertura de deuda 1 (S.I)</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pt idx="0">
                <c:v>1</c:v>
              </c:pt>
              <c:extLst>
                <c:ext xmlns:c15="http://schemas.microsoft.com/office/drawing/2012/chart" uri="{02D57815-91ED-43cb-92C2-25804820EDAC}">
                  <c15:autoCat val="1"/>
                </c:ext>
              </c:extLst>
            </c:strLit>
          </c:cat>
          <c:val>
            <c:numRef>
              <c:f>'Formulas Financieras'!$F$31</c:f>
              <c:numCache>
                <c:formatCode>0.00</c:formatCode>
                <c:ptCount val="1"/>
                <c:pt idx="0">
                  <c:v>4.8250791332442784</c:v>
                </c:pt>
              </c:numCache>
              <c:extLst>
                <c:ext xmlns:c15="http://schemas.microsoft.com/office/drawing/2012/chart" uri="{02D57815-91ED-43cb-92C2-25804820EDAC}">
                  <c15:fullRef>
                    <c15:sqref>'Formulas Financieras'!$F$31:$F$32</c15:sqref>
                  </c15:fullRef>
                </c:ext>
              </c:extLst>
            </c:numRef>
          </c:val>
        </c:ser>
        <c:ser>
          <c:idx val="1"/>
          <c:order val="1"/>
          <c:tx>
            <c:strRef>
              <c:f>'Formulas Financieras'!$I$31:$I$32</c:f>
              <c:strCache>
                <c:ptCount val="1"/>
                <c:pt idx="0">
                  <c:v>Indicador de cobertura de deuda 1 (C.I)</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pt idx="0">
                <c:v>1</c:v>
              </c:pt>
              <c:extLst>
                <c:ext xmlns:c15="http://schemas.microsoft.com/office/drawing/2012/chart" uri="{02D57815-91ED-43cb-92C2-25804820EDAC}">
                  <c15:autoCat val="1"/>
                </c:ext>
              </c:extLst>
            </c:strLit>
          </c:cat>
          <c:val>
            <c:numRef>
              <c:f>'Formulas Financieras'!$M$31</c:f>
              <c:numCache>
                <c:formatCode>0.00</c:formatCode>
                <c:ptCount val="1"/>
                <c:pt idx="0">
                  <c:v>4.8830625661157798</c:v>
                </c:pt>
              </c:numCache>
              <c:extLst>
                <c:ext xmlns:c15="http://schemas.microsoft.com/office/drawing/2012/chart" uri="{02D57815-91ED-43cb-92C2-25804820EDAC}">
                  <c15:fullRef>
                    <c15:sqref>'Formulas Financieras'!$M$31:$M$32</c15:sqref>
                  </c15:fullRef>
                </c:ext>
              </c:extLst>
            </c:numRef>
          </c:val>
        </c:ser>
        <c:dLbls>
          <c:showLegendKey val="0"/>
          <c:showVal val="1"/>
          <c:showCatName val="0"/>
          <c:showSerName val="0"/>
          <c:showPercent val="0"/>
          <c:showBubbleSize val="0"/>
        </c:dLbls>
        <c:gapWidth val="150"/>
        <c:axId val="99318400"/>
        <c:axId val="99320192"/>
      </c:barChart>
      <c:catAx>
        <c:axId val="99318400"/>
        <c:scaling>
          <c:orientation val="minMax"/>
        </c:scaling>
        <c:delete val="1"/>
        <c:axPos val="b"/>
        <c:numFmt formatCode="General" sourceLinked="1"/>
        <c:majorTickMark val="out"/>
        <c:minorTickMark val="none"/>
        <c:tickLblPos val="nextTo"/>
        <c:crossAx val="99320192"/>
        <c:crosses val="autoZero"/>
        <c:auto val="1"/>
        <c:lblAlgn val="ctr"/>
        <c:lblOffset val="100"/>
        <c:noMultiLvlLbl val="0"/>
      </c:catAx>
      <c:valAx>
        <c:axId val="99320192"/>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99318400"/>
        <c:crosses val="autoZero"/>
        <c:crossBetween val="between"/>
      </c:valAx>
      <c:spPr>
        <a:noFill/>
        <a:ln>
          <a:noFill/>
        </a:ln>
        <a:effectLst/>
      </c:spPr>
    </c:plotArea>
    <c:legend>
      <c:legendPos val="r"/>
      <c:layout>
        <c:manualLayout>
          <c:xMode val="edge"/>
          <c:yMode val="edge"/>
          <c:x val="3.4337707786526693E-2"/>
          <c:y val="0.84844579141062437"/>
          <c:w val="0.93509474512125423"/>
          <c:h val="0.13741991217756025"/>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000000000000011" l="0.70000000000000007" r="0.70000000000000007" t="0.75000000000000011" header="0.30000000000000004" footer="0.30000000000000004"/>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Indicador de </a:t>
            </a:r>
            <a:r>
              <a:rPr lang="es-CO" sz="1400" b="0" i="0" u="none" strike="noStrike" baseline="0">
                <a:effectLst/>
              </a:rPr>
              <a:t>cobertura de deuda 2</a:t>
            </a:r>
            <a:endParaRPr lang="es-CO"/>
          </a:p>
        </c:rich>
      </c:tx>
      <c:layout/>
      <c:overlay val="0"/>
      <c:spPr>
        <a:noFill/>
        <a:ln>
          <a:noFill/>
        </a:ln>
        <a:effectLst/>
      </c:spPr>
    </c:title>
    <c:autoTitleDeleted val="0"/>
    <c:plotArea>
      <c:layout>
        <c:manualLayout>
          <c:layoutTarget val="inner"/>
          <c:xMode val="edge"/>
          <c:yMode val="edge"/>
          <c:x val="8.5579268108727777E-2"/>
          <c:y val="0.13174430967868034"/>
          <c:w val="0.88600081916213003"/>
          <c:h val="0.6651966204148354"/>
        </c:manualLayout>
      </c:layout>
      <c:barChart>
        <c:barDir val="col"/>
        <c:grouping val="clustered"/>
        <c:varyColors val="0"/>
        <c:ser>
          <c:idx val="0"/>
          <c:order val="0"/>
          <c:tx>
            <c:strRef>
              <c:f>'Formulas Financieras'!$B$33:$B$34</c:f>
              <c:strCache>
                <c:ptCount val="1"/>
                <c:pt idx="0">
                  <c:v>Indicador de cobertura de deuda 2 (S.I)</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pt idx="0">
                <c:v>1</c:v>
              </c:pt>
              <c:extLst>
                <c:ext xmlns:c15="http://schemas.microsoft.com/office/drawing/2012/chart" uri="{02D57815-91ED-43cb-92C2-25804820EDAC}">
                  <c15:autoCat val="1"/>
                </c:ext>
              </c:extLst>
            </c:strLit>
          </c:cat>
          <c:val>
            <c:numRef>
              <c:f>'Formulas Financieras'!$F$33</c:f>
              <c:numCache>
                <c:formatCode>0.00</c:formatCode>
                <c:ptCount val="1"/>
                <c:pt idx="0">
                  <c:v>43.334689651321945</c:v>
                </c:pt>
              </c:numCache>
              <c:extLst>
                <c:ext xmlns:c15="http://schemas.microsoft.com/office/drawing/2012/chart" uri="{02D57815-91ED-43cb-92C2-25804820EDAC}">
                  <c15:fullRef>
                    <c15:sqref>'Formulas Financieras'!$F$33:$F$34</c15:sqref>
                  </c15:fullRef>
                </c:ext>
              </c:extLst>
            </c:numRef>
          </c:val>
        </c:ser>
        <c:ser>
          <c:idx val="1"/>
          <c:order val="1"/>
          <c:tx>
            <c:strRef>
              <c:f>'Formulas Financieras'!$I$33:$I$34</c:f>
              <c:strCache>
                <c:ptCount val="1"/>
                <c:pt idx="0">
                  <c:v>Indicador de cobertura de deuda 2 (C.I)</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pt idx="0">
                <c:v>1</c:v>
              </c:pt>
              <c:extLst>
                <c:ext xmlns:c15="http://schemas.microsoft.com/office/drawing/2012/chart" uri="{02D57815-91ED-43cb-92C2-25804820EDAC}">
                  <c15:autoCat val="1"/>
                </c:ext>
              </c:extLst>
            </c:strLit>
          </c:cat>
          <c:val>
            <c:numRef>
              <c:f>'Formulas Financieras'!$M$33</c:f>
              <c:numCache>
                <c:formatCode>0.00</c:formatCode>
                <c:ptCount val="1"/>
                <c:pt idx="0">
                  <c:v>42.820116259237913</c:v>
                </c:pt>
              </c:numCache>
              <c:extLst>
                <c:ext xmlns:c15="http://schemas.microsoft.com/office/drawing/2012/chart" uri="{02D57815-91ED-43cb-92C2-25804820EDAC}">
                  <c15:fullRef>
                    <c15:sqref>'Formulas Financieras'!$M$33:$M$34</c15:sqref>
                  </c15:fullRef>
                </c:ext>
              </c:extLst>
            </c:numRef>
          </c:val>
        </c:ser>
        <c:dLbls>
          <c:showLegendKey val="0"/>
          <c:showVal val="1"/>
          <c:showCatName val="0"/>
          <c:showSerName val="0"/>
          <c:showPercent val="0"/>
          <c:showBubbleSize val="0"/>
        </c:dLbls>
        <c:gapWidth val="150"/>
        <c:axId val="99363456"/>
        <c:axId val="99377536"/>
      </c:barChart>
      <c:catAx>
        <c:axId val="99363456"/>
        <c:scaling>
          <c:orientation val="minMax"/>
        </c:scaling>
        <c:delete val="1"/>
        <c:axPos val="b"/>
        <c:numFmt formatCode="General" sourceLinked="1"/>
        <c:majorTickMark val="out"/>
        <c:minorTickMark val="none"/>
        <c:tickLblPos val="nextTo"/>
        <c:crossAx val="99377536"/>
        <c:crosses val="autoZero"/>
        <c:auto val="1"/>
        <c:lblAlgn val="ctr"/>
        <c:lblOffset val="100"/>
        <c:noMultiLvlLbl val="0"/>
      </c:catAx>
      <c:valAx>
        <c:axId val="99377536"/>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99363456"/>
        <c:crosses val="autoZero"/>
        <c:crossBetween val="between"/>
      </c:valAx>
      <c:spPr>
        <a:noFill/>
        <a:ln>
          <a:noFill/>
        </a:ln>
        <a:effectLst/>
      </c:spPr>
    </c:plotArea>
    <c:legend>
      <c:legendPos val="r"/>
      <c:layout>
        <c:manualLayout>
          <c:xMode val="edge"/>
          <c:yMode val="edge"/>
          <c:x val="3.4337707786526693E-2"/>
          <c:y val="0.84844579141062437"/>
          <c:w val="0.93509474512125423"/>
          <c:h val="0.13741991217756025"/>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000000000000011" l="0.70000000000000007" r="0.70000000000000007" t="0.75000000000000011" header="0.30000000000000004" footer="0.30000000000000004"/>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Indicador de </a:t>
            </a:r>
            <a:r>
              <a:rPr lang="es-CO" sz="1400" b="0" i="0" u="none" strike="noStrike" baseline="0">
                <a:effectLst/>
              </a:rPr>
              <a:t>cobertura de deuda 3</a:t>
            </a:r>
            <a:endParaRPr lang="es-CO"/>
          </a:p>
        </c:rich>
      </c:tx>
      <c:layout/>
      <c:overlay val="0"/>
      <c:spPr>
        <a:noFill/>
        <a:ln>
          <a:noFill/>
        </a:ln>
        <a:effectLst/>
      </c:spPr>
    </c:title>
    <c:autoTitleDeleted val="0"/>
    <c:plotArea>
      <c:layout>
        <c:manualLayout>
          <c:layoutTarget val="inner"/>
          <c:xMode val="edge"/>
          <c:yMode val="edge"/>
          <c:x val="8.5579268108727777E-2"/>
          <c:y val="0.13174430967868034"/>
          <c:w val="0.88600081916213003"/>
          <c:h val="0.6651966204148354"/>
        </c:manualLayout>
      </c:layout>
      <c:barChart>
        <c:barDir val="col"/>
        <c:grouping val="clustered"/>
        <c:varyColors val="0"/>
        <c:ser>
          <c:idx val="0"/>
          <c:order val="0"/>
          <c:tx>
            <c:strRef>
              <c:f>'Formulas Financieras'!$B$35:$B$36</c:f>
              <c:strCache>
                <c:ptCount val="1"/>
                <c:pt idx="0">
                  <c:v>Indicador de cobertura de deuda 3 (S.I)</c:v>
                </c:pt>
              </c:strCache>
            </c:strRef>
          </c:tx>
          <c:spPr>
            <a:solidFill>
              <a:schemeClr val="accent1"/>
            </a:solidFill>
            <a:ln>
              <a:noFill/>
            </a:ln>
            <a:effectLst/>
          </c:spPr>
          <c:invertIfNegative val="0"/>
          <c:dLbls>
            <c:dLbl>
              <c:idx val="0"/>
              <c:layout>
                <c:manualLayout>
                  <c:x val="0"/>
                  <c:y val="2.8725297940147335E-2"/>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mn-lt"/>
                    <a:ea typeface="+mn-ea"/>
                    <a:cs typeface="+mn-cs"/>
                  </a:defRPr>
                </a:pPr>
                <a:endParaRPr lang="es-E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pt idx="0">
                <c:v>1</c:v>
              </c:pt>
              <c:extLst>
                <c:ext xmlns:c15="http://schemas.microsoft.com/office/drawing/2012/chart" uri="{02D57815-91ED-43cb-92C2-25804820EDAC}">
                  <c15:autoCat val="1"/>
                </c:ext>
              </c:extLst>
            </c:strLit>
          </c:cat>
          <c:val>
            <c:numRef>
              <c:f>'Formulas Financieras'!$F$35</c:f>
              <c:numCache>
                <c:formatCode>0.00</c:formatCode>
                <c:ptCount val="1"/>
                <c:pt idx="0">
                  <c:v>12.738159357259551</c:v>
                </c:pt>
              </c:numCache>
              <c:extLst>
                <c:ext xmlns:c15="http://schemas.microsoft.com/office/drawing/2012/chart" uri="{02D57815-91ED-43cb-92C2-25804820EDAC}">
                  <c15:fullRef>
                    <c15:sqref>'Formulas Financieras'!$F$35:$F$36</c15:sqref>
                  </c15:fullRef>
                </c:ext>
              </c:extLst>
            </c:numRef>
          </c:val>
        </c:ser>
        <c:ser>
          <c:idx val="1"/>
          <c:order val="1"/>
          <c:tx>
            <c:strRef>
              <c:f>'Formulas Financieras'!$I$35:$I$36</c:f>
              <c:strCache>
                <c:ptCount val="1"/>
                <c:pt idx="0">
                  <c:v>Indicador de cobertura de deuda 3 (C.I)</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Lit>
              <c:ptCount val="1"/>
              <c:pt idx="0">
                <c:v>1</c:v>
              </c:pt>
              <c:extLst>
                <c:ext xmlns:c15="http://schemas.microsoft.com/office/drawing/2012/chart" uri="{02D57815-91ED-43cb-92C2-25804820EDAC}">
                  <c15:autoCat val="1"/>
                </c:ext>
              </c:extLst>
            </c:strLit>
          </c:cat>
          <c:val>
            <c:numRef>
              <c:f>'Formulas Financieras'!$M$35</c:f>
              <c:numCache>
                <c:formatCode>0.00</c:formatCode>
                <c:ptCount val="1"/>
                <c:pt idx="0">
                  <c:v>12.586901371518511</c:v>
                </c:pt>
              </c:numCache>
              <c:extLst>
                <c:ext xmlns:c15="http://schemas.microsoft.com/office/drawing/2012/chart" uri="{02D57815-91ED-43cb-92C2-25804820EDAC}">
                  <c15:fullRef>
                    <c15:sqref>'Formulas Financieras'!$M$35:$M$36</c15:sqref>
                  </c15:fullRef>
                </c:ext>
              </c:extLst>
            </c:numRef>
          </c:val>
        </c:ser>
        <c:dLbls>
          <c:showLegendKey val="0"/>
          <c:showVal val="1"/>
          <c:showCatName val="0"/>
          <c:showSerName val="0"/>
          <c:showPercent val="0"/>
          <c:showBubbleSize val="0"/>
        </c:dLbls>
        <c:gapWidth val="150"/>
        <c:axId val="99408512"/>
        <c:axId val="99422592"/>
      </c:barChart>
      <c:catAx>
        <c:axId val="99408512"/>
        <c:scaling>
          <c:orientation val="minMax"/>
        </c:scaling>
        <c:delete val="1"/>
        <c:axPos val="b"/>
        <c:numFmt formatCode="General" sourceLinked="1"/>
        <c:majorTickMark val="out"/>
        <c:minorTickMark val="none"/>
        <c:tickLblPos val="nextTo"/>
        <c:crossAx val="99422592"/>
        <c:crosses val="autoZero"/>
        <c:auto val="1"/>
        <c:lblAlgn val="ctr"/>
        <c:lblOffset val="100"/>
        <c:noMultiLvlLbl val="0"/>
      </c:catAx>
      <c:valAx>
        <c:axId val="99422592"/>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99408512"/>
        <c:crosses val="autoZero"/>
        <c:crossBetween val="between"/>
      </c:valAx>
      <c:spPr>
        <a:noFill/>
        <a:ln>
          <a:noFill/>
        </a:ln>
        <a:effectLst/>
      </c:spPr>
    </c:plotArea>
    <c:legend>
      <c:legendPos val="r"/>
      <c:layout>
        <c:manualLayout>
          <c:xMode val="edge"/>
          <c:yMode val="edge"/>
          <c:x val="3.4337707786526693E-2"/>
          <c:y val="0.84844579141062437"/>
          <c:w val="0.93509474512125423"/>
          <c:h val="0.13741991217756025"/>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000000000000011" l="0.70000000000000007" r="0.70000000000000007" t="0.75000000000000011" header="0.30000000000000004" footer="0.30000000000000004"/>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Margen operacional</a:t>
            </a:r>
          </a:p>
        </c:rich>
      </c:tx>
      <c:layout/>
      <c:overlay val="0"/>
      <c:spPr>
        <a:noFill/>
        <a:ln>
          <a:noFill/>
        </a:ln>
        <a:effectLst/>
      </c:spPr>
    </c:title>
    <c:autoTitleDeleted val="0"/>
    <c:plotArea>
      <c:layout>
        <c:manualLayout>
          <c:layoutTarget val="inner"/>
          <c:xMode val="edge"/>
          <c:yMode val="edge"/>
          <c:x val="8.5579268108727777E-2"/>
          <c:y val="0.13174430967868034"/>
          <c:w val="0.88600081916213003"/>
          <c:h val="0.6651966204148354"/>
        </c:manualLayout>
      </c:layout>
      <c:barChart>
        <c:barDir val="col"/>
        <c:grouping val="clustered"/>
        <c:varyColors val="0"/>
        <c:ser>
          <c:idx val="0"/>
          <c:order val="0"/>
          <c:tx>
            <c:strRef>
              <c:f>'Formulas Financieras'!$B$37:$B$38</c:f>
              <c:strCache>
                <c:ptCount val="1"/>
                <c:pt idx="0">
                  <c:v>Margen operacional (S.I)</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Lit>
              <c:ptCount val="1"/>
              <c:pt idx="0">
                <c:v>1</c:v>
              </c:pt>
              <c:extLst>
                <c:ext xmlns:c15="http://schemas.microsoft.com/office/drawing/2012/chart" uri="{02D57815-91ED-43cb-92C2-25804820EDAC}">
                  <c15:autoCat val="1"/>
                </c:ext>
              </c:extLst>
            </c:strLit>
          </c:cat>
          <c:val>
            <c:numRef>
              <c:f>'Formulas Financieras'!$F$37</c:f>
              <c:numCache>
                <c:formatCode>0.00%</c:formatCode>
                <c:ptCount val="1"/>
                <c:pt idx="0">
                  <c:v>4.8409454190502625E-2</c:v>
                </c:pt>
              </c:numCache>
              <c:extLst>
                <c:ext xmlns:c15="http://schemas.microsoft.com/office/drawing/2012/chart" uri="{02D57815-91ED-43cb-92C2-25804820EDAC}">
                  <c15:fullRef>
                    <c15:sqref>'Formulas Financieras'!$F$37:$F$38</c15:sqref>
                  </c15:fullRef>
                </c:ext>
              </c:extLst>
            </c:numRef>
          </c:val>
        </c:ser>
        <c:ser>
          <c:idx val="1"/>
          <c:order val="1"/>
          <c:tx>
            <c:strRef>
              <c:f>'Formulas Financieras'!$I$37:$I$38</c:f>
              <c:strCache>
                <c:ptCount val="1"/>
                <c:pt idx="0">
                  <c:v>Margen operacional (C.I)</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Lit>
              <c:ptCount val="1"/>
              <c:pt idx="0">
                <c:v>1</c:v>
              </c:pt>
              <c:extLst>
                <c:ext xmlns:c15="http://schemas.microsoft.com/office/drawing/2012/chart" uri="{02D57815-91ED-43cb-92C2-25804820EDAC}">
                  <c15:autoCat val="1"/>
                </c:ext>
              </c:extLst>
            </c:strLit>
          </c:cat>
          <c:val>
            <c:numRef>
              <c:f>'Formulas Financieras'!$M$37</c:f>
              <c:numCache>
                <c:formatCode>0.00%</c:formatCode>
                <c:ptCount val="1"/>
                <c:pt idx="0">
                  <c:v>4.7047516013862978E-2</c:v>
                </c:pt>
              </c:numCache>
              <c:extLst>
                <c:ext xmlns:c15="http://schemas.microsoft.com/office/drawing/2012/chart" uri="{02D57815-91ED-43cb-92C2-25804820EDAC}">
                  <c15:fullRef>
                    <c15:sqref>'Formulas Financieras'!$M$37:$M$38</c15:sqref>
                  </c15:fullRef>
                </c:ext>
              </c:extLst>
            </c:numRef>
          </c:val>
        </c:ser>
        <c:dLbls>
          <c:showLegendKey val="0"/>
          <c:showVal val="1"/>
          <c:showCatName val="0"/>
          <c:showSerName val="0"/>
          <c:showPercent val="0"/>
          <c:showBubbleSize val="0"/>
        </c:dLbls>
        <c:gapWidth val="150"/>
        <c:axId val="99453568"/>
        <c:axId val="99475840"/>
      </c:barChart>
      <c:catAx>
        <c:axId val="99453568"/>
        <c:scaling>
          <c:orientation val="minMax"/>
        </c:scaling>
        <c:delete val="1"/>
        <c:axPos val="b"/>
        <c:numFmt formatCode="General" sourceLinked="1"/>
        <c:majorTickMark val="out"/>
        <c:minorTickMark val="none"/>
        <c:tickLblPos val="nextTo"/>
        <c:crossAx val="99475840"/>
        <c:crosses val="autoZero"/>
        <c:auto val="1"/>
        <c:lblAlgn val="ctr"/>
        <c:lblOffset val="100"/>
        <c:noMultiLvlLbl val="0"/>
      </c:catAx>
      <c:valAx>
        <c:axId val="99475840"/>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99453568"/>
        <c:crosses val="autoZero"/>
        <c:crossBetween val="between"/>
      </c:valAx>
      <c:spPr>
        <a:noFill/>
        <a:ln>
          <a:noFill/>
        </a:ln>
        <a:effectLst/>
      </c:spPr>
    </c:plotArea>
    <c:legend>
      <c:legendPos val="r"/>
      <c:layout>
        <c:manualLayout>
          <c:xMode val="edge"/>
          <c:yMode val="edge"/>
          <c:x val="3.4337707786526693E-2"/>
          <c:y val="0.84844579141062437"/>
          <c:w val="0.93509474512125423"/>
          <c:h val="0.13741991217756025"/>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000000000000011" l="0.70000000000000007" r="0.70000000000000007" t="0.75000000000000011" header="0.30000000000000004" footer="0.30000000000000004"/>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Margen Ebitda</a:t>
            </a:r>
          </a:p>
        </c:rich>
      </c:tx>
      <c:layout/>
      <c:overlay val="0"/>
      <c:spPr>
        <a:noFill/>
        <a:ln>
          <a:noFill/>
        </a:ln>
        <a:effectLst/>
      </c:spPr>
    </c:title>
    <c:autoTitleDeleted val="0"/>
    <c:plotArea>
      <c:layout>
        <c:manualLayout>
          <c:layoutTarget val="inner"/>
          <c:xMode val="edge"/>
          <c:yMode val="edge"/>
          <c:x val="0.14251628440569969"/>
          <c:y val="0.1221692199008261"/>
          <c:w val="0.88600081916213003"/>
          <c:h val="0.6651966204148354"/>
        </c:manualLayout>
      </c:layout>
      <c:barChart>
        <c:barDir val="col"/>
        <c:grouping val="clustered"/>
        <c:varyColors val="0"/>
        <c:ser>
          <c:idx val="0"/>
          <c:order val="0"/>
          <c:tx>
            <c:strRef>
              <c:f>'Formulas Financieras'!$B$39:$B$40</c:f>
              <c:strCache>
                <c:ptCount val="1"/>
                <c:pt idx="0">
                  <c:v>Margen Ebitda (S.I)</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val>
            <c:numRef>
              <c:f>'Formulas Financieras'!$F$39</c:f>
              <c:numCache>
                <c:formatCode>0.00%</c:formatCode>
                <c:ptCount val="1"/>
                <c:pt idx="0">
                  <c:v>0.12165349114755754</c:v>
                </c:pt>
              </c:numCache>
              <c:extLst/>
            </c:numRef>
          </c:val>
        </c:ser>
        <c:ser>
          <c:idx val="1"/>
          <c:order val="1"/>
          <c:tx>
            <c:strRef>
              <c:f>'Formulas Financieras'!$I$39:$I$40</c:f>
              <c:strCache>
                <c:ptCount val="1"/>
                <c:pt idx="0">
                  <c:v>Margen Ebitda (C.I)</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Lit>
              <c:ptCount val="1"/>
              <c:pt idx="0">
                <c:v>1</c:v>
              </c:pt>
              <c:extLst>
                <c:ext xmlns:c15="http://schemas.microsoft.com/office/drawing/2012/chart" uri="{02D57815-91ED-43cb-92C2-25804820EDAC}">
                  <c15:autoCat val="1"/>
                </c:ext>
              </c:extLst>
            </c:strLit>
          </c:cat>
          <c:val>
            <c:numRef>
              <c:f>'Formulas Financieras'!$M$39:$M$40</c:f>
              <c:numCache>
                <c:formatCode>0.00%</c:formatCode>
                <c:ptCount val="2"/>
                <c:pt idx="0">
                  <c:v>0.12042040897939008</c:v>
                </c:pt>
              </c:numCache>
            </c:numRef>
          </c:val>
        </c:ser>
        <c:dLbls>
          <c:showLegendKey val="0"/>
          <c:showVal val="0"/>
          <c:showCatName val="0"/>
          <c:showSerName val="0"/>
          <c:showPercent val="0"/>
          <c:showBubbleSize val="0"/>
        </c:dLbls>
        <c:gapWidth val="9"/>
        <c:axId val="110061824"/>
        <c:axId val="110071808"/>
      </c:barChart>
      <c:catAx>
        <c:axId val="110061824"/>
        <c:scaling>
          <c:orientation val="minMax"/>
        </c:scaling>
        <c:delete val="1"/>
        <c:axPos val="b"/>
        <c:numFmt formatCode="General" sourceLinked="1"/>
        <c:majorTickMark val="out"/>
        <c:minorTickMark val="none"/>
        <c:tickLblPos val="nextTo"/>
        <c:crossAx val="110071808"/>
        <c:crosses val="autoZero"/>
        <c:auto val="1"/>
        <c:lblAlgn val="ctr"/>
        <c:lblOffset val="100"/>
        <c:noMultiLvlLbl val="0"/>
      </c:catAx>
      <c:valAx>
        <c:axId val="110071808"/>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110061824"/>
        <c:crosses val="autoZero"/>
        <c:crossBetween val="between"/>
      </c:valAx>
      <c:spPr>
        <a:noFill/>
        <a:ln>
          <a:noFill/>
        </a:ln>
        <a:effectLst/>
      </c:spPr>
    </c:plotArea>
    <c:legend>
      <c:legendPos val="r"/>
      <c:layout>
        <c:manualLayout>
          <c:xMode val="edge"/>
          <c:yMode val="edge"/>
          <c:x val="3.4337707786526693E-2"/>
          <c:y val="0.84844579141062437"/>
          <c:w val="0.93461883213732777"/>
          <c:h val="0.1515542195653207"/>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000000000000011" l="0.70000000000000007" r="0.70000000000000007" t="0.75000000000000011" header="0.30000000000000004" footer="0.30000000000000004"/>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Margen neto</a:t>
            </a:r>
          </a:p>
        </c:rich>
      </c:tx>
      <c:layout/>
      <c:overlay val="0"/>
      <c:spPr>
        <a:noFill/>
        <a:ln>
          <a:noFill/>
        </a:ln>
        <a:effectLst/>
      </c:spPr>
    </c:title>
    <c:autoTitleDeleted val="0"/>
    <c:plotArea>
      <c:layout>
        <c:manualLayout>
          <c:layoutTarget val="inner"/>
          <c:xMode val="edge"/>
          <c:yMode val="edge"/>
          <c:x val="8.5579268108727777E-2"/>
          <c:y val="0.13174430967868034"/>
          <c:w val="0.88600081916213003"/>
          <c:h val="0.6651966204148354"/>
        </c:manualLayout>
      </c:layout>
      <c:barChart>
        <c:barDir val="col"/>
        <c:grouping val="clustered"/>
        <c:varyColors val="0"/>
        <c:ser>
          <c:idx val="0"/>
          <c:order val="0"/>
          <c:tx>
            <c:strRef>
              <c:f>'Formulas Financieras'!$B$41:$B$42</c:f>
              <c:strCache>
                <c:ptCount val="1"/>
                <c:pt idx="0">
                  <c:v>Margen neto (S.I)</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Lit>
              <c:ptCount val="1"/>
              <c:pt idx="0">
                <c:v>1</c:v>
              </c:pt>
              <c:extLst>
                <c:ext xmlns:c15="http://schemas.microsoft.com/office/drawing/2012/chart" uri="{02D57815-91ED-43cb-92C2-25804820EDAC}">
                  <c15:autoCat val="1"/>
                </c:ext>
              </c:extLst>
            </c:strLit>
          </c:cat>
          <c:val>
            <c:numRef>
              <c:f>'Formulas Financieras'!$F$41</c:f>
              <c:numCache>
                <c:formatCode>0.00%</c:formatCode>
                <c:ptCount val="1"/>
                <c:pt idx="0">
                  <c:v>3.6030361425278615E-2</c:v>
                </c:pt>
              </c:numCache>
              <c:extLst>
                <c:ext xmlns:c15="http://schemas.microsoft.com/office/drawing/2012/chart" uri="{02D57815-91ED-43cb-92C2-25804820EDAC}">
                  <c15:fullRef>
                    <c15:sqref>'Formulas Financieras'!$F$41:$F$42</c15:sqref>
                  </c15:fullRef>
                </c:ext>
              </c:extLst>
            </c:numRef>
          </c:val>
        </c:ser>
        <c:ser>
          <c:idx val="1"/>
          <c:order val="1"/>
          <c:tx>
            <c:strRef>
              <c:f>'Formulas Financieras'!$I$41:$I$42</c:f>
              <c:strCache>
                <c:ptCount val="1"/>
                <c:pt idx="0">
                  <c:v>Margen neto (C.I)</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Lit>
              <c:ptCount val="1"/>
              <c:pt idx="0">
                <c:v>1</c:v>
              </c:pt>
              <c:extLst>
                <c:ext xmlns:c15="http://schemas.microsoft.com/office/drawing/2012/chart" uri="{02D57815-91ED-43cb-92C2-25804820EDAC}">
                  <c15:autoCat val="1"/>
                </c:ext>
              </c:extLst>
            </c:strLit>
          </c:cat>
          <c:val>
            <c:numRef>
              <c:f>'Formulas Financieras'!$M$41</c:f>
              <c:numCache>
                <c:formatCode>0.00%</c:formatCode>
                <c:ptCount val="1"/>
                <c:pt idx="0">
                  <c:v>3.4646645086914091E-2</c:v>
                </c:pt>
              </c:numCache>
              <c:extLst>
                <c:ext xmlns:c15="http://schemas.microsoft.com/office/drawing/2012/chart" uri="{02D57815-91ED-43cb-92C2-25804820EDAC}">
                  <c15:fullRef>
                    <c15:sqref>'Formulas Financieras'!$M$41:$M$42</c15:sqref>
                  </c15:fullRef>
                </c:ext>
              </c:extLst>
            </c:numRef>
          </c:val>
        </c:ser>
        <c:dLbls>
          <c:showLegendKey val="0"/>
          <c:showVal val="1"/>
          <c:showCatName val="0"/>
          <c:showSerName val="0"/>
          <c:showPercent val="0"/>
          <c:showBubbleSize val="0"/>
        </c:dLbls>
        <c:gapWidth val="150"/>
        <c:axId val="109979904"/>
        <c:axId val="109989888"/>
      </c:barChart>
      <c:catAx>
        <c:axId val="109979904"/>
        <c:scaling>
          <c:orientation val="minMax"/>
        </c:scaling>
        <c:delete val="1"/>
        <c:axPos val="b"/>
        <c:numFmt formatCode="General" sourceLinked="1"/>
        <c:majorTickMark val="out"/>
        <c:minorTickMark val="none"/>
        <c:tickLblPos val="nextTo"/>
        <c:crossAx val="109989888"/>
        <c:crosses val="autoZero"/>
        <c:auto val="1"/>
        <c:lblAlgn val="ctr"/>
        <c:lblOffset val="100"/>
        <c:noMultiLvlLbl val="0"/>
      </c:catAx>
      <c:valAx>
        <c:axId val="109989888"/>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109979904"/>
        <c:crosses val="autoZero"/>
        <c:crossBetween val="between"/>
      </c:valAx>
      <c:spPr>
        <a:noFill/>
        <a:ln>
          <a:noFill/>
        </a:ln>
        <a:effectLst/>
      </c:spPr>
    </c:plotArea>
    <c:legend>
      <c:legendPos val="r"/>
      <c:layout>
        <c:manualLayout>
          <c:xMode val="edge"/>
          <c:yMode val="edge"/>
          <c:x val="3.4337707786526693E-2"/>
          <c:y val="0.84844579141062437"/>
          <c:w val="0.93509474512125423"/>
          <c:h val="0.13741991217756025"/>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000000000000011" l="0.70000000000000007" r="0.70000000000000007" t="0.75000000000000011" header="0.30000000000000004" footer="0.30000000000000004"/>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Rentabilidad</a:t>
            </a:r>
            <a:r>
              <a:rPr lang="es-CO" baseline="0"/>
              <a:t> básica del activo</a:t>
            </a:r>
            <a:endParaRPr lang="es-CO"/>
          </a:p>
        </c:rich>
      </c:tx>
      <c:layout/>
      <c:overlay val="0"/>
      <c:spPr>
        <a:noFill/>
        <a:ln>
          <a:noFill/>
        </a:ln>
        <a:effectLst/>
      </c:spPr>
    </c:title>
    <c:autoTitleDeleted val="0"/>
    <c:plotArea>
      <c:layout>
        <c:manualLayout>
          <c:layoutTarget val="inner"/>
          <c:xMode val="edge"/>
          <c:yMode val="edge"/>
          <c:x val="8.5579268108727777E-2"/>
          <c:y val="0.13174430967868034"/>
          <c:w val="0.88600081916213003"/>
          <c:h val="0.6651966204148354"/>
        </c:manualLayout>
      </c:layout>
      <c:barChart>
        <c:barDir val="col"/>
        <c:grouping val="clustered"/>
        <c:varyColors val="0"/>
        <c:ser>
          <c:idx val="0"/>
          <c:order val="0"/>
          <c:tx>
            <c:strRef>
              <c:f>'Formulas Financieras'!$B$43:$B$44</c:f>
              <c:strCache>
                <c:ptCount val="1"/>
                <c:pt idx="0">
                  <c:v>Rentabilidad básica del activo (S.I)</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Lit>
              <c:ptCount val="1"/>
              <c:pt idx="0">
                <c:v>1</c:v>
              </c:pt>
              <c:extLst>
                <c:ext xmlns:c15="http://schemas.microsoft.com/office/drawing/2012/chart" uri="{02D57815-91ED-43cb-92C2-25804820EDAC}">
                  <c15:autoCat val="1"/>
                </c:ext>
              </c:extLst>
            </c:strLit>
          </c:cat>
          <c:val>
            <c:numRef>
              <c:f>'Formulas Financieras'!$F$43</c:f>
              <c:numCache>
                <c:formatCode>0.00%</c:formatCode>
                <c:ptCount val="1"/>
                <c:pt idx="0">
                  <c:v>2.1449469938664055E-2</c:v>
                </c:pt>
              </c:numCache>
              <c:extLst>
                <c:ext xmlns:c15="http://schemas.microsoft.com/office/drawing/2012/chart" uri="{02D57815-91ED-43cb-92C2-25804820EDAC}">
                  <c15:fullRef>
                    <c15:sqref>'Formulas Financieras'!$F$43:$F$44</c15:sqref>
                  </c15:fullRef>
                </c:ext>
              </c:extLst>
            </c:numRef>
          </c:val>
        </c:ser>
        <c:ser>
          <c:idx val="1"/>
          <c:order val="1"/>
          <c:tx>
            <c:strRef>
              <c:f>'Formulas Financieras'!$I$43:$I$44</c:f>
              <c:strCache>
                <c:ptCount val="1"/>
                <c:pt idx="0">
                  <c:v>Rentabilidad básica del activo (C.I)</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Lit>
              <c:ptCount val="1"/>
              <c:pt idx="0">
                <c:v>1</c:v>
              </c:pt>
              <c:extLst>
                <c:ext xmlns:c15="http://schemas.microsoft.com/office/drawing/2012/chart" uri="{02D57815-91ED-43cb-92C2-25804820EDAC}">
                  <c15:autoCat val="1"/>
                </c:ext>
              </c:extLst>
            </c:strLit>
          </c:cat>
          <c:val>
            <c:numRef>
              <c:f>'Formulas Financieras'!$M$43</c:f>
              <c:numCache>
                <c:formatCode>0.00%</c:formatCode>
                <c:ptCount val="1"/>
                <c:pt idx="0">
                  <c:v>2.080941217064658E-2</c:v>
                </c:pt>
              </c:numCache>
              <c:extLst>
                <c:ext xmlns:c15="http://schemas.microsoft.com/office/drawing/2012/chart" uri="{02D57815-91ED-43cb-92C2-25804820EDAC}">
                  <c15:fullRef>
                    <c15:sqref>'Formulas Financieras'!$M$43:$M$44</c15:sqref>
                  </c15:fullRef>
                </c:ext>
              </c:extLst>
            </c:numRef>
          </c:val>
        </c:ser>
        <c:dLbls>
          <c:showLegendKey val="0"/>
          <c:showVal val="1"/>
          <c:showCatName val="0"/>
          <c:showSerName val="0"/>
          <c:showPercent val="0"/>
          <c:showBubbleSize val="0"/>
        </c:dLbls>
        <c:gapWidth val="150"/>
        <c:axId val="110020864"/>
        <c:axId val="110104576"/>
      </c:barChart>
      <c:catAx>
        <c:axId val="110020864"/>
        <c:scaling>
          <c:orientation val="minMax"/>
        </c:scaling>
        <c:delete val="1"/>
        <c:axPos val="b"/>
        <c:numFmt formatCode="General" sourceLinked="1"/>
        <c:majorTickMark val="out"/>
        <c:minorTickMark val="none"/>
        <c:tickLblPos val="nextTo"/>
        <c:crossAx val="110104576"/>
        <c:crosses val="autoZero"/>
        <c:auto val="1"/>
        <c:lblAlgn val="ctr"/>
        <c:lblOffset val="100"/>
        <c:noMultiLvlLbl val="0"/>
      </c:catAx>
      <c:valAx>
        <c:axId val="110104576"/>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110020864"/>
        <c:crosses val="autoZero"/>
        <c:crossBetween val="between"/>
      </c:valAx>
      <c:spPr>
        <a:noFill/>
        <a:ln>
          <a:noFill/>
        </a:ln>
        <a:effectLst/>
      </c:spPr>
    </c:plotArea>
    <c:legend>
      <c:legendPos val="r"/>
      <c:layout>
        <c:manualLayout>
          <c:xMode val="edge"/>
          <c:yMode val="edge"/>
          <c:x val="3.4337707786526693E-2"/>
          <c:y val="0.84844579141062437"/>
          <c:w val="0.93509474512125423"/>
          <c:h val="0.13741991217756025"/>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000000000000011" l="0.70000000000000007" r="0.70000000000000007" t="0.75000000000000011" header="0.30000000000000004" footer="0.30000000000000004"/>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Rentabilidad</a:t>
            </a:r>
            <a:r>
              <a:rPr lang="es-CO" baseline="0"/>
              <a:t> del activo (ROA)</a:t>
            </a:r>
            <a:endParaRPr lang="es-CO"/>
          </a:p>
        </c:rich>
      </c:tx>
      <c:layout/>
      <c:overlay val="0"/>
      <c:spPr>
        <a:noFill/>
        <a:ln>
          <a:noFill/>
        </a:ln>
        <a:effectLst/>
      </c:spPr>
    </c:title>
    <c:autoTitleDeleted val="0"/>
    <c:plotArea>
      <c:layout>
        <c:manualLayout>
          <c:layoutTarget val="inner"/>
          <c:xMode val="edge"/>
          <c:yMode val="edge"/>
          <c:x val="8.5579268108727777E-2"/>
          <c:y val="0.13174430967868034"/>
          <c:w val="0.88600081916213003"/>
          <c:h val="0.6651966204148354"/>
        </c:manualLayout>
      </c:layout>
      <c:barChart>
        <c:barDir val="col"/>
        <c:grouping val="clustered"/>
        <c:varyColors val="0"/>
        <c:ser>
          <c:idx val="0"/>
          <c:order val="0"/>
          <c:tx>
            <c:strRef>
              <c:f>'Formulas Financieras'!$B$45:$B$46</c:f>
              <c:strCache>
                <c:ptCount val="1"/>
                <c:pt idx="0">
                  <c:v>Rentabilidad del activo (ROA) (S.I)</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Lit>
              <c:ptCount val="1"/>
              <c:pt idx="0">
                <c:v>100,00%</c:v>
              </c:pt>
              <c:extLst>
                <c:ext xmlns:c15="http://schemas.microsoft.com/office/drawing/2012/chart" uri="{02D57815-91ED-43cb-92C2-25804820EDAC}">
                  <c15:autoCat val="1"/>
                </c:ext>
              </c:extLst>
            </c:strLit>
          </c:cat>
          <c:val>
            <c:numRef>
              <c:f>'Formulas Financieras'!$F$45</c:f>
              <c:numCache>
                <c:formatCode>0.00%</c:formatCode>
                <c:ptCount val="1"/>
                <c:pt idx="0">
                  <c:v>1.5964488077668416E-2</c:v>
                </c:pt>
              </c:numCache>
              <c:extLst>
                <c:ext xmlns:c15="http://schemas.microsoft.com/office/drawing/2012/chart" uri="{02D57815-91ED-43cb-92C2-25804820EDAC}">
                  <c15:fullRef>
                    <c15:sqref>'Formulas Financieras'!$F$45:$F$46</c15:sqref>
                  </c15:fullRef>
                </c:ext>
              </c:extLst>
            </c:numRef>
          </c:val>
        </c:ser>
        <c:ser>
          <c:idx val="1"/>
          <c:order val="1"/>
          <c:tx>
            <c:strRef>
              <c:f>'Formulas Financieras'!$I$45:$I$46</c:f>
              <c:strCache>
                <c:ptCount val="1"/>
                <c:pt idx="0">
                  <c:v>Rentabilidad del activo (ROA) (C.I)</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Lit>
              <c:ptCount val="1"/>
              <c:pt idx="0">
                <c:v>1</c:v>
              </c:pt>
              <c:extLst>
                <c:ext xmlns:c15="http://schemas.microsoft.com/office/drawing/2012/chart" uri="{02D57815-91ED-43cb-92C2-25804820EDAC}">
                  <c15:autoCat val="1"/>
                </c:ext>
              </c:extLst>
            </c:strLit>
          </c:cat>
          <c:val>
            <c:numRef>
              <c:f>'Formulas Financieras'!$M$45</c:f>
              <c:numCache>
                <c:formatCode>0.00%</c:formatCode>
                <c:ptCount val="1"/>
                <c:pt idx="0">
                  <c:v>1.5324428982207271E-2</c:v>
                </c:pt>
              </c:numCache>
              <c:extLst>
                <c:ext xmlns:c15="http://schemas.microsoft.com/office/drawing/2012/chart" uri="{02D57815-91ED-43cb-92C2-25804820EDAC}">
                  <c15:fullRef>
                    <c15:sqref>'Formulas Financieras'!$M$45:$M$46</c15:sqref>
                  </c15:fullRef>
                </c:ext>
              </c:extLst>
            </c:numRef>
          </c:val>
        </c:ser>
        <c:dLbls>
          <c:showLegendKey val="0"/>
          <c:showVal val="1"/>
          <c:showCatName val="0"/>
          <c:showSerName val="0"/>
          <c:showPercent val="0"/>
          <c:showBubbleSize val="0"/>
        </c:dLbls>
        <c:gapWidth val="150"/>
        <c:axId val="110139648"/>
        <c:axId val="110161920"/>
      </c:barChart>
      <c:catAx>
        <c:axId val="110139648"/>
        <c:scaling>
          <c:orientation val="minMax"/>
        </c:scaling>
        <c:delete val="1"/>
        <c:axPos val="b"/>
        <c:numFmt formatCode="General" sourceLinked="1"/>
        <c:majorTickMark val="out"/>
        <c:minorTickMark val="none"/>
        <c:tickLblPos val="nextTo"/>
        <c:crossAx val="110161920"/>
        <c:crosses val="autoZero"/>
        <c:auto val="1"/>
        <c:lblAlgn val="ctr"/>
        <c:lblOffset val="100"/>
        <c:noMultiLvlLbl val="0"/>
      </c:catAx>
      <c:valAx>
        <c:axId val="110161920"/>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110139648"/>
        <c:crosses val="autoZero"/>
        <c:crossBetween val="between"/>
      </c:valAx>
      <c:spPr>
        <a:noFill/>
        <a:ln>
          <a:noFill/>
        </a:ln>
        <a:effectLst/>
      </c:spPr>
    </c:plotArea>
    <c:legend>
      <c:legendPos val="r"/>
      <c:layout>
        <c:manualLayout>
          <c:xMode val="edge"/>
          <c:yMode val="edge"/>
          <c:x val="3.4337707786526693E-2"/>
          <c:y val="0.84844579141062437"/>
          <c:w val="0.93509474512125423"/>
          <c:h val="0.13741991217756025"/>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000000000000011" l="0.70000000000000007" r="0.70000000000000007" t="0.75000000000000011" header="0.30000000000000004" footer="0.3000000000000000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Rentabilidad del patrimonio (ROE)</a:t>
            </a:r>
          </a:p>
        </c:rich>
      </c:tx>
      <c:layout/>
      <c:overlay val="0"/>
      <c:spPr>
        <a:noFill/>
        <a:ln>
          <a:noFill/>
        </a:ln>
        <a:effectLst/>
      </c:spPr>
    </c:title>
    <c:autoTitleDeleted val="0"/>
    <c:plotArea>
      <c:layout>
        <c:manualLayout>
          <c:layoutTarget val="inner"/>
          <c:xMode val="edge"/>
          <c:yMode val="edge"/>
          <c:x val="8.5579268108727777E-2"/>
          <c:y val="0.13174430967868034"/>
          <c:w val="0.88600081916213003"/>
          <c:h val="0.6651966204148354"/>
        </c:manualLayout>
      </c:layout>
      <c:barChart>
        <c:barDir val="col"/>
        <c:grouping val="clustered"/>
        <c:varyColors val="0"/>
        <c:ser>
          <c:idx val="0"/>
          <c:order val="0"/>
          <c:tx>
            <c:strRef>
              <c:f>'Formulas Financieras'!$B$47:$B$48</c:f>
              <c:strCache>
                <c:ptCount val="1"/>
                <c:pt idx="0">
                  <c:v>Rentabilidad del patrimonio (ROE) (S.I)</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Lit>
              <c:ptCount val="1"/>
              <c:pt idx="0">
                <c:v>1</c:v>
              </c:pt>
              <c:extLst>
                <c:ext xmlns:c15="http://schemas.microsoft.com/office/drawing/2012/chart" uri="{02D57815-91ED-43cb-92C2-25804820EDAC}">
                  <c15:autoCat val="1"/>
                </c:ext>
              </c:extLst>
            </c:strLit>
          </c:cat>
          <c:val>
            <c:numRef>
              <c:f>'Formulas Financieras'!$F$47</c:f>
              <c:numCache>
                <c:formatCode>0.00%</c:formatCode>
                <c:ptCount val="1"/>
                <c:pt idx="0">
                  <c:v>2.1576112438295398E-2</c:v>
                </c:pt>
              </c:numCache>
              <c:extLst>
                <c:ext xmlns:c15="http://schemas.microsoft.com/office/drawing/2012/chart" uri="{02D57815-91ED-43cb-92C2-25804820EDAC}">
                  <c15:fullRef>
                    <c15:sqref>'Formulas Financieras'!$F$47:$F$48</c15:sqref>
                  </c15:fullRef>
                </c:ext>
              </c:extLst>
            </c:numRef>
          </c:val>
        </c:ser>
        <c:ser>
          <c:idx val="1"/>
          <c:order val="1"/>
          <c:tx>
            <c:strRef>
              <c:f>'Formulas Financieras'!$I$47:$I$48</c:f>
              <c:strCache>
                <c:ptCount val="1"/>
                <c:pt idx="0">
                  <c:v>Rentabilidad del patrimonio (ROE) (C.I)</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Lit>
              <c:ptCount val="1"/>
              <c:pt idx="0">
                <c:v>1</c:v>
              </c:pt>
              <c:extLst>
                <c:ext xmlns:c15="http://schemas.microsoft.com/office/drawing/2012/chart" uri="{02D57815-91ED-43cb-92C2-25804820EDAC}">
                  <c15:autoCat val="1"/>
                </c:ext>
              </c:extLst>
            </c:strLit>
          </c:cat>
          <c:val>
            <c:numRef>
              <c:f>'Formulas Financieras'!$M$47</c:f>
              <c:numCache>
                <c:formatCode>0.00%</c:formatCode>
                <c:ptCount val="1"/>
                <c:pt idx="0">
                  <c:v>2.0711063276456294E-2</c:v>
                </c:pt>
              </c:numCache>
              <c:extLst>
                <c:ext xmlns:c15="http://schemas.microsoft.com/office/drawing/2012/chart" uri="{02D57815-91ED-43cb-92C2-25804820EDAC}">
                  <c15:fullRef>
                    <c15:sqref>'Formulas Financieras'!$M$47:$M$48</c15:sqref>
                  </c15:fullRef>
                </c:ext>
              </c:extLst>
            </c:numRef>
          </c:val>
        </c:ser>
        <c:dLbls>
          <c:showLegendKey val="0"/>
          <c:showVal val="1"/>
          <c:showCatName val="0"/>
          <c:showSerName val="0"/>
          <c:showPercent val="0"/>
          <c:showBubbleSize val="0"/>
        </c:dLbls>
        <c:gapWidth val="150"/>
        <c:axId val="110262528"/>
        <c:axId val="110264320"/>
      </c:barChart>
      <c:catAx>
        <c:axId val="110262528"/>
        <c:scaling>
          <c:orientation val="minMax"/>
        </c:scaling>
        <c:delete val="1"/>
        <c:axPos val="b"/>
        <c:numFmt formatCode="General" sourceLinked="1"/>
        <c:majorTickMark val="out"/>
        <c:minorTickMark val="none"/>
        <c:tickLblPos val="nextTo"/>
        <c:crossAx val="110264320"/>
        <c:crosses val="autoZero"/>
        <c:auto val="1"/>
        <c:lblAlgn val="ctr"/>
        <c:lblOffset val="100"/>
        <c:noMultiLvlLbl val="0"/>
      </c:catAx>
      <c:valAx>
        <c:axId val="110264320"/>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110262528"/>
        <c:crosses val="autoZero"/>
        <c:crossBetween val="between"/>
      </c:valAx>
      <c:spPr>
        <a:noFill/>
        <a:ln>
          <a:noFill/>
        </a:ln>
        <a:effectLst/>
      </c:spPr>
    </c:plotArea>
    <c:legend>
      <c:legendPos val="r"/>
      <c:layout>
        <c:manualLayout>
          <c:xMode val="edge"/>
          <c:yMode val="edge"/>
          <c:x val="3.4337707786526693E-2"/>
          <c:y val="0.84844579141062437"/>
          <c:w val="0.93461883213732777"/>
          <c:h val="0.1515542195653207"/>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000000000000011" l="0.70000000000000007" r="0.70000000000000007" t="0.75000000000000011" header="0.30000000000000004" footer="0.30000000000000004"/>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Número de días de proveedores</a:t>
            </a:r>
          </a:p>
        </c:rich>
      </c:tx>
      <c:layout/>
      <c:overlay val="0"/>
      <c:spPr>
        <a:noFill/>
        <a:ln>
          <a:noFill/>
        </a:ln>
        <a:effectLst/>
      </c:spPr>
    </c:title>
    <c:autoTitleDeleted val="0"/>
    <c:plotArea>
      <c:layout>
        <c:manualLayout>
          <c:layoutTarget val="inner"/>
          <c:xMode val="edge"/>
          <c:yMode val="edge"/>
          <c:x val="8.5579268108727777E-2"/>
          <c:y val="0.13174430967868034"/>
          <c:w val="0.88600081916213003"/>
          <c:h val="0.6651966204148354"/>
        </c:manualLayout>
      </c:layout>
      <c:barChart>
        <c:barDir val="col"/>
        <c:grouping val="clustered"/>
        <c:varyColors val="0"/>
        <c:ser>
          <c:idx val="0"/>
          <c:order val="0"/>
          <c:tx>
            <c:strRef>
              <c:f>'Formulas Financieras'!$B$9:$B$10</c:f>
              <c:strCache>
                <c:ptCount val="1"/>
                <c:pt idx="0">
                  <c:v>Número de días de proveedores (S.I)</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pt idx="0">
                <c:v>1</c:v>
              </c:pt>
              <c:extLst>
                <c:ext xmlns:c15="http://schemas.microsoft.com/office/drawing/2012/chart" uri="{02D57815-91ED-43cb-92C2-25804820EDAC}">
                  <c15:autoCat val="1"/>
                </c:ext>
              </c:extLst>
            </c:strLit>
          </c:cat>
          <c:val>
            <c:numRef>
              <c:f>'Formulas Financieras'!$F$9</c:f>
              <c:numCache>
                <c:formatCode>0.000</c:formatCode>
                <c:ptCount val="1"/>
                <c:pt idx="0">
                  <c:v>27.182213628634912</c:v>
                </c:pt>
              </c:numCache>
              <c:extLst>
                <c:ext xmlns:c15="http://schemas.microsoft.com/office/drawing/2012/chart" uri="{02D57815-91ED-43cb-92C2-25804820EDAC}">
                  <c15:fullRef>
                    <c15:sqref>'Formulas Financieras'!$F$9:$F$10</c15:sqref>
                  </c15:fullRef>
                </c:ext>
              </c:extLst>
            </c:numRef>
          </c:val>
        </c:ser>
        <c:ser>
          <c:idx val="1"/>
          <c:order val="1"/>
          <c:tx>
            <c:strRef>
              <c:f>'Formulas Financieras'!$I$9:$I$10</c:f>
              <c:strCache>
                <c:ptCount val="1"/>
                <c:pt idx="0">
                  <c:v>Número de días de proveedores (C.I)</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pt idx="0">
                <c:v>1</c:v>
              </c:pt>
              <c:extLst>
                <c:ext xmlns:c15="http://schemas.microsoft.com/office/drawing/2012/chart" uri="{02D57815-91ED-43cb-92C2-25804820EDAC}">
                  <c15:autoCat val="1"/>
                </c:ext>
              </c:extLst>
            </c:strLit>
          </c:cat>
          <c:val>
            <c:numRef>
              <c:f>'Formulas Financieras'!$M$9</c:f>
              <c:numCache>
                <c:formatCode>0.000</c:formatCode>
                <c:ptCount val="1"/>
                <c:pt idx="0">
                  <c:v>27.264056370376217</c:v>
                </c:pt>
              </c:numCache>
              <c:extLst>
                <c:ext xmlns:c15="http://schemas.microsoft.com/office/drawing/2012/chart" uri="{02D57815-91ED-43cb-92C2-25804820EDAC}">
                  <c15:fullRef>
                    <c15:sqref>'Formulas Financieras'!$M$9:$M$10</c15:sqref>
                  </c15:fullRef>
                </c:ext>
              </c:extLst>
            </c:numRef>
          </c:val>
        </c:ser>
        <c:dLbls>
          <c:showLegendKey val="0"/>
          <c:showVal val="1"/>
          <c:showCatName val="0"/>
          <c:showSerName val="0"/>
          <c:showPercent val="0"/>
          <c:showBubbleSize val="0"/>
        </c:dLbls>
        <c:gapWidth val="150"/>
        <c:axId val="85998208"/>
        <c:axId val="86012288"/>
      </c:barChart>
      <c:catAx>
        <c:axId val="85998208"/>
        <c:scaling>
          <c:orientation val="minMax"/>
        </c:scaling>
        <c:delete val="1"/>
        <c:axPos val="b"/>
        <c:numFmt formatCode="General" sourceLinked="1"/>
        <c:majorTickMark val="out"/>
        <c:minorTickMark val="none"/>
        <c:tickLblPos val="nextTo"/>
        <c:crossAx val="86012288"/>
        <c:crosses val="autoZero"/>
        <c:auto val="1"/>
        <c:lblAlgn val="ctr"/>
        <c:lblOffset val="100"/>
        <c:noMultiLvlLbl val="0"/>
      </c:catAx>
      <c:valAx>
        <c:axId val="86012288"/>
        <c:scaling>
          <c:orientation val="minMax"/>
        </c:scaling>
        <c:delete val="0"/>
        <c:axPos val="l"/>
        <c:majorGridlines>
          <c:spPr>
            <a:ln w="9525" cap="flat" cmpd="sng" algn="ctr">
              <a:solidFill>
                <a:schemeClr val="tx1">
                  <a:lumMod val="15000"/>
                  <a:lumOff val="85000"/>
                </a:schemeClr>
              </a:solidFill>
              <a:round/>
            </a:ln>
            <a:effectLst/>
          </c:spPr>
        </c:majorGridlines>
        <c:numFmt formatCode="0.00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85998208"/>
        <c:crosses val="autoZero"/>
        <c:crossBetween val="between"/>
      </c:valAx>
      <c:spPr>
        <a:noFill/>
        <a:ln>
          <a:noFill/>
        </a:ln>
        <a:effectLst/>
      </c:spPr>
    </c:plotArea>
    <c:legend>
      <c:legendPos val="r"/>
      <c:layout>
        <c:manualLayout>
          <c:xMode val="edge"/>
          <c:yMode val="edge"/>
          <c:x val="3.4337707786526693E-2"/>
          <c:y val="0.84844579141062437"/>
          <c:w val="0.93461883213732777"/>
          <c:h val="0.1515542195653207"/>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000000000000011" l="0.70000000000000007" r="0.70000000000000007" t="0.75000000000000011" header="0.30000000000000004" footer="0.30000000000000004"/>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Capital</a:t>
            </a:r>
            <a:r>
              <a:rPr lang="es-CO" baseline="0"/>
              <a:t> de trabajo</a:t>
            </a:r>
            <a:endParaRPr lang="es-CO"/>
          </a:p>
        </c:rich>
      </c:tx>
      <c:layout/>
      <c:overlay val="0"/>
      <c:spPr>
        <a:noFill/>
        <a:ln>
          <a:noFill/>
        </a:ln>
        <a:effectLst/>
      </c:spPr>
    </c:title>
    <c:autoTitleDeleted val="0"/>
    <c:plotArea>
      <c:layout>
        <c:manualLayout>
          <c:layoutTarget val="inner"/>
          <c:xMode val="edge"/>
          <c:yMode val="edge"/>
          <c:x val="8.5579268108727777E-2"/>
          <c:y val="0.16046961715435587"/>
          <c:w val="0.88600081916213003"/>
          <c:h val="0.63647117631225969"/>
        </c:manualLayout>
      </c:layout>
      <c:barChart>
        <c:barDir val="col"/>
        <c:grouping val="clustered"/>
        <c:varyColors val="0"/>
        <c:ser>
          <c:idx val="0"/>
          <c:order val="0"/>
          <c:tx>
            <c:strRef>
              <c:f>'Formulas Financieras'!$B$17:$B$18</c:f>
              <c:strCache>
                <c:ptCount val="1"/>
                <c:pt idx="0">
                  <c:v>Capital de trabajo (S.I)</c:v>
                </c:pt>
              </c:strCache>
            </c:strRef>
          </c:tx>
          <c:spPr>
            <a:solidFill>
              <a:schemeClr val="accent1"/>
            </a:solidFill>
            <a:ln>
              <a:noFill/>
            </a:ln>
            <a:effectLst/>
          </c:spPr>
          <c:invertIfNegative val="0"/>
          <c:dLbls>
            <c:dLbl>
              <c:idx val="0"/>
              <c:delete val="1"/>
              <c:extLs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pt idx="0">
                <c:v>1</c:v>
              </c:pt>
              <c:extLst>
                <c:ext xmlns:c15="http://schemas.microsoft.com/office/drawing/2012/chart" uri="{02D57815-91ED-43cb-92C2-25804820EDAC}">
                  <c15:autoCat val="1"/>
                </c:ext>
              </c:extLst>
            </c:strLit>
          </c:cat>
          <c:val>
            <c:numRef>
              <c:f>'Formulas Financieras'!$F$17:$F$18</c:f>
              <c:numCache>
                <c:formatCode>[$$-240A]\ #,##0</c:formatCode>
                <c:ptCount val="2"/>
                <c:pt idx="0">
                  <c:v>104760185000</c:v>
                </c:pt>
              </c:numCache>
            </c:numRef>
          </c:val>
        </c:ser>
        <c:ser>
          <c:idx val="1"/>
          <c:order val="1"/>
          <c:tx>
            <c:strRef>
              <c:f>'Formulas Financieras'!$I$17:$I$18</c:f>
              <c:strCache>
                <c:ptCount val="1"/>
                <c:pt idx="0">
                  <c:v>Capital de trabajo (C.I)</c:v>
                </c:pt>
              </c:strCache>
            </c:strRef>
          </c:tx>
          <c:spPr>
            <a:solidFill>
              <a:schemeClr val="accent2"/>
            </a:solidFill>
            <a:ln>
              <a:noFill/>
            </a:ln>
            <a:effectLst/>
          </c:spPr>
          <c:invertIfNegative val="0"/>
          <c:dLbls>
            <c:delete val="1"/>
          </c:dLbls>
          <c:cat>
            <c:strLit>
              <c:ptCount val="1"/>
              <c:pt idx="0">
                <c:v>1</c:v>
              </c:pt>
              <c:extLst>
                <c:ext xmlns:c15="http://schemas.microsoft.com/office/drawing/2012/chart" uri="{02D57815-91ED-43cb-92C2-25804820EDAC}">
                  <c15:autoCat val="1"/>
                </c:ext>
              </c:extLst>
            </c:strLit>
          </c:cat>
          <c:val>
            <c:numRef>
              <c:f>'Formulas Financieras'!$M$17:$M$18</c:f>
              <c:numCache>
                <c:formatCode>[$$-240A]\ #,##0</c:formatCode>
                <c:ptCount val="2"/>
                <c:pt idx="0">
                  <c:v>104760185000</c:v>
                </c:pt>
              </c:numCache>
            </c:numRef>
          </c:val>
        </c:ser>
        <c:dLbls>
          <c:showLegendKey val="0"/>
          <c:showVal val="1"/>
          <c:showCatName val="0"/>
          <c:showSerName val="0"/>
          <c:showPercent val="0"/>
          <c:showBubbleSize val="0"/>
        </c:dLbls>
        <c:gapWidth val="9"/>
        <c:axId val="111481984"/>
        <c:axId val="111483520"/>
      </c:barChart>
      <c:catAx>
        <c:axId val="111481984"/>
        <c:scaling>
          <c:orientation val="minMax"/>
        </c:scaling>
        <c:delete val="1"/>
        <c:axPos val="b"/>
        <c:numFmt formatCode="General" sourceLinked="1"/>
        <c:majorTickMark val="out"/>
        <c:minorTickMark val="none"/>
        <c:tickLblPos val="nextTo"/>
        <c:crossAx val="111483520"/>
        <c:crosses val="autoZero"/>
        <c:auto val="1"/>
        <c:lblAlgn val="ctr"/>
        <c:lblOffset val="100"/>
        <c:noMultiLvlLbl val="0"/>
      </c:catAx>
      <c:valAx>
        <c:axId val="111483520"/>
        <c:scaling>
          <c:orientation val="minMax"/>
        </c:scaling>
        <c:delete val="0"/>
        <c:axPos val="l"/>
        <c:majorGridlines>
          <c:spPr>
            <a:ln w="9525" cap="flat" cmpd="sng" algn="ctr">
              <a:solidFill>
                <a:schemeClr val="tx1">
                  <a:lumMod val="15000"/>
                  <a:lumOff val="85000"/>
                </a:schemeClr>
              </a:solidFill>
              <a:round/>
            </a:ln>
            <a:effectLst/>
          </c:spPr>
        </c:majorGridlines>
        <c:numFmt formatCode="[$$-240A]\ #,##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111481984"/>
        <c:crosses val="autoZero"/>
        <c:crossBetween val="between"/>
      </c:valAx>
    </c:plotArea>
    <c:legend>
      <c:legendPos val="r"/>
      <c:layout>
        <c:manualLayout>
          <c:xMode val="edge"/>
          <c:yMode val="edge"/>
          <c:x val="3.4337707786526693E-2"/>
          <c:y val="0.84844579141062437"/>
          <c:w val="0.93509474512125423"/>
          <c:h val="0.13741991217756025"/>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chart>
  <c:spPr>
    <a:noFill/>
    <a:ln w="9525" cap="flat" cmpd="sng" algn="ctr">
      <a:solidFill>
        <a:schemeClr val="tx1">
          <a:lumMod val="15000"/>
          <a:lumOff val="85000"/>
        </a:schemeClr>
      </a:solidFill>
      <a:round/>
    </a:ln>
    <a:effectLst/>
  </c:spPr>
  <c:txPr>
    <a:bodyPr/>
    <a:lstStyle/>
    <a:p>
      <a:pPr>
        <a:defRPr/>
      </a:pPr>
      <a:endParaRPr lang="es-ES"/>
    </a:p>
  </c:txPr>
  <c:printSettings>
    <c:headerFooter/>
    <c:pageMargins b="0.75000000000000011" l="0.70000000000000007" r="0.70000000000000007" t="0.75000000000000011" header="0.30000000000000004" footer="0.30000000000000004"/>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Endeudamiento </a:t>
            </a:r>
            <a:r>
              <a:rPr lang="es-CO" baseline="0"/>
              <a:t> a corto plazo</a:t>
            </a:r>
            <a:endParaRPr lang="es-CO"/>
          </a:p>
        </c:rich>
      </c:tx>
      <c:layout/>
      <c:overlay val="0"/>
      <c:spPr>
        <a:noFill/>
        <a:ln>
          <a:noFill/>
        </a:ln>
        <a:effectLst/>
      </c:spPr>
    </c:title>
    <c:autoTitleDeleted val="0"/>
    <c:plotArea>
      <c:layout>
        <c:manualLayout>
          <c:layoutTarget val="inner"/>
          <c:xMode val="edge"/>
          <c:yMode val="edge"/>
          <c:x val="8.5579268108727777E-2"/>
          <c:y val="0.13174430967868034"/>
          <c:w val="0.88600081916213003"/>
          <c:h val="0.6651966204148354"/>
        </c:manualLayout>
      </c:layout>
      <c:barChart>
        <c:barDir val="col"/>
        <c:grouping val="clustered"/>
        <c:varyColors val="0"/>
        <c:ser>
          <c:idx val="0"/>
          <c:order val="0"/>
          <c:tx>
            <c:strRef>
              <c:f>'Formulas Financieras'!$B$29:$B$30</c:f>
              <c:strCache>
                <c:ptCount val="1"/>
                <c:pt idx="0">
                  <c:v>Endeudamiento corto plazo (S.I)</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pt idx="0">
                <c:v>1</c:v>
              </c:pt>
              <c:extLst>
                <c:ext xmlns:c15="http://schemas.microsoft.com/office/drawing/2012/chart" uri="{02D57815-91ED-43cb-92C2-25804820EDAC}">
                  <c15:autoCat val="1"/>
                </c:ext>
              </c:extLst>
            </c:strLit>
          </c:cat>
          <c:val>
            <c:numRef>
              <c:f>'Formulas Financieras'!$F$29:$F$30</c:f>
              <c:numCache>
                <c:formatCode>0.00</c:formatCode>
                <c:ptCount val="2"/>
                <c:pt idx="0">
                  <c:v>0.28516883458713904</c:v>
                </c:pt>
              </c:numCache>
            </c:numRef>
          </c:val>
        </c:ser>
        <c:ser>
          <c:idx val="1"/>
          <c:order val="1"/>
          <c:tx>
            <c:strRef>
              <c:f>'Formulas Financieras'!$I$29:$I$30</c:f>
              <c:strCache>
                <c:ptCount val="1"/>
                <c:pt idx="0">
                  <c:v>Endeudamiento corto plazo (C.I)</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pt idx="0">
                <c:v>1</c:v>
              </c:pt>
              <c:extLst>
                <c:ext xmlns:c15="http://schemas.microsoft.com/office/drawing/2012/chart" uri="{02D57815-91ED-43cb-92C2-25804820EDAC}">
                  <c15:autoCat val="1"/>
                </c:ext>
              </c:extLst>
            </c:strLit>
          </c:cat>
          <c:val>
            <c:numRef>
              <c:f>'Formulas Financieras'!$M$29:$M$30</c:f>
              <c:numCache>
                <c:formatCode>0.00</c:formatCode>
                <c:ptCount val="2"/>
                <c:pt idx="0">
                  <c:v>0.28516883458713904</c:v>
                </c:pt>
              </c:numCache>
            </c:numRef>
          </c:val>
        </c:ser>
        <c:dLbls>
          <c:showLegendKey val="0"/>
          <c:showVal val="1"/>
          <c:showCatName val="0"/>
          <c:showSerName val="0"/>
          <c:showPercent val="0"/>
          <c:showBubbleSize val="0"/>
        </c:dLbls>
        <c:gapWidth val="3"/>
        <c:axId val="111538944"/>
        <c:axId val="111540480"/>
      </c:barChart>
      <c:catAx>
        <c:axId val="111538944"/>
        <c:scaling>
          <c:orientation val="minMax"/>
        </c:scaling>
        <c:delete val="1"/>
        <c:axPos val="b"/>
        <c:numFmt formatCode="General" sourceLinked="1"/>
        <c:majorTickMark val="out"/>
        <c:minorTickMark val="none"/>
        <c:tickLblPos val="nextTo"/>
        <c:crossAx val="111540480"/>
        <c:crosses val="autoZero"/>
        <c:auto val="1"/>
        <c:lblAlgn val="ctr"/>
        <c:lblOffset val="100"/>
        <c:noMultiLvlLbl val="0"/>
      </c:catAx>
      <c:valAx>
        <c:axId val="111540480"/>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111538944"/>
        <c:crosses val="autoZero"/>
        <c:crossBetween val="between"/>
      </c:valAx>
      <c:spPr>
        <a:noFill/>
        <a:ln>
          <a:noFill/>
        </a:ln>
        <a:effectLst/>
      </c:spPr>
    </c:plotArea>
    <c:legend>
      <c:legendPos val="r"/>
      <c:layout>
        <c:manualLayout>
          <c:xMode val="edge"/>
          <c:yMode val="edge"/>
          <c:x val="3.4337707786526693E-2"/>
          <c:y val="0.84844579141062437"/>
          <c:w val="0.93461883213732777"/>
          <c:h val="0.1515542195653207"/>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000000000000011" l="0.70000000000000007" r="0.70000000000000007" t="0.75000000000000011" header="0.30000000000000004" footer="0.30000000000000004"/>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Razón</a:t>
            </a:r>
            <a:r>
              <a:rPr lang="es-CO" baseline="0"/>
              <a:t> corriente</a:t>
            </a:r>
          </a:p>
        </c:rich>
      </c:tx>
      <c:layout/>
      <c:overlay val="0"/>
      <c:spPr>
        <a:noFill/>
        <a:ln>
          <a:noFill/>
        </a:ln>
        <a:effectLst/>
      </c:spPr>
    </c:title>
    <c:autoTitleDeleted val="0"/>
    <c:plotArea>
      <c:layout>
        <c:manualLayout>
          <c:layoutTarget val="inner"/>
          <c:xMode val="edge"/>
          <c:yMode val="edge"/>
          <c:x val="8.5579268108727777E-2"/>
          <c:y val="0.13174430967868034"/>
          <c:w val="0.88600081916213003"/>
          <c:h val="0.6651966204148354"/>
        </c:manualLayout>
      </c:layout>
      <c:barChart>
        <c:barDir val="col"/>
        <c:grouping val="clustered"/>
        <c:varyColors val="0"/>
        <c:ser>
          <c:idx val="0"/>
          <c:order val="0"/>
          <c:tx>
            <c:strRef>
              <c:f>'Formulas Financieras'!$B$11:$B$12</c:f>
              <c:strCache>
                <c:ptCount val="1"/>
                <c:pt idx="0">
                  <c:v>Razón corriente (S.I)</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pt idx="0">
                <c:v>1</c:v>
              </c:pt>
              <c:extLst>
                <c:ext xmlns:c15="http://schemas.microsoft.com/office/drawing/2012/chart" uri="{02D57815-91ED-43cb-92C2-25804820EDAC}">
                  <c15:autoCat val="1"/>
                </c:ext>
              </c:extLst>
            </c:strLit>
          </c:cat>
          <c:val>
            <c:numRef>
              <c:f>'Formulas Financieras'!$F$11</c:f>
              <c:numCache>
                <c:formatCode>0.0000</c:formatCode>
                <c:ptCount val="1"/>
                <c:pt idx="0">
                  <c:v>3.5066945567448746</c:v>
                </c:pt>
              </c:numCache>
              <c:extLst>
                <c:ext xmlns:c15="http://schemas.microsoft.com/office/drawing/2012/chart" uri="{02D57815-91ED-43cb-92C2-25804820EDAC}">
                  <c15:fullRef>
                    <c15:sqref>'Formulas Financieras'!$F$11:$F$12</c15:sqref>
                  </c15:fullRef>
                </c:ext>
              </c:extLst>
            </c:numRef>
          </c:val>
        </c:ser>
        <c:ser>
          <c:idx val="1"/>
          <c:order val="1"/>
          <c:tx>
            <c:strRef>
              <c:f>'Formulas Financieras'!$I$11:$I$12</c:f>
              <c:strCache>
                <c:ptCount val="1"/>
                <c:pt idx="0">
                  <c:v>Razón corriente (C.I)</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pt idx="0">
                <c:v>1</c:v>
              </c:pt>
              <c:extLst>
                <c:ext xmlns:c15="http://schemas.microsoft.com/office/drawing/2012/chart" uri="{02D57815-91ED-43cb-92C2-25804820EDAC}">
                  <c15:autoCat val="1"/>
                </c:ext>
              </c:extLst>
            </c:strLit>
          </c:cat>
          <c:val>
            <c:numRef>
              <c:f>'Formulas Financieras'!$M$11</c:f>
              <c:numCache>
                <c:formatCode>0.0000</c:formatCode>
                <c:ptCount val="1"/>
                <c:pt idx="0">
                  <c:v>3.5066945567448746</c:v>
                </c:pt>
              </c:numCache>
              <c:extLst>
                <c:ext xmlns:c15="http://schemas.microsoft.com/office/drawing/2012/chart" uri="{02D57815-91ED-43cb-92C2-25804820EDAC}">
                  <c15:fullRef>
                    <c15:sqref>'Formulas Financieras'!$M$11:$M$12</c15:sqref>
                  </c15:fullRef>
                </c:ext>
              </c:extLst>
            </c:numRef>
          </c:val>
        </c:ser>
        <c:dLbls>
          <c:showLegendKey val="0"/>
          <c:showVal val="1"/>
          <c:showCatName val="0"/>
          <c:showSerName val="0"/>
          <c:showPercent val="0"/>
          <c:showBubbleSize val="0"/>
        </c:dLbls>
        <c:gapWidth val="150"/>
        <c:axId val="123800192"/>
        <c:axId val="123851136"/>
      </c:barChart>
      <c:catAx>
        <c:axId val="123800192"/>
        <c:scaling>
          <c:orientation val="minMax"/>
        </c:scaling>
        <c:delete val="1"/>
        <c:axPos val="b"/>
        <c:numFmt formatCode="General" sourceLinked="1"/>
        <c:majorTickMark val="out"/>
        <c:minorTickMark val="none"/>
        <c:tickLblPos val="nextTo"/>
        <c:crossAx val="123851136"/>
        <c:crosses val="autoZero"/>
        <c:auto val="1"/>
        <c:lblAlgn val="ctr"/>
        <c:lblOffset val="100"/>
        <c:noMultiLvlLbl val="0"/>
      </c:catAx>
      <c:valAx>
        <c:axId val="123851136"/>
        <c:scaling>
          <c:orientation val="minMax"/>
        </c:scaling>
        <c:delete val="0"/>
        <c:axPos val="l"/>
        <c:majorGridlines>
          <c:spPr>
            <a:ln w="9525" cap="flat" cmpd="sng" algn="ctr">
              <a:solidFill>
                <a:schemeClr val="tx1">
                  <a:lumMod val="15000"/>
                  <a:lumOff val="85000"/>
                </a:schemeClr>
              </a:solidFill>
              <a:round/>
            </a:ln>
            <a:effectLst/>
          </c:spPr>
        </c:majorGridlines>
        <c:numFmt formatCode="0.000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123800192"/>
        <c:crosses val="autoZero"/>
        <c:crossBetween val="between"/>
      </c:valAx>
      <c:spPr>
        <a:noFill/>
        <a:ln>
          <a:noFill/>
        </a:ln>
        <a:effectLst/>
      </c:spPr>
    </c:plotArea>
    <c:legend>
      <c:legendPos val="r"/>
      <c:layout>
        <c:manualLayout>
          <c:xMode val="edge"/>
          <c:yMode val="edge"/>
          <c:x val="3.4337707786526693E-2"/>
          <c:y val="0.84844579141062437"/>
          <c:w val="0.93509474512125423"/>
          <c:h val="0.13741991217756025"/>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000000000000011" l="0.70000000000000007" r="0.70000000000000007" t="0.75000000000000011" header="0.30000000000000004" footer="0.30000000000000004"/>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Prueba ácida</a:t>
            </a:r>
          </a:p>
        </c:rich>
      </c:tx>
      <c:layout/>
      <c:overlay val="0"/>
      <c:spPr>
        <a:noFill/>
        <a:ln>
          <a:noFill/>
        </a:ln>
        <a:effectLst/>
      </c:spPr>
    </c:title>
    <c:autoTitleDeleted val="0"/>
    <c:plotArea>
      <c:layout>
        <c:manualLayout>
          <c:layoutTarget val="inner"/>
          <c:xMode val="edge"/>
          <c:yMode val="edge"/>
          <c:x val="8.5579268108727777E-2"/>
          <c:y val="0.13174430967868034"/>
          <c:w val="0.88600081916213003"/>
          <c:h val="0.6651966204148354"/>
        </c:manualLayout>
      </c:layout>
      <c:barChart>
        <c:barDir val="col"/>
        <c:grouping val="clustered"/>
        <c:varyColors val="0"/>
        <c:ser>
          <c:idx val="0"/>
          <c:order val="0"/>
          <c:tx>
            <c:strRef>
              <c:f>'Formulas Financieras'!$B$13:$B$14</c:f>
              <c:strCache>
                <c:ptCount val="1"/>
                <c:pt idx="0">
                  <c:v>Prueba ácida (S.I)</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pt idx="0">
                <c:v>1</c:v>
              </c:pt>
              <c:extLst>
                <c:ext xmlns:c15="http://schemas.microsoft.com/office/drawing/2012/chart" uri="{02D57815-91ED-43cb-92C2-25804820EDAC}">
                  <c15:autoCat val="1"/>
                </c:ext>
              </c:extLst>
            </c:strLit>
          </c:cat>
          <c:val>
            <c:numRef>
              <c:f>'Formulas Financieras'!$F$13</c:f>
              <c:numCache>
                <c:formatCode>0.0000</c:formatCode>
                <c:ptCount val="1"/>
                <c:pt idx="0">
                  <c:v>1.7465958329698281</c:v>
                </c:pt>
              </c:numCache>
              <c:extLst>
                <c:ext xmlns:c15="http://schemas.microsoft.com/office/drawing/2012/chart" uri="{02D57815-91ED-43cb-92C2-25804820EDAC}">
                  <c15:fullRef>
                    <c15:sqref>'Formulas Financieras'!$F$13:$F$14</c15:sqref>
                  </c15:fullRef>
                </c:ext>
              </c:extLst>
            </c:numRef>
          </c:val>
        </c:ser>
        <c:ser>
          <c:idx val="1"/>
          <c:order val="1"/>
          <c:tx>
            <c:strRef>
              <c:f>'Formulas Financieras'!$I$13:$I$14</c:f>
              <c:strCache>
                <c:ptCount val="1"/>
                <c:pt idx="0">
                  <c:v>Prueba ácida (C.I)</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pt idx="0">
                <c:v>1</c:v>
              </c:pt>
              <c:extLst>
                <c:ext xmlns:c15="http://schemas.microsoft.com/office/drawing/2012/chart" uri="{02D57815-91ED-43cb-92C2-25804820EDAC}">
                  <c15:autoCat val="1"/>
                </c:ext>
              </c:extLst>
            </c:strLit>
          </c:cat>
          <c:val>
            <c:numRef>
              <c:f>'Formulas Financieras'!$M$13</c:f>
              <c:numCache>
                <c:formatCode>0.0000</c:formatCode>
                <c:ptCount val="1"/>
                <c:pt idx="0">
                  <c:v>1.7467482140151864</c:v>
                </c:pt>
              </c:numCache>
              <c:extLst>
                <c:ext xmlns:c15="http://schemas.microsoft.com/office/drawing/2012/chart" uri="{02D57815-91ED-43cb-92C2-25804820EDAC}">
                  <c15:fullRef>
                    <c15:sqref>'Formulas Financieras'!$M$13:$M$14</c15:sqref>
                  </c15:fullRef>
                </c:ext>
              </c:extLst>
            </c:numRef>
          </c:val>
        </c:ser>
        <c:dLbls>
          <c:showLegendKey val="0"/>
          <c:showVal val="1"/>
          <c:showCatName val="0"/>
          <c:showSerName val="0"/>
          <c:showPercent val="0"/>
          <c:showBubbleSize val="0"/>
        </c:dLbls>
        <c:gapWidth val="150"/>
        <c:axId val="97868416"/>
        <c:axId val="97882496"/>
      </c:barChart>
      <c:catAx>
        <c:axId val="97868416"/>
        <c:scaling>
          <c:orientation val="minMax"/>
        </c:scaling>
        <c:delete val="1"/>
        <c:axPos val="b"/>
        <c:numFmt formatCode="General" sourceLinked="1"/>
        <c:majorTickMark val="out"/>
        <c:minorTickMark val="none"/>
        <c:tickLblPos val="nextTo"/>
        <c:crossAx val="97882496"/>
        <c:crosses val="autoZero"/>
        <c:auto val="1"/>
        <c:lblAlgn val="ctr"/>
        <c:lblOffset val="100"/>
        <c:noMultiLvlLbl val="0"/>
      </c:catAx>
      <c:valAx>
        <c:axId val="97882496"/>
        <c:scaling>
          <c:orientation val="minMax"/>
        </c:scaling>
        <c:delete val="0"/>
        <c:axPos val="l"/>
        <c:majorGridlines>
          <c:spPr>
            <a:ln w="9525" cap="flat" cmpd="sng" algn="ctr">
              <a:solidFill>
                <a:schemeClr val="tx1">
                  <a:lumMod val="15000"/>
                  <a:lumOff val="85000"/>
                </a:schemeClr>
              </a:solidFill>
              <a:round/>
            </a:ln>
            <a:effectLst/>
          </c:spPr>
        </c:majorGridlines>
        <c:numFmt formatCode="0.000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97868416"/>
        <c:crosses val="autoZero"/>
        <c:crossBetween val="between"/>
      </c:valAx>
      <c:spPr>
        <a:noFill/>
        <a:ln>
          <a:noFill/>
        </a:ln>
        <a:effectLst/>
      </c:spPr>
    </c:plotArea>
    <c:legend>
      <c:legendPos val="r"/>
      <c:layout>
        <c:manualLayout>
          <c:xMode val="edge"/>
          <c:yMode val="edge"/>
          <c:x val="3.4337707786526693E-2"/>
          <c:y val="0.84844579141062437"/>
          <c:w val="0.93509474512125423"/>
          <c:h val="0.13741991217756025"/>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000000000000011" l="0.70000000000000007" r="0.70000000000000007" t="0.75000000000000011" header="0.30000000000000004" footer="0.30000000000000004"/>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Rotación de inventarios</a:t>
            </a:r>
          </a:p>
        </c:rich>
      </c:tx>
      <c:layout/>
      <c:overlay val="0"/>
      <c:spPr>
        <a:noFill/>
        <a:ln>
          <a:noFill/>
        </a:ln>
        <a:effectLst/>
      </c:spPr>
    </c:title>
    <c:autoTitleDeleted val="0"/>
    <c:plotArea>
      <c:layout>
        <c:manualLayout>
          <c:layoutTarget val="inner"/>
          <c:xMode val="edge"/>
          <c:yMode val="edge"/>
          <c:x val="8.5579268108727777E-2"/>
          <c:y val="0.13174430967868034"/>
          <c:w val="0.88600081916213003"/>
          <c:h val="0.6651966204148354"/>
        </c:manualLayout>
      </c:layout>
      <c:barChart>
        <c:barDir val="col"/>
        <c:grouping val="clustered"/>
        <c:varyColors val="0"/>
        <c:ser>
          <c:idx val="0"/>
          <c:order val="0"/>
          <c:tx>
            <c:strRef>
              <c:f>'Formulas Financieras'!$B$15:$B$16</c:f>
              <c:strCache>
                <c:ptCount val="1"/>
                <c:pt idx="0">
                  <c:v>Rotación de inventarios (S.I)</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pt idx="0">
                <c:v>1</c:v>
              </c:pt>
              <c:extLst>
                <c:ext xmlns:c15="http://schemas.microsoft.com/office/drawing/2012/chart" uri="{02D57815-91ED-43cb-92C2-25804820EDAC}">
                  <c15:autoCat val="1"/>
                </c:ext>
              </c:extLst>
            </c:strLit>
          </c:cat>
          <c:val>
            <c:numRef>
              <c:f>'Formulas Financieras'!$F$15</c:f>
              <c:numCache>
                <c:formatCode>0.00</c:formatCode>
                <c:ptCount val="1"/>
                <c:pt idx="0">
                  <c:v>75.547678891677521</c:v>
                </c:pt>
              </c:numCache>
              <c:extLst>
                <c:ext xmlns:c15="http://schemas.microsoft.com/office/drawing/2012/chart" uri="{02D57815-91ED-43cb-92C2-25804820EDAC}">
                  <c15:fullRef>
                    <c15:sqref>'Formulas Financieras'!$F$15:$F$16</c15:sqref>
                  </c15:fullRef>
                </c:ext>
              </c:extLst>
            </c:numRef>
          </c:val>
        </c:ser>
        <c:ser>
          <c:idx val="1"/>
          <c:order val="1"/>
          <c:tx>
            <c:strRef>
              <c:f>'Formulas Financieras'!$I$15:$I$16</c:f>
              <c:strCache>
                <c:ptCount val="1"/>
                <c:pt idx="0">
                  <c:v>Rotación de inventarios (C.I)</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pt idx="0">
                <c:v>1</c:v>
              </c:pt>
              <c:extLst>
                <c:ext xmlns:c15="http://schemas.microsoft.com/office/drawing/2012/chart" uri="{02D57815-91ED-43cb-92C2-25804820EDAC}">
                  <c15:autoCat val="1"/>
                </c:ext>
              </c:extLst>
            </c:strLit>
          </c:cat>
          <c:val>
            <c:numRef>
              <c:f>'Formulas Financieras'!$M$15</c:f>
              <c:numCache>
                <c:formatCode>0.00</c:formatCode>
                <c:ptCount val="1"/>
                <c:pt idx="0">
                  <c:v>75.320895720138708</c:v>
                </c:pt>
              </c:numCache>
              <c:extLst>
                <c:ext xmlns:c15="http://schemas.microsoft.com/office/drawing/2012/chart" uri="{02D57815-91ED-43cb-92C2-25804820EDAC}">
                  <c15:fullRef>
                    <c15:sqref>'Formulas Financieras'!$M$15:$M$16</c15:sqref>
                  </c15:fullRef>
                </c:ext>
              </c:extLst>
            </c:numRef>
          </c:val>
        </c:ser>
        <c:dLbls>
          <c:showLegendKey val="0"/>
          <c:showVal val="1"/>
          <c:showCatName val="0"/>
          <c:showSerName val="0"/>
          <c:showPercent val="0"/>
          <c:showBubbleSize val="0"/>
        </c:dLbls>
        <c:gapWidth val="150"/>
        <c:axId val="97909376"/>
        <c:axId val="97923456"/>
      </c:barChart>
      <c:catAx>
        <c:axId val="97909376"/>
        <c:scaling>
          <c:orientation val="minMax"/>
        </c:scaling>
        <c:delete val="1"/>
        <c:axPos val="b"/>
        <c:numFmt formatCode="General" sourceLinked="1"/>
        <c:majorTickMark val="out"/>
        <c:minorTickMark val="none"/>
        <c:tickLblPos val="nextTo"/>
        <c:crossAx val="97923456"/>
        <c:crosses val="autoZero"/>
        <c:auto val="1"/>
        <c:lblAlgn val="ctr"/>
        <c:lblOffset val="100"/>
        <c:noMultiLvlLbl val="0"/>
      </c:catAx>
      <c:valAx>
        <c:axId val="97923456"/>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97909376"/>
        <c:crosses val="autoZero"/>
        <c:crossBetween val="between"/>
      </c:valAx>
      <c:spPr>
        <a:noFill/>
        <a:ln>
          <a:noFill/>
        </a:ln>
        <a:effectLst/>
      </c:spPr>
    </c:plotArea>
    <c:legend>
      <c:legendPos val="r"/>
      <c:layout>
        <c:manualLayout>
          <c:xMode val="edge"/>
          <c:yMode val="edge"/>
          <c:x val="3.4337707786526693E-2"/>
          <c:y val="0.84844579141062437"/>
          <c:w val="0.93461883213732777"/>
          <c:h val="0.1515542195653207"/>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000000000000011" l="0.70000000000000007" r="0.70000000000000007" t="0.75000000000000011" header="0.30000000000000004" footer="0.30000000000000004"/>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Cuentas por pagar</a:t>
            </a:r>
          </a:p>
        </c:rich>
      </c:tx>
      <c:layout/>
      <c:overlay val="0"/>
      <c:spPr>
        <a:noFill/>
        <a:ln>
          <a:noFill/>
        </a:ln>
        <a:effectLst/>
      </c:spPr>
    </c:title>
    <c:autoTitleDeleted val="0"/>
    <c:plotArea>
      <c:layout>
        <c:manualLayout>
          <c:layoutTarget val="inner"/>
          <c:xMode val="edge"/>
          <c:yMode val="edge"/>
          <c:x val="8.5579268108727777E-2"/>
          <c:y val="0.13174430967868034"/>
          <c:w val="0.88600081916213003"/>
          <c:h val="0.6651966204148354"/>
        </c:manualLayout>
      </c:layout>
      <c:barChart>
        <c:barDir val="col"/>
        <c:grouping val="clustered"/>
        <c:varyColors val="0"/>
        <c:ser>
          <c:idx val="0"/>
          <c:order val="0"/>
          <c:tx>
            <c:strRef>
              <c:f>'Formulas Financieras'!$B$19:$B$20</c:f>
              <c:strCache>
                <c:ptCount val="1"/>
                <c:pt idx="0">
                  <c:v>Rotación de cuentas por pagar (S.I)</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pt idx="0">
                <c:v>1</c:v>
              </c:pt>
              <c:extLst>
                <c:ext xmlns:c15="http://schemas.microsoft.com/office/drawing/2012/chart" uri="{02D57815-91ED-43cb-92C2-25804820EDAC}">
                  <c15:autoCat val="1"/>
                </c:ext>
              </c:extLst>
            </c:strLit>
          </c:cat>
          <c:val>
            <c:numRef>
              <c:f>'Formulas Financieras'!$F$19</c:f>
              <c:numCache>
                <c:formatCode>0.00</c:formatCode>
                <c:ptCount val="1"/>
                <c:pt idx="0">
                  <c:v>13.427898293592003</c:v>
                </c:pt>
              </c:numCache>
              <c:extLst>
                <c:ext xmlns:c15="http://schemas.microsoft.com/office/drawing/2012/chart" uri="{02D57815-91ED-43cb-92C2-25804820EDAC}">
                  <c15:fullRef>
                    <c15:sqref>'Formulas Financieras'!$F$19:$F$20</c15:sqref>
                  </c15:fullRef>
                </c:ext>
              </c:extLst>
            </c:numRef>
          </c:val>
        </c:ser>
        <c:ser>
          <c:idx val="1"/>
          <c:order val="1"/>
          <c:tx>
            <c:strRef>
              <c:f>'Formulas Financieras'!$I$19:$I$20</c:f>
              <c:strCache>
                <c:ptCount val="1"/>
                <c:pt idx="0">
                  <c:v>Rotación de cuentas por pagar (S.I)</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pt idx="0">
                <c:v>1</c:v>
              </c:pt>
              <c:extLst>
                <c:ext xmlns:c15="http://schemas.microsoft.com/office/drawing/2012/chart" uri="{02D57815-91ED-43cb-92C2-25804820EDAC}">
                  <c15:autoCat val="1"/>
                </c:ext>
              </c:extLst>
            </c:strLit>
          </c:cat>
          <c:val>
            <c:numRef>
              <c:f>'Formulas Financieras'!$M$19</c:f>
              <c:numCache>
                <c:formatCode>0.00</c:formatCode>
                <c:ptCount val="1"/>
                <c:pt idx="0">
                  <c:v>13.387589691040658</c:v>
                </c:pt>
              </c:numCache>
              <c:extLst>
                <c:ext xmlns:c15="http://schemas.microsoft.com/office/drawing/2012/chart" uri="{02D57815-91ED-43cb-92C2-25804820EDAC}">
                  <c15:fullRef>
                    <c15:sqref>'Formulas Financieras'!$M$19:$M$20</c15:sqref>
                  </c15:fullRef>
                </c:ext>
              </c:extLst>
            </c:numRef>
          </c:val>
        </c:ser>
        <c:dLbls>
          <c:showLegendKey val="0"/>
          <c:showVal val="1"/>
          <c:showCatName val="0"/>
          <c:showSerName val="0"/>
          <c:showPercent val="0"/>
          <c:showBubbleSize val="0"/>
        </c:dLbls>
        <c:gapWidth val="150"/>
        <c:axId val="97962624"/>
        <c:axId val="97780096"/>
      </c:barChart>
      <c:catAx>
        <c:axId val="97962624"/>
        <c:scaling>
          <c:orientation val="minMax"/>
        </c:scaling>
        <c:delete val="1"/>
        <c:axPos val="b"/>
        <c:numFmt formatCode="General" sourceLinked="1"/>
        <c:majorTickMark val="out"/>
        <c:minorTickMark val="none"/>
        <c:tickLblPos val="nextTo"/>
        <c:crossAx val="97780096"/>
        <c:crosses val="autoZero"/>
        <c:auto val="1"/>
        <c:lblAlgn val="ctr"/>
        <c:lblOffset val="100"/>
        <c:noMultiLvlLbl val="0"/>
      </c:catAx>
      <c:valAx>
        <c:axId val="97780096"/>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97962624"/>
        <c:crosses val="autoZero"/>
        <c:crossBetween val="between"/>
      </c:valAx>
      <c:spPr>
        <a:noFill/>
        <a:ln>
          <a:noFill/>
        </a:ln>
        <a:effectLst/>
      </c:spPr>
    </c:plotArea>
    <c:legend>
      <c:legendPos val="r"/>
      <c:layout>
        <c:manualLayout>
          <c:xMode val="edge"/>
          <c:yMode val="edge"/>
          <c:x val="3.4337707786526693E-2"/>
          <c:y val="0.84844579141062437"/>
          <c:w val="0.93509474512125423"/>
          <c:h val="0.13741991217756025"/>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Rotación del activo total</a:t>
            </a:r>
          </a:p>
        </c:rich>
      </c:tx>
      <c:layout/>
      <c:overlay val="0"/>
      <c:spPr>
        <a:noFill/>
        <a:ln>
          <a:noFill/>
        </a:ln>
        <a:effectLst/>
      </c:spPr>
    </c:title>
    <c:autoTitleDeleted val="0"/>
    <c:plotArea>
      <c:layout>
        <c:manualLayout>
          <c:layoutTarget val="inner"/>
          <c:xMode val="edge"/>
          <c:yMode val="edge"/>
          <c:x val="8.5579268108727777E-2"/>
          <c:y val="0.13174430967868034"/>
          <c:w val="0.88600081916213003"/>
          <c:h val="0.6651966204148354"/>
        </c:manualLayout>
      </c:layout>
      <c:barChart>
        <c:barDir val="col"/>
        <c:grouping val="clustered"/>
        <c:varyColors val="0"/>
        <c:ser>
          <c:idx val="0"/>
          <c:order val="0"/>
          <c:tx>
            <c:strRef>
              <c:f>'Formulas Financieras'!$B$21:$B$22</c:f>
              <c:strCache>
                <c:ptCount val="1"/>
                <c:pt idx="0">
                  <c:v>Rotación del activo total (S.I)</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pt idx="0">
                <c:v>1</c:v>
              </c:pt>
              <c:extLst>
                <c:ext xmlns:c15="http://schemas.microsoft.com/office/drawing/2012/chart" uri="{02D57815-91ED-43cb-92C2-25804820EDAC}">
                  <c15:autoCat val="1"/>
                </c:ext>
              </c:extLst>
            </c:strLit>
          </c:cat>
          <c:val>
            <c:numRef>
              <c:f>'Formulas Financieras'!$F$21</c:f>
              <c:numCache>
                <c:formatCode>0.0000</c:formatCode>
                <c:ptCount val="1"/>
                <c:pt idx="0">
                  <c:v>0.43275920304034116</c:v>
                </c:pt>
              </c:numCache>
              <c:extLst>
                <c:ext xmlns:c15="http://schemas.microsoft.com/office/drawing/2012/chart" uri="{02D57815-91ED-43cb-92C2-25804820EDAC}">
                  <c15:fullRef>
                    <c15:sqref>'Formulas Financieras'!$F$21:$F$22</c15:sqref>
                  </c15:fullRef>
                </c:ext>
              </c:extLst>
            </c:numRef>
          </c:val>
        </c:ser>
        <c:ser>
          <c:idx val="1"/>
          <c:order val="1"/>
          <c:tx>
            <c:strRef>
              <c:f>'Formulas Financieras'!$I$21:$I$22</c:f>
              <c:strCache>
                <c:ptCount val="1"/>
                <c:pt idx="0">
                  <c:v>Rotación del activo total (C.I)</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pt idx="0">
                <c:v>1</c:v>
              </c:pt>
              <c:extLst>
                <c:ext xmlns:c15="http://schemas.microsoft.com/office/drawing/2012/chart" uri="{02D57815-91ED-43cb-92C2-25804820EDAC}">
                  <c15:autoCat val="1"/>
                </c:ext>
              </c:extLst>
            </c:strLit>
          </c:cat>
          <c:val>
            <c:numRef>
              <c:f>'Formulas Financieras'!$M$21</c:f>
              <c:numCache>
                <c:formatCode>0.0000</c:formatCode>
                <c:ptCount val="1"/>
                <c:pt idx="0">
                  <c:v>0.43291078280338802</c:v>
                </c:pt>
              </c:numCache>
              <c:extLst>
                <c:ext xmlns:c15="http://schemas.microsoft.com/office/drawing/2012/chart" uri="{02D57815-91ED-43cb-92C2-25804820EDAC}">
                  <c15:fullRef>
                    <c15:sqref>'Formulas Financieras'!$M$21:$M$22</c15:sqref>
                  </c15:fullRef>
                </c:ext>
              </c:extLst>
            </c:numRef>
          </c:val>
        </c:ser>
        <c:dLbls>
          <c:showLegendKey val="0"/>
          <c:showVal val="1"/>
          <c:showCatName val="0"/>
          <c:showSerName val="0"/>
          <c:showPercent val="0"/>
          <c:showBubbleSize val="0"/>
        </c:dLbls>
        <c:gapWidth val="150"/>
        <c:axId val="97823360"/>
        <c:axId val="97825152"/>
      </c:barChart>
      <c:catAx>
        <c:axId val="97823360"/>
        <c:scaling>
          <c:orientation val="minMax"/>
        </c:scaling>
        <c:delete val="1"/>
        <c:axPos val="b"/>
        <c:numFmt formatCode="General" sourceLinked="1"/>
        <c:majorTickMark val="out"/>
        <c:minorTickMark val="none"/>
        <c:tickLblPos val="nextTo"/>
        <c:crossAx val="97825152"/>
        <c:crosses val="autoZero"/>
        <c:auto val="1"/>
        <c:lblAlgn val="ctr"/>
        <c:lblOffset val="100"/>
        <c:noMultiLvlLbl val="0"/>
      </c:catAx>
      <c:valAx>
        <c:axId val="97825152"/>
        <c:scaling>
          <c:orientation val="minMax"/>
        </c:scaling>
        <c:delete val="0"/>
        <c:axPos val="l"/>
        <c:majorGridlines>
          <c:spPr>
            <a:ln w="9525" cap="flat" cmpd="sng" algn="ctr">
              <a:solidFill>
                <a:schemeClr val="tx1">
                  <a:lumMod val="15000"/>
                  <a:lumOff val="85000"/>
                </a:schemeClr>
              </a:solidFill>
              <a:round/>
            </a:ln>
            <a:effectLst/>
          </c:spPr>
        </c:majorGridlines>
        <c:numFmt formatCode="0.000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97823360"/>
        <c:crosses val="autoZero"/>
        <c:crossBetween val="between"/>
      </c:valAx>
      <c:spPr>
        <a:noFill/>
        <a:ln>
          <a:noFill/>
        </a:ln>
        <a:effectLst/>
      </c:spPr>
    </c:plotArea>
    <c:legend>
      <c:legendPos val="r"/>
      <c:layout>
        <c:manualLayout>
          <c:xMode val="edge"/>
          <c:yMode val="edge"/>
          <c:x val="3.4337707786526693E-2"/>
          <c:y val="0.84844579141062437"/>
          <c:w val="0.93509474512125423"/>
          <c:h val="0.13741991217756025"/>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000000000000011" l="0.70000000000000007" r="0.70000000000000007" t="0.75000000000000011" header="0.30000000000000004" footer="0.30000000000000004"/>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Ventas por empleado</a:t>
            </a:r>
          </a:p>
        </c:rich>
      </c:tx>
      <c:layout>
        <c:manualLayout>
          <c:xMode val="edge"/>
          <c:yMode val="edge"/>
          <c:x val="0.28470936803107855"/>
          <c:y val="9.5750993133824503E-3"/>
        </c:manualLayout>
      </c:layout>
      <c:overlay val="0"/>
      <c:spPr>
        <a:noFill/>
        <a:ln>
          <a:noFill/>
        </a:ln>
        <a:effectLst/>
      </c:spPr>
    </c:title>
    <c:autoTitleDeleted val="0"/>
    <c:plotArea>
      <c:layout>
        <c:manualLayout>
          <c:layoutTarget val="inner"/>
          <c:xMode val="edge"/>
          <c:yMode val="edge"/>
          <c:x val="8.5579268108727777E-2"/>
          <c:y val="0.13174430967868034"/>
          <c:w val="0.88600081916213003"/>
          <c:h val="0.6651966204148354"/>
        </c:manualLayout>
      </c:layout>
      <c:barChart>
        <c:barDir val="col"/>
        <c:grouping val="clustered"/>
        <c:varyColors val="0"/>
        <c:ser>
          <c:idx val="0"/>
          <c:order val="0"/>
          <c:tx>
            <c:strRef>
              <c:f>'Formulas Financieras'!$B$23:$B$24</c:f>
              <c:strCache>
                <c:ptCount val="1"/>
                <c:pt idx="0">
                  <c:v>Ventas por empleado (S.I)</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pt idx="0">
                <c:v>1</c:v>
              </c:pt>
              <c:extLst>
                <c:ext xmlns:c15="http://schemas.microsoft.com/office/drawing/2012/chart" uri="{02D57815-91ED-43cb-92C2-25804820EDAC}">
                  <c15:autoCat val="1"/>
                </c:ext>
              </c:extLst>
            </c:strLit>
          </c:cat>
          <c:val>
            <c:numRef>
              <c:f>'Formulas Financieras'!$F$23</c:f>
              <c:numCache>
                <c:formatCode>[$$-240A]\ #,##0</c:formatCode>
                <c:ptCount val="1"/>
                <c:pt idx="0">
                  <c:v>84208841.523341522</c:v>
                </c:pt>
              </c:numCache>
              <c:extLst>
                <c:ext xmlns:c15="http://schemas.microsoft.com/office/drawing/2012/chart" uri="{02D57815-91ED-43cb-92C2-25804820EDAC}">
                  <c15:fullRef>
                    <c15:sqref>'Formulas Financieras'!$F$23:$F$24</c15:sqref>
                  </c15:fullRef>
                </c:ext>
              </c:extLst>
            </c:numRef>
          </c:val>
        </c:ser>
        <c:ser>
          <c:idx val="1"/>
          <c:order val="1"/>
          <c:tx>
            <c:strRef>
              <c:f>'Formulas Financieras'!$I$23:$I$24</c:f>
              <c:strCache>
                <c:ptCount val="1"/>
                <c:pt idx="0">
                  <c:v>Ventas por empleado (C.I)</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pt idx="0">
                <c:v>1</c:v>
              </c:pt>
              <c:extLst>
                <c:ext xmlns:c15="http://schemas.microsoft.com/office/drawing/2012/chart" uri="{02D57815-91ED-43cb-92C2-25804820EDAC}">
                  <c15:autoCat val="1"/>
                </c:ext>
              </c:extLst>
            </c:strLit>
          </c:cat>
          <c:val>
            <c:numRef>
              <c:f>'Formulas Financieras'!$M$23</c:f>
              <c:numCache>
                <c:formatCode>[$$-240A]\ #,##0</c:formatCode>
                <c:ptCount val="1"/>
                <c:pt idx="0">
                  <c:v>84238316.421965778</c:v>
                </c:pt>
              </c:numCache>
              <c:extLst>
                <c:ext xmlns:c15="http://schemas.microsoft.com/office/drawing/2012/chart" uri="{02D57815-91ED-43cb-92C2-25804820EDAC}">
                  <c15:fullRef>
                    <c15:sqref>'Formulas Financieras'!$M$23:$M$24</c15:sqref>
                  </c15:fullRef>
                </c:ext>
              </c:extLst>
            </c:numRef>
          </c:val>
        </c:ser>
        <c:dLbls>
          <c:showLegendKey val="0"/>
          <c:showVal val="1"/>
          <c:showCatName val="0"/>
          <c:showSerName val="0"/>
          <c:showPercent val="0"/>
          <c:showBubbleSize val="0"/>
        </c:dLbls>
        <c:gapWidth val="150"/>
        <c:axId val="99031680"/>
        <c:axId val="99053952"/>
      </c:barChart>
      <c:catAx>
        <c:axId val="99031680"/>
        <c:scaling>
          <c:orientation val="minMax"/>
        </c:scaling>
        <c:delete val="1"/>
        <c:axPos val="b"/>
        <c:numFmt formatCode="General" sourceLinked="1"/>
        <c:majorTickMark val="out"/>
        <c:minorTickMark val="none"/>
        <c:tickLblPos val="nextTo"/>
        <c:crossAx val="99053952"/>
        <c:crosses val="autoZero"/>
        <c:auto val="1"/>
        <c:lblAlgn val="ctr"/>
        <c:lblOffset val="100"/>
        <c:noMultiLvlLbl val="0"/>
      </c:catAx>
      <c:valAx>
        <c:axId val="99053952"/>
        <c:scaling>
          <c:orientation val="minMax"/>
        </c:scaling>
        <c:delete val="0"/>
        <c:axPos val="l"/>
        <c:majorGridlines>
          <c:spPr>
            <a:ln w="9525" cap="flat" cmpd="sng" algn="ctr">
              <a:solidFill>
                <a:schemeClr val="tx1">
                  <a:lumMod val="15000"/>
                  <a:lumOff val="85000"/>
                </a:schemeClr>
              </a:solidFill>
              <a:round/>
            </a:ln>
            <a:effectLst/>
          </c:spPr>
        </c:majorGridlines>
        <c:numFmt formatCode="[$$-240A]\ #,##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99031680"/>
        <c:crosses val="autoZero"/>
        <c:crossBetween val="between"/>
      </c:valAx>
      <c:spPr>
        <a:noFill/>
        <a:ln>
          <a:noFill/>
        </a:ln>
        <a:effectLst/>
      </c:spPr>
    </c:plotArea>
    <c:legend>
      <c:legendPos val="r"/>
      <c:layout>
        <c:manualLayout>
          <c:xMode val="edge"/>
          <c:yMode val="edge"/>
          <c:x val="3.4337707786526693E-2"/>
          <c:y val="0.84844579141062437"/>
          <c:w val="0.93461883213732777"/>
          <c:h val="0.1515542195653207"/>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000000000000011" l="0.70000000000000007" r="0.70000000000000007" t="0.75000000000000011" header="0.30000000000000004" footer="0.30000000000000004"/>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Rotación del patrimonio</a:t>
            </a:r>
          </a:p>
        </c:rich>
      </c:tx>
      <c:layout/>
      <c:overlay val="0"/>
      <c:spPr>
        <a:noFill/>
        <a:ln>
          <a:noFill/>
        </a:ln>
        <a:effectLst/>
      </c:spPr>
    </c:title>
    <c:autoTitleDeleted val="0"/>
    <c:plotArea>
      <c:layout>
        <c:manualLayout>
          <c:layoutTarget val="inner"/>
          <c:xMode val="edge"/>
          <c:yMode val="edge"/>
          <c:x val="8.5579268108727777E-2"/>
          <c:y val="0.13174430967868034"/>
          <c:w val="0.88600081916213003"/>
          <c:h val="0.6651966204148354"/>
        </c:manualLayout>
      </c:layout>
      <c:barChart>
        <c:barDir val="col"/>
        <c:grouping val="clustered"/>
        <c:varyColors val="0"/>
        <c:ser>
          <c:idx val="0"/>
          <c:order val="0"/>
          <c:tx>
            <c:strRef>
              <c:f>'Formulas Financieras'!$B$25:$B$26</c:f>
              <c:strCache>
                <c:ptCount val="1"/>
                <c:pt idx="0">
                  <c:v>Rotación del patrimonio (S.I)</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pt idx="0">
                <c:v>1</c:v>
              </c:pt>
              <c:extLst>
                <c:ext xmlns:c15="http://schemas.microsoft.com/office/drawing/2012/chart" uri="{02D57815-91ED-43cb-92C2-25804820EDAC}">
                  <c15:autoCat val="1"/>
                </c:ext>
              </c:extLst>
            </c:strLit>
          </c:cat>
          <c:val>
            <c:numRef>
              <c:f>'Formulas Financieras'!$F$25</c:f>
              <c:numCache>
                <c:formatCode>0.00</c:formatCode>
                <c:ptCount val="1"/>
                <c:pt idx="0">
                  <c:v>0.58487695803830597</c:v>
                </c:pt>
              </c:numCache>
              <c:extLst>
                <c:ext xmlns:c15="http://schemas.microsoft.com/office/drawing/2012/chart" uri="{02D57815-91ED-43cb-92C2-25804820EDAC}">
                  <c15:fullRef>
                    <c15:sqref>'Formulas Financieras'!$F$25:$F$26</c15:sqref>
                  </c15:fullRef>
                </c:ext>
              </c:extLst>
            </c:numRef>
          </c:val>
        </c:ser>
        <c:ser>
          <c:idx val="1"/>
          <c:order val="1"/>
          <c:tx>
            <c:strRef>
              <c:f>'Formulas Financieras'!$I$25:$I$26</c:f>
              <c:strCache>
                <c:ptCount val="1"/>
                <c:pt idx="0">
                  <c:v>Rotación del patrimonio (C.I)</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pt idx="0">
                <c:v>1</c:v>
              </c:pt>
              <c:extLst>
                <c:ext xmlns:c15="http://schemas.microsoft.com/office/drawing/2012/chart" uri="{02D57815-91ED-43cb-92C2-25804820EDAC}">
                  <c15:autoCat val="1"/>
                </c:ext>
              </c:extLst>
            </c:strLit>
          </c:cat>
          <c:val>
            <c:numRef>
              <c:f>'Formulas Financieras'!$M$25</c:f>
              <c:numCache>
                <c:formatCode>0.00</c:formatCode>
                <c:ptCount val="1"/>
                <c:pt idx="0">
                  <c:v>0.5850816775040294</c:v>
                </c:pt>
              </c:numCache>
              <c:extLst>
                <c:ext xmlns:c15="http://schemas.microsoft.com/office/drawing/2012/chart" uri="{02D57815-91ED-43cb-92C2-25804820EDAC}">
                  <c15:fullRef>
                    <c15:sqref>'Formulas Financieras'!$M$25:$M$26</c15:sqref>
                  </c15:fullRef>
                </c:ext>
              </c:extLst>
            </c:numRef>
          </c:val>
        </c:ser>
        <c:dLbls>
          <c:showLegendKey val="0"/>
          <c:showVal val="1"/>
          <c:showCatName val="0"/>
          <c:showSerName val="0"/>
          <c:showPercent val="0"/>
          <c:showBubbleSize val="0"/>
        </c:dLbls>
        <c:gapWidth val="150"/>
        <c:axId val="99080832"/>
        <c:axId val="99086720"/>
      </c:barChart>
      <c:catAx>
        <c:axId val="99080832"/>
        <c:scaling>
          <c:orientation val="minMax"/>
        </c:scaling>
        <c:delete val="1"/>
        <c:axPos val="b"/>
        <c:numFmt formatCode="General" sourceLinked="1"/>
        <c:majorTickMark val="out"/>
        <c:minorTickMark val="none"/>
        <c:tickLblPos val="nextTo"/>
        <c:crossAx val="99086720"/>
        <c:crosses val="autoZero"/>
        <c:auto val="1"/>
        <c:lblAlgn val="ctr"/>
        <c:lblOffset val="100"/>
        <c:noMultiLvlLbl val="0"/>
      </c:catAx>
      <c:valAx>
        <c:axId val="99086720"/>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99080832"/>
        <c:crosses val="autoZero"/>
        <c:crossBetween val="between"/>
      </c:valAx>
      <c:spPr>
        <a:noFill/>
        <a:ln>
          <a:noFill/>
        </a:ln>
        <a:effectLst/>
      </c:spPr>
    </c:plotArea>
    <c:legend>
      <c:legendPos val="r"/>
      <c:layout>
        <c:manualLayout>
          <c:xMode val="edge"/>
          <c:yMode val="edge"/>
          <c:x val="3.4337707786526693E-2"/>
          <c:y val="0.84844579141062437"/>
          <c:w val="0.93509474512125423"/>
          <c:h val="0.13741991217756025"/>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000000000000011" l="0.70000000000000007" r="0.70000000000000007" t="0.75000000000000011" header="0.30000000000000004" footer="0.30000000000000004"/>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9.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drawing1.xml><?xml version="1.0" encoding="utf-8"?>
<xdr:wsDr xmlns:xdr="http://schemas.openxmlformats.org/drawingml/2006/spreadsheetDrawing" xmlns:a="http://schemas.openxmlformats.org/drawingml/2006/main">
  <xdr:twoCellAnchor>
    <xdr:from>
      <xdr:col>0</xdr:col>
      <xdr:colOff>323849</xdr:colOff>
      <xdr:row>5</xdr:row>
      <xdr:rowOff>4762</xdr:rowOff>
    </xdr:from>
    <xdr:to>
      <xdr:col>4</xdr:col>
      <xdr:colOff>552450</xdr:colOff>
      <xdr:row>18</xdr:row>
      <xdr:rowOff>180976</xdr:rowOff>
    </xdr:to>
    <xdr:graphicFrame macro="">
      <xdr:nvGraphicFramePr>
        <xdr:cNvPr id="2" name="Gráfico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257175</xdr:colOff>
      <xdr:row>5</xdr:row>
      <xdr:rowOff>9525</xdr:rowOff>
    </xdr:from>
    <xdr:to>
      <xdr:col>9</xdr:col>
      <xdr:colOff>485776</xdr:colOff>
      <xdr:row>18</xdr:row>
      <xdr:rowOff>185739</xdr:rowOff>
    </xdr:to>
    <xdr:graphicFrame macro="">
      <xdr:nvGraphicFramePr>
        <xdr:cNvPr id="3" name="Gráfico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342900</xdr:colOff>
      <xdr:row>22</xdr:row>
      <xdr:rowOff>142875</xdr:rowOff>
    </xdr:from>
    <xdr:to>
      <xdr:col>4</xdr:col>
      <xdr:colOff>571501</xdr:colOff>
      <xdr:row>36</xdr:row>
      <xdr:rowOff>128589</xdr:rowOff>
    </xdr:to>
    <xdr:graphicFrame macro="">
      <xdr:nvGraphicFramePr>
        <xdr:cNvPr id="5" name="Gráfico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xdr:col>
      <xdr:colOff>276224</xdr:colOff>
      <xdr:row>22</xdr:row>
      <xdr:rowOff>153987</xdr:rowOff>
    </xdr:from>
    <xdr:to>
      <xdr:col>9</xdr:col>
      <xdr:colOff>504825</xdr:colOff>
      <xdr:row>36</xdr:row>
      <xdr:rowOff>139701</xdr:rowOff>
    </xdr:to>
    <xdr:graphicFrame macro="">
      <xdr:nvGraphicFramePr>
        <xdr:cNvPr id="6" name="Gráfico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336550</xdr:colOff>
      <xdr:row>40</xdr:row>
      <xdr:rowOff>31750</xdr:rowOff>
    </xdr:from>
    <xdr:to>
      <xdr:col>4</xdr:col>
      <xdr:colOff>565151</xdr:colOff>
      <xdr:row>54</xdr:row>
      <xdr:rowOff>17464</xdr:rowOff>
    </xdr:to>
    <xdr:graphicFrame macro="">
      <xdr:nvGraphicFramePr>
        <xdr:cNvPr id="7" name="Gráfico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5</xdr:col>
      <xdr:colOff>282575</xdr:colOff>
      <xdr:row>40</xdr:row>
      <xdr:rowOff>53975</xdr:rowOff>
    </xdr:from>
    <xdr:to>
      <xdr:col>9</xdr:col>
      <xdr:colOff>511176</xdr:colOff>
      <xdr:row>54</xdr:row>
      <xdr:rowOff>39689</xdr:rowOff>
    </xdr:to>
    <xdr:graphicFrame macro="">
      <xdr:nvGraphicFramePr>
        <xdr:cNvPr id="8" name="Gráfico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333374</xdr:colOff>
      <xdr:row>57</xdr:row>
      <xdr:rowOff>188912</xdr:rowOff>
    </xdr:from>
    <xdr:to>
      <xdr:col>4</xdr:col>
      <xdr:colOff>561975</xdr:colOff>
      <xdr:row>71</xdr:row>
      <xdr:rowOff>174626</xdr:rowOff>
    </xdr:to>
    <xdr:graphicFrame macro="">
      <xdr:nvGraphicFramePr>
        <xdr:cNvPr id="10" name="Gráfico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5</xdr:col>
      <xdr:colOff>279400</xdr:colOff>
      <xdr:row>58</xdr:row>
      <xdr:rowOff>98425</xdr:rowOff>
    </xdr:from>
    <xdr:to>
      <xdr:col>9</xdr:col>
      <xdr:colOff>508001</xdr:colOff>
      <xdr:row>72</xdr:row>
      <xdr:rowOff>84139</xdr:rowOff>
    </xdr:to>
    <xdr:graphicFrame macro="">
      <xdr:nvGraphicFramePr>
        <xdr:cNvPr id="11" name="Gráfico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0</xdr:col>
      <xdr:colOff>317500</xdr:colOff>
      <xdr:row>76</xdr:row>
      <xdr:rowOff>69850</xdr:rowOff>
    </xdr:from>
    <xdr:to>
      <xdr:col>4</xdr:col>
      <xdr:colOff>546101</xdr:colOff>
      <xdr:row>90</xdr:row>
      <xdr:rowOff>55564</xdr:rowOff>
    </xdr:to>
    <xdr:graphicFrame macro="">
      <xdr:nvGraphicFramePr>
        <xdr:cNvPr id="12" name="Gráfico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5</xdr:col>
      <xdr:colOff>254000</xdr:colOff>
      <xdr:row>76</xdr:row>
      <xdr:rowOff>130175</xdr:rowOff>
    </xdr:from>
    <xdr:to>
      <xdr:col>9</xdr:col>
      <xdr:colOff>482601</xdr:colOff>
      <xdr:row>90</xdr:row>
      <xdr:rowOff>115889</xdr:rowOff>
    </xdr:to>
    <xdr:graphicFrame macro="">
      <xdr:nvGraphicFramePr>
        <xdr:cNvPr id="13" name="Gráfico 1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0</xdr:col>
      <xdr:colOff>292100</xdr:colOff>
      <xdr:row>94</xdr:row>
      <xdr:rowOff>76200</xdr:rowOff>
    </xdr:from>
    <xdr:to>
      <xdr:col>4</xdr:col>
      <xdr:colOff>520701</xdr:colOff>
      <xdr:row>108</xdr:row>
      <xdr:rowOff>61914</xdr:rowOff>
    </xdr:to>
    <xdr:graphicFrame macro="">
      <xdr:nvGraphicFramePr>
        <xdr:cNvPr id="16" name="Gráfico 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5</xdr:col>
      <xdr:colOff>273050</xdr:colOff>
      <xdr:row>94</xdr:row>
      <xdr:rowOff>53975</xdr:rowOff>
    </xdr:from>
    <xdr:to>
      <xdr:col>9</xdr:col>
      <xdr:colOff>501651</xdr:colOff>
      <xdr:row>108</xdr:row>
      <xdr:rowOff>39689</xdr:rowOff>
    </xdr:to>
    <xdr:graphicFrame macro="">
      <xdr:nvGraphicFramePr>
        <xdr:cNvPr id="17" name="Gráfico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0</xdr:col>
      <xdr:colOff>257174</xdr:colOff>
      <xdr:row>112</xdr:row>
      <xdr:rowOff>42862</xdr:rowOff>
    </xdr:from>
    <xdr:to>
      <xdr:col>4</xdr:col>
      <xdr:colOff>485775</xdr:colOff>
      <xdr:row>126</xdr:row>
      <xdr:rowOff>28576</xdr:rowOff>
    </xdr:to>
    <xdr:graphicFrame macro="">
      <xdr:nvGraphicFramePr>
        <xdr:cNvPr id="18" name="Gráfico 1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5</xdr:col>
      <xdr:colOff>217394</xdr:colOff>
      <xdr:row>112</xdr:row>
      <xdr:rowOff>84117</xdr:rowOff>
    </xdr:from>
    <xdr:to>
      <xdr:col>9</xdr:col>
      <xdr:colOff>445995</xdr:colOff>
      <xdr:row>126</xdr:row>
      <xdr:rowOff>69831</xdr:rowOff>
    </xdr:to>
    <xdr:graphicFrame macro="">
      <xdr:nvGraphicFramePr>
        <xdr:cNvPr id="22" name="Gráfico 2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0</xdr:col>
      <xdr:colOff>261845</xdr:colOff>
      <xdr:row>130</xdr:row>
      <xdr:rowOff>22205</xdr:rowOff>
    </xdr:from>
    <xdr:to>
      <xdr:col>4</xdr:col>
      <xdr:colOff>490446</xdr:colOff>
      <xdr:row>144</xdr:row>
      <xdr:rowOff>7919</xdr:rowOff>
    </xdr:to>
    <xdr:graphicFrame macro="">
      <xdr:nvGraphicFramePr>
        <xdr:cNvPr id="23" name="Gráfico 2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5</xdr:col>
      <xdr:colOff>198532</xdr:colOff>
      <xdr:row>130</xdr:row>
      <xdr:rowOff>11746</xdr:rowOff>
    </xdr:from>
    <xdr:to>
      <xdr:col>9</xdr:col>
      <xdr:colOff>427133</xdr:colOff>
      <xdr:row>143</xdr:row>
      <xdr:rowOff>187960</xdr:rowOff>
    </xdr:to>
    <xdr:graphicFrame macro="">
      <xdr:nvGraphicFramePr>
        <xdr:cNvPr id="24" name="Gráfico 2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0</xdr:col>
      <xdr:colOff>274732</xdr:colOff>
      <xdr:row>148</xdr:row>
      <xdr:rowOff>62546</xdr:rowOff>
    </xdr:from>
    <xdr:to>
      <xdr:col>4</xdr:col>
      <xdr:colOff>503333</xdr:colOff>
      <xdr:row>162</xdr:row>
      <xdr:rowOff>48260</xdr:rowOff>
    </xdr:to>
    <xdr:graphicFrame macro="">
      <xdr:nvGraphicFramePr>
        <xdr:cNvPr id="25" name="Gráfico 2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5</xdr:col>
      <xdr:colOff>180974</xdr:colOff>
      <xdr:row>148</xdr:row>
      <xdr:rowOff>84511</xdr:rowOff>
    </xdr:from>
    <xdr:to>
      <xdr:col>9</xdr:col>
      <xdr:colOff>409575</xdr:colOff>
      <xdr:row>162</xdr:row>
      <xdr:rowOff>70225</xdr:rowOff>
    </xdr:to>
    <xdr:graphicFrame macro="">
      <xdr:nvGraphicFramePr>
        <xdr:cNvPr id="26" name="Gráfico 2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0</xdr:col>
      <xdr:colOff>288925</xdr:colOff>
      <xdr:row>165</xdr:row>
      <xdr:rowOff>184524</xdr:rowOff>
    </xdr:from>
    <xdr:to>
      <xdr:col>4</xdr:col>
      <xdr:colOff>517526</xdr:colOff>
      <xdr:row>179</xdr:row>
      <xdr:rowOff>170238</xdr:rowOff>
    </xdr:to>
    <xdr:graphicFrame macro="">
      <xdr:nvGraphicFramePr>
        <xdr:cNvPr id="27" name="Gráfico 2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5</xdr:col>
      <xdr:colOff>201706</xdr:colOff>
      <xdr:row>166</xdr:row>
      <xdr:rowOff>59204</xdr:rowOff>
    </xdr:from>
    <xdr:to>
      <xdr:col>9</xdr:col>
      <xdr:colOff>430307</xdr:colOff>
      <xdr:row>180</xdr:row>
      <xdr:rowOff>44918</xdr:rowOff>
    </xdr:to>
    <xdr:graphicFrame macro="">
      <xdr:nvGraphicFramePr>
        <xdr:cNvPr id="28" name="Gráfico 2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0</xdr:col>
      <xdr:colOff>277907</xdr:colOff>
      <xdr:row>184</xdr:row>
      <xdr:rowOff>127467</xdr:rowOff>
    </xdr:from>
    <xdr:to>
      <xdr:col>4</xdr:col>
      <xdr:colOff>506508</xdr:colOff>
      <xdr:row>198</xdr:row>
      <xdr:rowOff>113181</xdr:rowOff>
    </xdr:to>
    <xdr:graphicFrame macro="">
      <xdr:nvGraphicFramePr>
        <xdr:cNvPr id="29" name="Gráfico 2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AJ140"/>
  <sheetViews>
    <sheetView workbookViewId="0">
      <selection activeCell="A5" sqref="A5"/>
    </sheetView>
  </sheetViews>
  <sheetFormatPr baseColWidth="10" defaultRowHeight="15" x14ac:dyDescent="0.25"/>
  <cols>
    <col min="1" max="1" width="60.28515625" bestFit="1" customWidth="1"/>
    <col min="2" max="2" width="51.42578125" customWidth="1"/>
    <col min="3" max="3" width="78.42578125" customWidth="1"/>
    <col min="4" max="4" width="67.28515625" bestFit="1" customWidth="1"/>
    <col min="5" max="5" width="84.42578125" bestFit="1" customWidth="1"/>
    <col min="6" max="6" width="83" customWidth="1"/>
    <col min="7" max="7" width="77.42578125" customWidth="1"/>
    <col min="8" max="8" width="80.28515625" customWidth="1"/>
    <col min="9" max="9" width="84.7109375" customWidth="1"/>
    <col min="10" max="10" width="70.5703125" customWidth="1"/>
    <col min="11" max="11" width="60.28515625" customWidth="1"/>
    <col min="12" max="12" width="57.85546875" customWidth="1"/>
    <col min="13" max="13" width="57.5703125" customWidth="1"/>
    <col min="14" max="14" width="57.85546875" customWidth="1"/>
    <col min="15" max="15" width="50.85546875" customWidth="1"/>
    <col min="16" max="16" width="56.42578125" customWidth="1"/>
    <col min="17" max="17" width="57.28515625" customWidth="1"/>
    <col min="18" max="19" width="60.28515625" customWidth="1"/>
    <col min="20" max="20" width="53" customWidth="1"/>
    <col min="21" max="21" width="53.7109375" customWidth="1"/>
    <col min="22" max="22" width="60.28515625" customWidth="1"/>
    <col min="23" max="23" width="61" customWidth="1"/>
    <col min="24" max="24" width="71.7109375" customWidth="1"/>
    <col min="25" max="25" width="93.5703125" customWidth="1"/>
    <col min="26" max="26" width="73.7109375" customWidth="1"/>
    <col min="27" max="27" width="95.42578125" customWidth="1"/>
    <col min="28" max="28" width="75.140625" customWidth="1"/>
    <col min="29" max="29" width="73.5703125" customWidth="1"/>
    <col min="30" max="30" width="64.140625" customWidth="1"/>
    <col min="31" max="31" width="52.7109375" customWidth="1"/>
    <col min="32" max="32" width="75.5703125" customWidth="1"/>
  </cols>
  <sheetData>
    <row r="1" spans="1:36" ht="18.75" x14ac:dyDescent="0.25">
      <c r="A1" s="111" t="s">
        <v>835</v>
      </c>
      <c r="B1" s="111" t="s">
        <v>836</v>
      </c>
      <c r="C1" s="111" t="s">
        <v>837</v>
      </c>
      <c r="D1" s="111" t="s">
        <v>838</v>
      </c>
      <c r="E1" s="111" t="s">
        <v>839</v>
      </c>
      <c r="F1" s="111" t="s">
        <v>840</v>
      </c>
      <c r="G1" s="111" t="s">
        <v>841</v>
      </c>
      <c r="H1" s="111" t="s">
        <v>842</v>
      </c>
      <c r="I1" s="111" t="s">
        <v>843</v>
      </c>
      <c r="J1" s="111" t="s">
        <v>844</v>
      </c>
      <c r="K1" s="111" t="s">
        <v>845</v>
      </c>
      <c r="L1" s="111" t="s">
        <v>846</v>
      </c>
      <c r="M1" s="111" t="s">
        <v>847</v>
      </c>
      <c r="N1" s="111" t="s">
        <v>848</v>
      </c>
      <c r="O1" s="111" t="s">
        <v>849</v>
      </c>
      <c r="P1" s="111" t="s">
        <v>850</v>
      </c>
      <c r="Q1" s="111" t="s">
        <v>851</v>
      </c>
      <c r="R1" s="111" t="s">
        <v>852</v>
      </c>
      <c r="S1" s="111" t="s">
        <v>853</v>
      </c>
      <c r="T1" s="111" t="s">
        <v>854</v>
      </c>
      <c r="U1" s="111" t="s">
        <v>855</v>
      </c>
      <c r="V1" s="111" t="s">
        <v>856</v>
      </c>
      <c r="W1" s="111" t="s">
        <v>857</v>
      </c>
      <c r="X1" s="111" t="s">
        <v>858</v>
      </c>
      <c r="Y1" s="111" t="s">
        <v>859</v>
      </c>
      <c r="Z1" s="111" t="s">
        <v>860</v>
      </c>
      <c r="AA1" s="111" t="s">
        <v>861</v>
      </c>
      <c r="AB1" s="111" t="s">
        <v>862</v>
      </c>
      <c r="AC1" s="111" t="s">
        <v>863</v>
      </c>
      <c r="AD1" s="111" t="s">
        <v>864</v>
      </c>
      <c r="AE1" s="111" t="s">
        <v>865</v>
      </c>
      <c r="AF1" s="111" t="s">
        <v>866</v>
      </c>
    </row>
    <row r="2" spans="1:36" ht="56.25" x14ac:dyDescent="0.25">
      <c r="A2" s="112" t="s">
        <v>867</v>
      </c>
      <c r="B2" s="112" t="s">
        <v>43</v>
      </c>
      <c r="C2" s="112" t="s">
        <v>868</v>
      </c>
      <c r="D2" s="112" t="s">
        <v>79</v>
      </c>
      <c r="E2" s="112" t="s">
        <v>869</v>
      </c>
      <c r="F2" s="112" t="s">
        <v>870</v>
      </c>
      <c r="G2" s="112" t="s">
        <v>871</v>
      </c>
      <c r="H2" s="112" t="s">
        <v>872</v>
      </c>
      <c r="I2" s="112" t="s">
        <v>873</v>
      </c>
      <c r="J2" s="112" t="s">
        <v>874</v>
      </c>
      <c r="K2" s="112" t="s">
        <v>875</v>
      </c>
      <c r="L2" s="112" t="s">
        <v>239</v>
      </c>
      <c r="M2" s="112" t="s">
        <v>240</v>
      </c>
      <c r="N2" s="112" t="s">
        <v>241</v>
      </c>
      <c r="O2" s="112" t="s">
        <v>242</v>
      </c>
      <c r="P2" s="112" t="s">
        <v>243</v>
      </c>
      <c r="Q2" s="112" t="s">
        <v>244</v>
      </c>
      <c r="R2" s="112" t="s">
        <v>245</v>
      </c>
      <c r="S2" s="112" t="s">
        <v>246</v>
      </c>
      <c r="T2" s="112" t="s">
        <v>247</v>
      </c>
      <c r="U2" s="112" t="s">
        <v>248</v>
      </c>
      <c r="V2" s="112" t="s">
        <v>249</v>
      </c>
      <c r="W2" s="112" t="s">
        <v>374</v>
      </c>
      <c r="X2" s="112" t="s">
        <v>375</v>
      </c>
      <c r="Y2" s="112" t="s">
        <v>376</v>
      </c>
      <c r="Z2" s="112" t="s">
        <v>383</v>
      </c>
      <c r="AA2" s="112" t="s">
        <v>625</v>
      </c>
      <c r="AB2" s="112" t="s">
        <v>435</v>
      </c>
      <c r="AC2" s="112" t="s">
        <v>436</v>
      </c>
      <c r="AD2" s="112" t="s">
        <v>444</v>
      </c>
      <c r="AE2" s="112" t="s">
        <v>466</v>
      </c>
      <c r="AF2" s="112" t="s">
        <v>471</v>
      </c>
    </row>
    <row r="3" spans="1:36" x14ac:dyDescent="0.25">
      <c r="A3" s="4" t="s">
        <v>102</v>
      </c>
      <c r="B3" s="5" t="s">
        <v>477</v>
      </c>
      <c r="C3" s="92" t="s">
        <v>58</v>
      </c>
      <c r="D3" s="5" t="s">
        <v>96</v>
      </c>
      <c r="E3" s="92" t="s">
        <v>108</v>
      </c>
      <c r="F3" s="5" t="s">
        <v>118</v>
      </c>
      <c r="G3" s="5" t="s">
        <v>131</v>
      </c>
      <c r="H3" s="4" t="s">
        <v>135</v>
      </c>
      <c r="I3" s="4" t="s">
        <v>147</v>
      </c>
      <c r="J3" s="4" t="s">
        <v>895</v>
      </c>
      <c r="K3" s="92" t="s">
        <v>533</v>
      </c>
      <c r="L3" s="5" t="s">
        <v>279</v>
      </c>
      <c r="M3" s="5" t="s">
        <v>908</v>
      </c>
      <c r="N3" s="5" t="s">
        <v>118</v>
      </c>
      <c r="O3" s="5" t="s">
        <v>279</v>
      </c>
      <c r="P3" s="5" t="s">
        <v>118</v>
      </c>
      <c r="Q3" s="5" t="s">
        <v>343</v>
      </c>
      <c r="R3" s="45" t="s">
        <v>279</v>
      </c>
      <c r="S3" s="45" t="s">
        <v>279</v>
      </c>
      <c r="T3" s="45" t="s">
        <v>279</v>
      </c>
      <c r="U3" s="45" t="s">
        <v>279</v>
      </c>
      <c r="V3" s="100" t="s">
        <v>118</v>
      </c>
      <c r="W3" s="100" t="s">
        <v>598</v>
      </c>
      <c r="X3" s="101" t="s">
        <v>118</v>
      </c>
      <c r="Y3" s="4" t="s">
        <v>619</v>
      </c>
      <c r="Z3" s="4" t="s">
        <v>386</v>
      </c>
      <c r="AA3" s="4" t="s">
        <v>941</v>
      </c>
      <c r="AB3" s="4" t="s">
        <v>404</v>
      </c>
      <c r="AC3" s="4" t="s">
        <v>426</v>
      </c>
      <c r="AD3" s="4" t="s">
        <v>445</v>
      </c>
      <c r="AE3" s="4" t="s">
        <v>461</v>
      </c>
      <c r="AF3" s="92" t="s">
        <v>660</v>
      </c>
      <c r="AI3" s="234"/>
      <c r="AJ3" s="234"/>
    </row>
    <row r="4" spans="1:36" x14ac:dyDescent="0.25">
      <c r="A4" t="s">
        <v>1</v>
      </c>
      <c r="B4" s="5" t="s">
        <v>479</v>
      </c>
      <c r="C4" s="93" t="s">
        <v>59</v>
      </c>
      <c r="D4" t="s">
        <v>107</v>
      </c>
      <c r="E4" s="93" t="s">
        <v>109</v>
      </c>
      <c r="F4" s="6" t="s">
        <v>894</v>
      </c>
      <c r="G4" t="s">
        <v>133</v>
      </c>
      <c r="H4" t="s">
        <v>136</v>
      </c>
      <c r="I4" s="5" t="s">
        <v>40</v>
      </c>
      <c r="J4" t="s">
        <v>896</v>
      </c>
      <c r="K4" s="94" t="s">
        <v>534</v>
      </c>
      <c r="L4" t="s">
        <v>280</v>
      </c>
      <c r="M4" t="s">
        <v>250</v>
      </c>
      <c r="N4" s="5" t="s">
        <v>125</v>
      </c>
      <c r="O4" t="s">
        <v>280</v>
      </c>
      <c r="P4" s="5" t="s">
        <v>125</v>
      </c>
      <c r="Q4" t="s">
        <v>344</v>
      </c>
      <c r="R4" s="46" t="s">
        <v>280</v>
      </c>
      <c r="S4" s="47" t="s">
        <v>280</v>
      </c>
      <c r="T4" s="2" t="s">
        <v>280</v>
      </c>
      <c r="U4" s="2" t="s">
        <v>280</v>
      </c>
      <c r="V4" s="46" t="s">
        <v>251</v>
      </c>
      <c r="W4" s="2" t="s">
        <v>599</v>
      </c>
      <c r="X4" s="2" t="s">
        <v>607</v>
      </c>
      <c r="Y4" s="88" t="s">
        <v>615</v>
      </c>
      <c r="Z4" s="90" t="s">
        <v>118</v>
      </c>
      <c r="AA4" s="4" t="s">
        <v>400</v>
      </c>
      <c r="AB4" t="s">
        <v>405</v>
      </c>
      <c r="AC4" s="4" t="s">
        <v>427</v>
      </c>
      <c r="AD4" s="4" t="s">
        <v>446</v>
      </c>
      <c r="AE4" s="4" t="s">
        <v>462</v>
      </c>
      <c r="AF4" s="92" t="s">
        <v>661</v>
      </c>
      <c r="AI4" s="234"/>
    </row>
    <row r="5" spans="1:36" x14ac:dyDescent="0.25">
      <c r="A5" t="s">
        <v>2</v>
      </c>
      <c r="B5" s="5" t="s">
        <v>478</v>
      </c>
      <c r="C5" s="93" t="s">
        <v>60</v>
      </c>
      <c r="D5" t="s">
        <v>95</v>
      </c>
      <c r="E5" s="93" t="s">
        <v>502</v>
      </c>
      <c r="F5" t="s">
        <v>119</v>
      </c>
      <c r="G5" s="5" t="s">
        <v>132</v>
      </c>
      <c r="H5" s="5" t="s">
        <v>145</v>
      </c>
      <c r="I5" s="5" t="s">
        <v>41</v>
      </c>
      <c r="J5" s="7" t="s">
        <v>524</v>
      </c>
      <c r="K5" s="94" t="s">
        <v>535</v>
      </c>
      <c r="L5" t="s">
        <v>281</v>
      </c>
      <c r="M5" t="s">
        <v>909</v>
      </c>
      <c r="N5" s="6" t="s">
        <v>269</v>
      </c>
      <c r="O5" t="s">
        <v>916</v>
      </c>
      <c r="P5" s="6" t="s">
        <v>269</v>
      </c>
      <c r="Q5" t="s">
        <v>345</v>
      </c>
      <c r="R5" s="48" t="s">
        <v>546</v>
      </c>
      <c r="S5" s="47" t="s">
        <v>283</v>
      </c>
      <c r="T5" s="2" t="s">
        <v>281</v>
      </c>
      <c r="U5" s="2" t="s">
        <v>281</v>
      </c>
      <c r="V5" s="2" t="s">
        <v>252</v>
      </c>
      <c r="W5" s="2" t="s">
        <v>600</v>
      </c>
      <c r="X5" s="6" t="s">
        <v>608</v>
      </c>
      <c r="Y5" s="88" t="s">
        <v>616</v>
      </c>
      <c r="Z5" t="s">
        <v>384</v>
      </c>
      <c r="AA5" s="4" t="s">
        <v>401</v>
      </c>
      <c r="AB5" s="4" t="s">
        <v>406</v>
      </c>
      <c r="AC5" s="4" t="s">
        <v>437</v>
      </c>
      <c r="AD5" s="4" t="s">
        <v>447</v>
      </c>
      <c r="AE5" s="4" t="s">
        <v>467</v>
      </c>
      <c r="AF5" s="92" t="s">
        <v>662</v>
      </c>
      <c r="AI5" s="234"/>
    </row>
    <row r="6" spans="1:36" x14ac:dyDescent="0.25">
      <c r="A6" t="s">
        <v>3</v>
      </c>
      <c r="B6" s="5" t="s">
        <v>84</v>
      </c>
      <c r="C6" s="93" t="s">
        <v>61</v>
      </c>
      <c r="D6" t="s">
        <v>29</v>
      </c>
      <c r="E6" s="93" t="s">
        <v>503</v>
      </c>
      <c r="F6" t="s">
        <v>120</v>
      </c>
      <c r="G6" t="s">
        <v>134</v>
      </c>
      <c r="H6" t="s">
        <v>146</v>
      </c>
      <c r="I6" s="5" t="s">
        <v>148</v>
      </c>
      <c r="J6" t="s">
        <v>897</v>
      </c>
      <c r="K6" s="92" t="s">
        <v>536</v>
      </c>
      <c r="L6" t="s">
        <v>284</v>
      </c>
      <c r="M6" t="s">
        <v>910</v>
      </c>
      <c r="N6" s="6" t="s">
        <v>271</v>
      </c>
      <c r="O6" t="s">
        <v>689</v>
      </c>
      <c r="P6" s="6" t="s">
        <v>271</v>
      </c>
      <c r="Q6" t="s">
        <v>346</v>
      </c>
      <c r="R6" s="6" t="s">
        <v>547</v>
      </c>
      <c r="S6" s="47" t="s">
        <v>286</v>
      </c>
      <c r="T6" s="2" t="s">
        <v>284</v>
      </c>
      <c r="U6" s="2" t="s">
        <v>284</v>
      </c>
      <c r="V6" s="2" t="s">
        <v>597</v>
      </c>
      <c r="W6" s="2" t="s">
        <v>601</v>
      </c>
      <c r="X6" s="2" t="s">
        <v>609</v>
      </c>
      <c r="Y6" s="88" t="s">
        <v>617</v>
      </c>
      <c r="Z6" t="s">
        <v>472</v>
      </c>
      <c r="AA6" s="4" t="s">
        <v>70</v>
      </c>
      <c r="AB6" t="s">
        <v>407</v>
      </c>
      <c r="AC6" s="4" t="s">
        <v>428</v>
      </c>
      <c r="AD6" s="4" t="s">
        <v>448</v>
      </c>
      <c r="AE6" s="4" t="s">
        <v>463</v>
      </c>
      <c r="AF6" s="92" t="s">
        <v>663</v>
      </c>
      <c r="AI6" s="234"/>
    </row>
    <row r="7" spans="1:36" x14ac:dyDescent="0.25">
      <c r="A7" t="s">
        <v>4</v>
      </c>
      <c r="B7" s="5" t="s">
        <v>88</v>
      </c>
      <c r="C7" s="93" t="s">
        <v>62</v>
      </c>
      <c r="D7" t="s">
        <v>809</v>
      </c>
      <c r="E7" s="93" t="s">
        <v>504</v>
      </c>
      <c r="F7" t="s">
        <v>121</v>
      </c>
      <c r="H7" s="5" t="s">
        <v>137</v>
      </c>
      <c r="I7" s="5" t="s">
        <v>101</v>
      </c>
      <c r="J7" t="s">
        <v>525</v>
      </c>
      <c r="K7" s="94" t="s">
        <v>537</v>
      </c>
      <c r="L7" t="s">
        <v>287</v>
      </c>
      <c r="M7" t="s">
        <v>253</v>
      </c>
      <c r="N7" s="2" t="s">
        <v>274</v>
      </c>
      <c r="O7" t="s">
        <v>917</v>
      </c>
      <c r="P7" s="2" t="s">
        <v>274</v>
      </c>
      <c r="Q7" s="5" t="s">
        <v>347</v>
      </c>
      <c r="R7" s="6" t="s">
        <v>548</v>
      </c>
      <c r="S7" s="47" t="s">
        <v>288</v>
      </c>
      <c r="T7" s="2" t="s">
        <v>287</v>
      </c>
      <c r="U7" s="2" t="s">
        <v>287</v>
      </c>
      <c r="V7" s="2" t="s">
        <v>254</v>
      </c>
      <c r="W7" s="2" t="s">
        <v>602</v>
      </c>
      <c r="X7" s="2" t="s">
        <v>610</v>
      </c>
      <c r="Y7" s="88" t="s">
        <v>618</v>
      </c>
      <c r="Z7" t="s">
        <v>473</v>
      </c>
      <c r="AA7" s="89" t="s">
        <v>402</v>
      </c>
      <c r="AB7" t="s">
        <v>408</v>
      </c>
      <c r="AC7" s="4" t="s">
        <v>438</v>
      </c>
      <c r="AD7" s="4" t="s">
        <v>449</v>
      </c>
      <c r="AE7" s="4" t="s">
        <v>468</v>
      </c>
      <c r="AF7" s="92" t="s">
        <v>664</v>
      </c>
      <c r="AI7" s="234"/>
    </row>
    <row r="8" spans="1:36" x14ac:dyDescent="0.25">
      <c r="A8" t="s">
        <v>5</v>
      </c>
      <c r="B8" s="5" t="s">
        <v>83</v>
      </c>
      <c r="C8" s="93" t="s">
        <v>480</v>
      </c>
      <c r="D8" s="5" t="s">
        <v>70</v>
      </c>
      <c r="E8" s="93" t="s">
        <v>505</v>
      </c>
      <c r="F8" t="s">
        <v>122</v>
      </c>
      <c r="H8" t="s">
        <v>138</v>
      </c>
      <c r="I8" s="5" t="s">
        <v>42</v>
      </c>
      <c r="J8" t="s">
        <v>526</v>
      </c>
      <c r="K8" s="92" t="s">
        <v>538</v>
      </c>
      <c r="L8" t="s">
        <v>290</v>
      </c>
      <c r="M8" t="s">
        <v>799</v>
      </c>
      <c r="N8" s="6" t="s">
        <v>275</v>
      </c>
      <c r="O8" t="s">
        <v>294</v>
      </c>
      <c r="P8" s="6" t="s">
        <v>275</v>
      </c>
      <c r="Q8" t="s">
        <v>348</v>
      </c>
      <c r="R8" s="46" t="s">
        <v>282</v>
      </c>
      <c r="S8" s="47" t="s">
        <v>289</v>
      </c>
      <c r="T8" s="2" t="s">
        <v>290</v>
      </c>
      <c r="U8" s="2" t="s">
        <v>290</v>
      </c>
      <c r="V8" s="2" t="s">
        <v>255</v>
      </c>
      <c r="W8" s="2" t="s">
        <v>603</v>
      </c>
      <c r="X8" s="101" t="s">
        <v>125</v>
      </c>
      <c r="Y8" s="4" t="s">
        <v>125</v>
      </c>
      <c r="Z8" s="9" t="s">
        <v>385</v>
      </c>
      <c r="AA8" s="88" t="s">
        <v>403</v>
      </c>
      <c r="AB8" t="s">
        <v>409</v>
      </c>
      <c r="AC8" s="4" t="s">
        <v>429</v>
      </c>
      <c r="AD8" s="4" t="s">
        <v>450</v>
      </c>
      <c r="AE8" s="4" t="s">
        <v>469</v>
      </c>
      <c r="AF8" s="92" t="s">
        <v>665</v>
      </c>
      <c r="AI8" s="234"/>
    </row>
    <row r="9" spans="1:36" x14ac:dyDescent="0.25">
      <c r="A9" s="5" t="s">
        <v>40</v>
      </c>
      <c r="B9" s="5" t="s">
        <v>884</v>
      </c>
      <c r="C9" s="93" t="s">
        <v>44</v>
      </c>
      <c r="D9" t="s">
        <v>501</v>
      </c>
      <c r="E9" s="92" t="s">
        <v>113</v>
      </c>
      <c r="F9" t="s">
        <v>123</v>
      </c>
      <c r="H9" s="5" t="s">
        <v>139</v>
      </c>
      <c r="I9" s="5" t="s">
        <v>149</v>
      </c>
      <c r="J9" t="s">
        <v>527</v>
      </c>
      <c r="K9" s="94" t="s">
        <v>539</v>
      </c>
      <c r="L9" t="s">
        <v>292</v>
      </c>
      <c r="M9" s="5" t="s">
        <v>911</v>
      </c>
      <c r="N9" s="2" t="s">
        <v>276</v>
      </c>
      <c r="O9" t="s">
        <v>296</v>
      </c>
      <c r="P9" s="2" t="s">
        <v>276</v>
      </c>
      <c r="Q9" t="s">
        <v>349</v>
      </c>
      <c r="R9" s="2" t="s">
        <v>549</v>
      </c>
      <c r="S9" s="47" t="s">
        <v>291</v>
      </c>
      <c r="T9" s="2" t="s">
        <v>292</v>
      </c>
      <c r="U9" s="2" t="s">
        <v>292</v>
      </c>
      <c r="V9" s="2" t="s">
        <v>929</v>
      </c>
      <c r="W9" s="2" t="s">
        <v>604</v>
      </c>
      <c r="X9" s="2" t="s">
        <v>611</v>
      </c>
      <c r="Y9" s="88" t="s">
        <v>936</v>
      </c>
      <c r="Z9" t="s">
        <v>387</v>
      </c>
      <c r="AB9" t="s">
        <v>410</v>
      </c>
      <c r="AC9" s="4" t="s">
        <v>430</v>
      </c>
      <c r="AD9" s="4" t="s">
        <v>451</v>
      </c>
      <c r="AE9" s="4" t="s">
        <v>470</v>
      </c>
      <c r="AF9" s="92" t="s">
        <v>666</v>
      </c>
      <c r="AI9" s="234"/>
    </row>
    <row r="10" spans="1:36" x14ac:dyDescent="0.25">
      <c r="A10" t="s">
        <v>6</v>
      </c>
      <c r="B10" s="5" t="s">
        <v>85</v>
      </c>
      <c r="C10" s="93" t="s">
        <v>72</v>
      </c>
      <c r="D10" t="s">
        <v>97</v>
      </c>
      <c r="E10" s="93" t="s">
        <v>506</v>
      </c>
      <c r="F10" t="s">
        <v>124</v>
      </c>
      <c r="H10" t="s">
        <v>140</v>
      </c>
      <c r="I10" s="5" t="s">
        <v>150</v>
      </c>
      <c r="J10" s="5" t="s">
        <v>528</v>
      </c>
      <c r="K10" s="92" t="s">
        <v>540</v>
      </c>
      <c r="L10" t="s">
        <v>293</v>
      </c>
      <c r="M10" t="s">
        <v>912</v>
      </c>
      <c r="N10" s="6" t="s">
        <v>277</v>
      </c>
      <c r="O10" s="5" t="s">
        <v>297</v>
      </c>
      <c r="P10" s="6" t="s">
        <v>277</v>
      </c>
      <c r="Q10" t="s">
        <v>350</v>
      </c>
      <c r="R10" s="2" t="s">
        <v>550</v>
      </c>
      <c r="S10" s="47" t="s">
        <v>292</v>
      </c>
      <c r="T10" s="2" t="s">
        <v>293</v>
      </c>
      <c r="U10" s="2" t="s">
        <v>293</v>
      </c>
      <c r="V10" s="6" t="s">
        <v>256</v>
      </c>
      <c r="W10" s="100" t="s">
        <v>605</v>
      </c>
      <c r="X10" s="2" t="s">
        <v>612</v>
      </c>
      <c r="Y10" s="87" t="s">
        <v>937</v>
      </c>
      <c r="Z10" t="s">
        <v>388</v>
      </c>
      <c r="AB10" t="s">
        <v>411</v>
      </c>
      <c r="AC10" s="4" t="s">
        <v>439</v>
      </c>
      <c r="AD10" s="4" t="s">
        <v>452</v>
      </c>
      <c r="AE10" s="4" t="s">
        <v>464</v>
      </c>
      <c r="AF10" s="92" t="s">
        <v>667</v>
      </c>
      <c r="AI10" s="234"/>
    </row>
    <row r="11" spans="1:36" x14ac:dyDescent="0.25">
      <c r="A11" t="s">
        <v>7</v>
      </c>
      <c r="B11" s="5" t="s">
        <v>86</v>
      </c>
      <c r="C11" s="93" t="s">
        <v>45</v>
      </c>
      <c r="D11" t="s">
        <v>76</v>
      </c>
      <c r="E11" s="92" t="s">
        <v>507</v>
      </c>
      <c r="F11" s="5" t="s">
        <v>125</v>
      </c>
      <c r="H11" s="7" t="s">
        <v>141</v>
      </c>
      <c r="J11" t="s">
        <v>529</v>
      </c>
      <c r="K11" s="94" t="s">
        <v>541</v>
      </c>
      <c r="L11" t="s">
        <v>295</v>
      </c>
      <c r="M11" t="s">
        <v>913</v>
      </c>
      <c r="N11" s="96" t="s">
        <v>278</v>
      </c>
      <c r="O11" t="s">
        <v>918</v>
      </c>
      <c r="P11" s="6" t="s">
        <v>278</v>
      </c>
      <c r="Q11" t="s">
        <v>351</v>
      </c>
      <c r="R11" s="6" t="s">
        <v>551</v>
      </c>
      <c r="S11" s="47" t="s">
        <v>296</v>
      </c>
      <c r="T11" s="2" t="s">
        <v>295</v>
      </c>
      <c r="U11" s="2" t="s">
        <v>295</v>
      </c>
      <c r="V11" s="46" t="s">
        <v>257</v>
      </c>
      <c r="W11" s="2" t="s">
        <v>145</v>
      </c>
      <c r="X11" s="2" t="s">
        <v>613</v>
      </c>
      <c r="Y11" s="87" t="s">
        <v>620</v>
      </c>
      <c r="Z11" t="s">
        <v>474</v>
      </c>
      <c r="AB11" s="4" t="s">
        <v>412</v>
      </c>
      <c r="AC11" s="4" t="s">
        <v>431</v>
      </c>
      <c r="AD11" s="4" t="s">
        <v>453</v>
      </c>
      <c r="AE11" s="4" t="s">
        <v>465</v>
      </c>
      <c r="AF11" s="92" t="s">
        <v>668</v>
      </c>
      <c r="AI11" s="234"/>
    </row>
    <row r="12" spans="1:36" x14ac:dyDescent="0.25">
      <c r="A12" t="s">
        <v>8</v>
      </c>
      <c r="B12" s="5" t="s">
        <v>87</v>
      </c>
      <c r="C12" s="92" t="s">
        <v>481</v>
      </c>
      <c r="D12" t="s">
        <v>98</v>
      </c>
      <c r="E12" s="93" t="s">
        <v>111</v>
      </c>
      <c r="F12" t="s">
        <v>126</v>
      </c>
      <c r="H12" t="s">
        <v>142</v>
      </c>
      <c r="I12" s="91"/>
      <c r="J12" t="s">
        <v>530</v>
      </c>
      <c r="K12" s="94" t="s">
        <v>542</v>
      </c>
      <c r="L12" s="5" t="s">
        <v>900</v>
      </c>
      <c r="M12" t="s">
        <v>273</v>
      </c>
      <c r="N12" s="95"/>
      <c r="O12" t="s">
        <v>299</v>
      </c>
      <c r="R12" s="46" t="s">
        <v>285</v>
      </c>
      <c r="S12" s="45" t="s">
        <v>900</v>
      </c>
      <c r="T12" s="45" t="s">
        <v>900</v>
      </c>
      <c r="U12" s="45" t="s">
        <v>900</v>
      </c>
      <c r="V12" s="6" t="s">
        <v>930</v>
      </c>
      <c r="W12" s="2" t="s">
        <v>606</v>
      </c>
      <c r="X12" s="2" t="s">
        <v>614</v>
      </c>
      <c r="Y12" s="88" t="s">
        <v>938</v>
      </c>
      <c r="Z12" t="s">
        <v>389</v>
      </c>
      <c r="AB12" s="8"/>
      <c r="AC12" s="4" t="s">
        <v>440</v>
      </c>
      <c r="AD12" s="4" t="s">
        <v>454</v>
      </c>
      <c r="AE12" s="4" t="s">
        <v>100</v>
      </c>
      <c r="AF12" s="92" t="s">
        <v>669</v>
      </c>
      <c r="AI12" s="234"/>
    </row>
    <row r="13" spans="1:36" x14ac:dyDescent="0.25">
      <c r="A13" s="5" t="s">
        <v>41</v>
      </c>
      <c r="B13" s="5" t="s">
        <v>29</v>
      </c>
      <c r="C13" s="93" t="s">
        <v>63</v>
      </c>
      <c r="D13" t="s">
        <v>99</v>
      </c>
      <c r="E13" s="93" t="s">
        <v>112</v>
      </c>
      <c r="F13" t="s">
        <v>893</v>
      </c>
      <c r="H13" s="5" t="s">
        <v>143</v>
      </c>
      <c r="J13" s="5" t="s">
        <v>531</v>
      </c>
      <c r="K13" s="94" t="s">
        <v>543</v>
      </c>
      <c r="L13" t="s">
        <v>901</v>
      </c>
      <c r="M13" s="6" t="s">
        <v>914</v>
      </c>
      <c r="N13" s="95"/>
      <c r="O13" t="s">
        <v>919</v>
      </c>
      <c r="R13" s="2" t="s">
        <v>552</v>
      </c>
      <c r="S13" s="47" t="s">
        <v>298</v>
      </c>
      <c r="T13" s="2" t="s">
        <v>901</v>
      </c>
      <c r="U13" s="2" t="s">
        <v>901</v>
      </c>
      <c r="V13" s="6" t="s">
        <v>258</v>
      </c>
      <c r="W13" s="2" t="s">
        <v>382</v>
      </c>
      <c r="Y13" s="88" t="s">
        <v>939</v>
      </c>
      <c r="Z13" t="s">
        <v>390</v>
      </c>
      <c r="AB13" t="s">
        <v>413</v>
      </c>
      <c r="AC13" s="4" t="s">
        <v>441</v>
      </c>
      <c r="AD13" s="4" t="s">
        <v>455</v>
      </c>
      <c r="AF13" s="92" t="s">
        <v>670</v>
      </c>
    </row>
    <row r="14" spans="1:36" x14ac:dyDescent="0.25">
      <c r="A14" t="s">
        <v>9</v>
      </c>
      <c r="C14" s="93" t="s">
        <v>64</v>
      </c>
      <c r="D14" t="s">
        <v>890</v>
      </c>
      <c r="E14" s="93" t="s">
        <v>508</v>
      </c>
      <c r="F14" t="s">
        <v>127</v>
      </c>
      <c r="H14" t="s">
        <v>144</v>
      </c>
      <c r="J14" t="s">
        <v>898</v>
      </c>
      <c r="K14" s="94" t="s">
        <v>544</v>
      </c>
      <c r="L14" t="s">
        <v>902</v>
      </c>
      <c r="M14" s="2" t="s">
        <v>915</v>
      </c>
      <c r="O14" s="6" t="s">
        <v>303</v>
      </c>
      <c r="R14" s="6" t="s">
        <v>553</v>
      </c>
      <c r="S14" s="47" t="s">
        <v>927</v>
      </c>
      <c r="T14" s="2" t="s">
        <v>902</v>
      </c>
      <c r="U14" s="2" t="s">
        <v>902</v>
      </c>
      <c r="V14" s="46" t="s">
        <v>931</v>
      </c>
      <c r="W14" s="2" t="s">
        <v>295</v>
      </c>
      <c r="Y14" s="88" t="s">
        <v>940</v>
      </c>
      <c r="Z14" t="s">
        <v>476</v>
      </c>
      <c r="AB14" t="s">
        <v>414</v>
      </c>
      <c r="AC14" s="4" t="s">
        <v>432</v>
      </c>
      <c r="AD14" s="4" t="s">
        <v>456</v>
      </c>
      <c r="AF14" s="92" t="s">
        <v>671</v>
      </c>
    </row>
    <row r="15" spans="1:36" x14ac:dyDescent="0.25">
      <c r="A15" t="s">
        <v>154</v>
      </c>
      <c r="C15" s="93" t="s">
        <v>65</v>
      </c>
      <c r="D15" t="s">
        <v>34</v>
      </c>
      <c r="E15" s="93" t="s">
        <v>509</v>
      </c>
      <c r="F15" t="s">
        <v>128</v>
      </c>
      <c r="J15" t="s">
        <v>799</v>
      </c>
      <c r="K15" s="110"/>
      <c r="L15" t="s">
        <v>300</v>
      </c>
      <c r="M15" t="s">
        <v>800</v>
      </c>
      <c r="O15" s="6" t="s">
        <v>306</v>
      </c>
      <c r="R15" s="46" t="s">
        <v>801</v>
      </c>
      <c r="S15" s="47" t="s">
        <v>802</v>
      </c>
      <c r="T15" s="2" t="s">
        <v>300</v>
      </c>
      <c r="U15" s="2" t="s">
        <v>300</v>
      </c>
      <c r="V15" s="2" t="s">
        <v>259</v>
      </c>
      <c r="Y15" s="4" t="s">
        <v>621</v>
      </c>
      <c r="Z15" t="s">
        <v>391</v>
      </c>
      <c r="AB15" s="87" t="s">
        <v>415</v>
      </c>
      <c r="AC15" s="4" t="s">
        <v>433</v>
      </c>
      <c r="AD15" s="4" t="s">
        <v>457</v>
      </c>
      <c r="AF15" s="92" t="s">
        <v>672</v>
      </c>
    </row>
    <row r="16" spans="1:36" x14ac:dyDescent="0.25">
      <c r="A16" t="s">
        <v>155</v>
      </c>
      <c r="C16" s="93" t="s">
        <v>66</v>
      </c>
      <c r="D16" t="s">
        <v>100</v>
      </c>
      <c r="E16" s="93" t="s">
        <v>510</v>
      </c>
      <c r="F16" t="s">
        <v>129</v>
      </c>
      <c r="J16" s="5" t="s">
        <v>532</v>
      </c>
      <c r="L16" t="s">
        <v>302</v>
      </c>
      <c r="O16" t="s">
        <v>295</v>
      </c>
      <c r="R16" s="97" t="s">
        <v>554</v>
      </c>
      <c r="S16" s="47" t="s">
        <v>308</v>
      </c>
      <c r="T16" s="2" t="s">
        <v>305</v>
      </c>
      <c r="U16" s="2" t="s">
        <v>305</v>
      </c>
      <c r="V16" s="2" t="s">
        <v>260</v>
      </c>
      <c r="Y16" s="88" t="s">
        <v>377</v>
      </c>
      <c r="Z16" t="s">
        <v>392</v>
      </c>
      <c r="AB16" t="s">
        <v>416</v>
      </c>
      <c r="AC16" s="4" t="s">
        <v>434</v>
      </c>
      <c r="AD16" s="4" t="s">
        <v>458</v>
      </c>
      <c r="AF16" s="92" t="s">
        <v>673</v>
      </c>
    </row>
    <row r="17" spans="1:32" x14ac:dyDescent="0.25">
      <c r="A17" t="s">
        <v>28</v>
      </c>
      <c r="C17" s="93" t="s">
        <v>67</v>
      </c>
      <c r="D17" s="5" t="s">
        <v>889</v>
      </c>
      <c r="E17" s="93" t="s">
        <v>511</v>
      </c>
      <c r="F17" t="s">
        <v>892</v>
      </c>
      <c r="J17" t="s">
        <v>899</v>
      </c>
      <c r="L17" t="s">
        <v>903</v>
      </c>
      <c r="O17" s="5" t="s">
        <v>315</v>
      </c>
      <c r="R17" s="47" t="s">
        <v>555</v>
      </c>
      <c r="S17" s="47" t="s">
        <v>311</v>
      </c>
      <c r="T17" s="2" t="s">
        <v>903</v>
      </c>
      <c r="U17" s="2" t="s">
        <v>903</v>
      </c>
      <c r="V17" s="46" t="s">
        <v>261</v>
      </c>
      <c r="Y17" s="88" t="s">
        <v>622</v>
      </c>
      <c r="Z17" s="4" t="s">
        <v>393</v>
      </c>
      <c r="AB17" t="s">
        <v>425</v>
      </c>
      <c r="AD17" s="4" t="s">
        <v>442</v>
      </c>
      <c r="AF17" s="92" t="s">
        <v>674</v>
      </c>
    </row>
    <row r="18" spans="1:32" x14ac:dyDescent="0.25">
      <c r="A18" t="s">
        <v>104</v>
      </c>
      <c r="C18" s="93" t="s">
        <v>482</v>
      </c>
      <c r="D18" t="s">
        <v>106</v>
      </c>
      <c r="E18" s="92" t="s">
        <v>114</v>
      </c>
      <c r="F18" t="s">
        <v>130</v>
      </c>
      <c r="L18" s="6" t="s">
        <v>309</v>
      </c>
      <c r="O18" t="s">
        <v>317</v>
      </c>
      <c r="R18" s="46" t="s">
        <v>292</v>
      </c>
      <c r="S18" s="47" t="s">
        <v>312</v>
      </c>
      <c r="T18" s="6" t="s">
        <v>309</v>
      </c>
      <c r="U18" s="6" t="s">
        <v>309</v>
      </c>
      <c r="V18" s="6" t="s">
        <v>262</v>
      </c>
      <c r="Y18" s="88" t="s">
        <v>378</v>
      </c>
      <c r="Z18" t="s">
        <v>394</v>
      </c>
      <c r="AB18" t="s">
        <v>417</v>
      </c>
      <c r="AD18" s="4" t="s">
        <v>443</v>
      </c>
      <c r="AF18" s="92" t="s">
        <v>675</v>
      </c>
    </row>
    <row r="19" spans="1:32" x14ac:dyDescent="0.25">
      <c r="A19" t="s">
        <v>105</v>
      </c>
      <c r="C19" s="93" t="s">
        <v>483</v>
      </c>
      <c r="D19" t="s">
        <v>888</v>
      </c>
      <c r="E19" s="93" t="s">
        <v>512</v>
      </c>
      <c r="L19" s="6" t="s">
        <v>313</v>
      </c>
      <c r="O19" t="s">
        <v>318</v>
      </c>
      <c r="R19" s="46" t="s">
        <v>293</v>
      </c>
      <c r="S19" s="47" t="s">
        <v>314</v>
      </c>
      <c r="T19" s="6" t="s">
        <v>313</v>
      </c>
      <c r="U19" s="6" t="s">
        <v>313</v>
      </c>
      <c r="V19" s="2" t="s">
        <v>263</v>
      </c>
      <c r="Y19" s="88" t="s">
        <v>379</v>
      </c>
      <c r="Z19" t="s">
        <v>395</v>
      </c>
      <c r="AB19" t="s">
        <v>418</v>
      </c>
      <c r="AD19" s="4" t="s">
        <v>459</v>
      </c>
      <c r="AF19" s="92" t="s">
        <v>676</v>
      </c>
    </row>
    <row r="20" spans="1:32" ht="30" x14ac:dyDescent="0.25">
      <c r="A20" s="5" t="s">
        <v>42</v>
      </c>
      <c r="C20" s="93" t="s">
        <v>68</v>
      </c>
      <c r="D20" t="s">
        <v>93</v>
      </c>
      <c r="E20" s="93" t="s">
        <v>513</v>
      </c>
      <c r="J20" s="2"/>
      <c r="L20" t="s">
        <v>295</v>
      </c>
      <c r="O20" t="s">
        <v>904</v>
      </c>
      <c r="R20" s="45" t="s">
        <v>900</v>
      </c>
      <c r="S20" s="47" t="s">
        <v>295</v>
      </c>
      <c r="T20" s="2" t="s">
        <v>295</v>
      </c>
      <c r="U20" s="2" t="s">
        <v>295</v>
      </c>
      <c r="V20" s="46" t="s">
        <v>264</v>
      </c>
      <c r="Y20" s="88" t="s">
        <v>380</v>
      </c>
      <c r="Z20" s="5" t="s">
        <v>396</v>
      </c>
      <c r="AB20" t="s">
        <v>419</v>
      </c>
      <c r="AD20" s="4" t="s">
        <v>460</v>
      </c>
      <c r="AF20" s="92" t="s">
        <v>677</v>
      </c>
    </row>
    <row r="21" spans="1:32" x14ac:dyDescent="0.25">
      <c r="A21" t="s">
        <v>10</v>
      </c>
      <c r="C21" s="93" t="s">
        <v>484</v>
      </c>
      <c r="D21" t="s">
        <v>94</v>
      </c>
      <c r="E21" s="93" t="s">
        <v>514</v>
      </c>
      <c r="L21" s="5" t="s">
        <v>315</v>
      </c>
      <c r="O21" t="s">
        <v>905</v>
      </c>
      <c r="R21" s="46" t="s">
        <v>920</v>
      </c>
      <c r="S21" s="45" t="s">
        <v>316</v>
      </c>
      <c r="T21" s="45" t="s">
        <v>315</v>
      </c>
      <c r="U21" s="45" t="s">
        <v>315</v>
      </c>
      <c r="V21" s="47" t="s">
        <v>265</v>
      </c>
      <c r="Y21" s="4" t="s">
        <v>381</v>
      </c>
      <c r="Z21" t="s">
        <v>475</v>
      </c>
      <c r="AB21" t="s">
        <v>420</v>
      </c>
      <c r="AF21" s="92" t="s">
        <v>678</v>
      </c>
    </row>
    <row r="22" spans="1:32" x14ac:dyDescent="0.25">
      <c r="A22" t="s">
        <v>11</v>
      </c>
      <c r="C22" s="93" t="s">
        <v>485</v>
      </c>
      <c r="D22" t="s">
        <v>80</v>
      </c>
      <c r="E22" s="93" t="s">
        <v>115</v>
      </c>
      <c r="L22" t="s">
        <v>317</v>
      </c>
      <c r="O22" t="s">
        <v>323</v>
      </c>
      <c r="R22" s="97" t="s">
        <v>559</v>
      </c>
      <c r="S22" s="47" t="s">
        <v>926</v>
      </c>
      <c r="T22" s="2" t="s">
        <v>317</v>
      </c>
      <c r="U22" s="2" t="s">
        <v>317</v>
      </c>
      <c r="V22" s="47" t="s">
        <v>266</v>
      </c>
      <c r="Y22" s="88" t="s">
        <v>623</v>
      </c>
      <c r="Z22" t="s">
        <v>397</v>
      </c>
      <c r="AB22" t="s">
        <v>421</v>
      </c>
      <c r="AF22" s="92" t="s">
        <v>679</v>
      </c>
    </row>
    <row r="23" spans="1:32" x14ac:dyDescent="0.25">
      <c r="A23" t="s">
        <v>12</v>
      </c>
      <c r="C23" s="93" t="s">
        <v>486</v>
      </c>
      <c r="D23" t="s">
        <v>39</v>
      </c>
      <c r="E23" s="93" t="s">
        <v>515</v>
      </c>
      <c r="L23" t="s">
        <v>318</v>
      </c>
      <c r="O23" t="s">
        <v>324</v>
      </c>
      <c r="R23" s="97" t="s">
        <v>560</v>
      </c>
      <c r="S23" s="47" t="s">
        <v>319</v>
      </c>
      <c r="T23" s="2" t="s">
        <v>318</v>
      </c>
      <c r="U23" s="2" t="s">
        <v>318</v>
      </c>
      <c r="V23" s="47" t="s">
        <v>932</v>
      </c>
      <c r="Y23" s="88" t="s">
        <v>624</v>
      </c>
      <c r="Z23" t="s">
        <v>398</v>
      </c>
      <c r="AB23" t="s">
        <v>422</v>
      </c>
      <c r="AF23" s="92" t="s">
        <v>680</v>
      </c>
    </row>
    <row r="24" spans="1:32" x14ac:dyDescent="0.25">
      <c r="A24" t="s">
        <v>13</v>
      </c>
      <c r="C24" s="93" t="s">
        <v>487</v>
      </c>
      <c r="D24" t="s">
        <v>81</v>
      </c>
      <c r="E24" s="93" t="s">
        <v>116</v>
      </c>
      <c r="L24" t="s">
        <v>904</v>
      </c>
      <c r="O24" t="s">
        <v>325</v>
      </c>
      <c r="R24" s="98" t="s">
        <v>921</v>
      </c>
      <c r="S24" s="47" t="s">
        <v>205</v>
      </c>
      <c r="T24" s="6" t="s">
        <v>904</v>
      </c>
      <c r="U24" s="6" t="s">
        <v>320</v>
      </c>
      <c r="V24" s="97" t="s">
        <v>267</v>
      </c>
      <c r="Z24" t="s">
        <v>399</v>
      </c>
      <c r="AB24" s="4" t="s">
        <v>423</v>
      </c>
      <c r="AF24" s="92" t="s">
        <v>681</v>
      </c>
    </row>
    <row r="25" spans="1:32" x14ac:dyDescent="0.25">
      <c r="A25" t="s">
        <v>14</v>
      </c>
      <c r="C25" s="93" t="s">
        <v>488</v>
      </c>
      <c r="D25" t="s">
        <v>82</v>
      </c>
      <c r="E25" s="93" t="s">
        <v>117</v>
      </c>
      <c r="L25" t="s">
        <v>905</v>
      </c>
      <c r="O25" t="s">
        <v>295</v>
      </c>
      <c r="R25" s="46" t="s">
        <v>301</v>
      </c>
      <c r="S25" s="47" t="s">
        <v>925</v>
      </c>
      <c r="T25" s="2" t="s">
        <v>905</v>
      </c>
      <c r="U25" s="2" t="s">
        <v>321</v>
      </c>
      <c r="V25" s="47" t="s">
        <v>268</v>
      </c>
      <c r="AB25" t="s">
        <v>424</v>
      </c>
      <c r="AF25" s="92" t="s">
        <v>682</v>
      </c>
    </row>
    <row r="26" spans="1:32" x14ac:dyDescent="0.25">
      <c r="A26" t="s">
        <v>15</v>
      </c>
      <c r="C26" s="93" t="s">
        <v>51</v>
      </c>
      <c r="D26" t="s">
        <v>60</v>
      </c>
      <c r="E26" s="93" t="s">
        <v>516</v>
      </c>
      <c r="L26" t="s">
        <v>323</v>
      </c>
      <c r="O26" s="5" t="s">
        <v>329</v>
      </c>
      <c r="R26" s="46" t="s">
        <v>304</v>
      </c>
      <c r="S26" s="47" t="s">
        <v>326</v>
      </c>
      <c r="T26" s="2" t="s">
        <v>323</v>
      </c>
      <c r="U26" s="2" t="s">
        <v>323</v>
      </c>
      <c r="V26" s="47" t="s">
        <v>933</v>
      </c>
      <c r="AF26" s="92" t="s">
        <v>683</v>
      </c>
    </row>
    <row r="27" spans="1:32" x14ac:dyDescent="0.25">
      <c r="A27" t="s">
        <v>16</v>
      </c>
      <c r="C27" s="93" t="s">
        <v>52</v>
      </c>
      <c r="D27" t="s">
        <v>887</v>
      </c>
      <c r="E27" s="93" t="s">
        <v>517</v>
      </c>
      <c r="L27" t="s">
        <v>324</v>
      </c>
      <c r="O27" t="s">
        <v>906</v>
      </c>
      <c r="R27" s="46" t="s">
        <v>307</v>
      </c>
      <c r="S27" s="47" t="s">
        <v>295</v>
      </c>
      <c r="T27" s="2" t="s">
        <v>928</v>
      </c>
      <c r="U27" s="2" t="s">
        <v>324</v>
      </c>
      <c r="V27" s="47" t="s">
        <v>934</v>
      </c>
      <c r="AF27" s="92" t="s">
        <v>684</v>
      </c>
    </row>
    <row r="28" spans="1:32" x14ac:dyDescent="0.25">
      <c r="A28" t="s">
        <v>17</v>
      </c>
      <c r="C28" s="93" t="s">
        <v>53</v>
      </c>
      <c r="D28" t="s">
        <v>886</v>
      </c>
      <c r="E28" s="92" t="s">
        <v>110</v>
      </c>
      <c r="L28" t="s">
        <v>325</v>
      </c>
      <c r="O28" t="s">
        <v>331</v>
      </c>
      <c r="R28" s="97" t="s">
        <v>556</v>
      </c>
      <c r="S28" s="5" t="s">
        <v>352</v>
      </c>
      <c r="T28" s="2" t="s">
        <v>325</v>
      </c>
      <c r="U28" s="2" t="s">
        <v>325</v>
      </c>
      <c r="V28" s="47" t="s">
        <v>935</v>
      </c>
      <c r="AF28" s="92" t="s">
        <v>685</v>
      </c>
    </row>
    <row r="29" spans="1:32" x14ac:dyDescent="0.25">
      <c r="A29" t="s">
        <v>18</v>
      </c>
      <c r="C29" s="93" t="s">
        <v>54</v>
      </c>
      <c r="D29" t="s">
        <v>523</v>
      </c>
      <c r="E29" s="93" t="s">
        <v>518</v>
      </c>
      <c r="L29" t="s">
        <v>295</v>
      </c>
      <c r="O29" t="s">
        <v>332</v>
      </c>
      <c r="R29" s="97" t="s">
        <v>922</v>
      </c>
      <c r="S29" t="s">
        <v>353</v>
      </c>
      <c r="T29" s="2" t="s">
        <v>295</v>
      </c>
      <c r="U29" s="2" t="s">
        <v>295</v>
      </c>
      <c r="V29" s="100" t="s">
        <v>125</v>
      </c>
      <c r="AF29" s="92" t="s">
        <v>686</v>
      </c>
    </row>
    <row r="30" spans="1:32" x14ac:dyDescent="0.25">
      <c r="A30" t="s">
        <v>20</v>
      </c>
      <c r="C30" s="92" t="s">
        <v>70</v>
      </c>
      <c r="D30" t="s">
        <v>885</v>
      </c>
      <c r="E30" s="92" t="s">
        <v>519</v>
      </c>
      <c r="L30" s="5" t="s">
        <v>329</v>
      </c>
      <c r="O30" t="s">
        <v>333</v>
      </c>
      <c r="R30" s="46" t="s">
        <v>310</v>
      </c>
      <c r="S30" t="s">
        <v>354</v>
      </c>
      <c r="T30" s="45" t="s">
        <v>329</v>
      </c>
      <c r="U30" s="45" t="s">
        <v>329</v>
      </c>
      <c r="V30" s="2" t="s">
        <v>270</v>
      </c>
      <c r="AF30" s="92" t="s">
        <v>687</v>
      </c>
    </row>
    <row r="31" spans="1:32" x14ac:dyDescent="0.25">
      <c r="A31" t="s">
        <v>21</v>
      </c>
      <c r="C31" s="93" t="s">
        <v>489</v>
      </c>
      <c r="D31" t="s">
        <v>89</v>
      </c>
      <c r="E31" s="93" t="s">
        <v>520</v>
      </c>
      <c r="L31" t="s">
        <v>906</v>
      </c>
      <c r="O31" t="s">
        <v>334</v>
      </c>
      <c r="R31" s="97" t="s">
        <v>557</v>
      </c>
      <c r="S31" t="s">
        <v>355</v>
      </c>
      <c r="T31" s="6" t="s">
        <v>906</v>
      </c>
      <c r="U31" s="6" t="s">
        <v>906</v>
      </c>
      <c r="V31" s="6" t="s">
        <v>272</v>
      </c>
      <c r="AF31" s="92" t="s">
        <v>688</v>
      </c>
    </row>
    <row r="32" spans="1:32" x14ac:dyDescent="0.25">
      <c r="A32" t="s">
        <v>22</v>
      </c>
      <c r="C32" s="93" t="s">
        <v>490</v>
      </c>
      <c r="D32" t="s">
        <v>90</v>
      </c>
      <c r="E32" s="93" t="s">
        <v>521</v>
      </c>
      <c r="L32" t="s">
        <v>331</v>
      </c>
      <c r="O32" s="5" t="s">
        <v>335</v>
      </c>
      <c r="R32" s="47" t="s">
        <v>558</v>
      </c>
      <c r="S32" t="s">
        <v>356</v>
      </c>
      <c r="T32" s="2" t="s">
        <v>331</v>
      </c>
      <c r="U32" s="2" t="s">
        <v>331</v>
      </c>
    </row>
    <row r="33" spans="1:28" ht="30" x14ac:dyDescent="0.25">
      <c r="A33" t="s">
        <v>799</v>
      </c>
      <c r="C33" s="93" t="s">
        <v>491</v>
      </c>
      <c r="D33" t="s">
        <v>91</v>
      </c>
      <c r="E33" s="93" t="s">
        <v>522</v>
      </c>
      <c r="L33" t="s">
        <v>332</v>
      </c>
      <c r="O33" s="2" t="s">
        <v>336</v>
      </c>
      <c r="R33" s="47" t="s">
        <v>561</v>
      </c>
      <c r="S33" t="s">
        <v>357</v>
      </c>
      <c r="T33" s="2" t="s">
        <v>332</v>
      </c>
      <c r="U33" s="2" t="s">
        <v>332</v>
      </c>
    </row>
    <row r="34" spans="1:28" ht="30" x14ac:dyDescent="0.25">
      <c r="A34" t="s">
        <v>23</v>
      </c>
      <c r="C34" s="93" t="s">
        <v>492</v>
      </c>
      <c r="D34" t="s">
        <v>92</v>
      </c>
      <c r="E34" s="5" t="s">
        <v>519</v>
      </c>
      <c r="L34" t="s">
        <v>333</v>
      </c>
      <c r="O34" s="2" t="s">
        <v>338</v>
      </c>
      <c r="R34" s="46" t="s">
        <v>295</v>
      </c>
      <c r="S34" t="s">
        <v>358</v>
      </c>
      <c r="T34" s="2" t="s">
        <v>333</v>
      </c>
      <c r="U34" s="2" t="s">
        <v>333</v>
      </c>
    </row>
    <row r="35" spans="1:28" x14ac:dyDescent="0.25">
      <c r="A35" t="s">
        <v>24</v>
      </c>
      <c r="C35" s="93" t="s">
        <v>216</v>
      </c>
      <c r="E35" t="s">
        <v>891</v>
      </c>
      <c r="L35" t="s">
        <v>334</v>
      </c>
      <c r="O35" s="99" t="s">
        <v>340</v>
      </c>
      <c r="R35" s="45" t="s">
        <v>315</v>
      </c>
      <c r="S35" s="5" t="s">
        <v>359</v>
      </c>
      <c r="T35" s="2" t="s">
        <v>334</v>
      </c>
      <c r="U35" s="2" t="s">
        <v>334</v>
      </c>
    </row>
    <row r="36" spans="1:28" ht="30" x14ac:dyDescent="0.25">
      <c r="A36" t="s">
        <v>876</v>
      </c>
      <c r="C36" s="93" t="s">
        <v>71</v>
      </c>
      <c r="L36" t="s">
        <v>295</v>
      </c>
      <c r="O36" s="2" t="s">
        <v>341</v>
      </c>
      <c r="R36" s="46" t="s">
        <v>317</v>
      </c>
      <c r="S36" t="s">
        <v>360</v>
      </c>
      <c r="T36" s="2" t="s">
        <v>295</v>
      </c>
      <c r="U36" s="2" t="s">
        <v>295</v>
      </c>
    </row>
    <row r="37" spans="1:28" x14ac:dyDescent="0.25">
      <c r="A37" t="s">
        <v>25</v>
      </c>
      <c r="C37" s="93" t="s">
        <v>73</v>
      </c>
      <c r="L37" s="5" t="s">
        <v>335</v>
      </c>
      <c r="O37" s="6" t="s">
        <v>342</v>
      </c>
      <c r="R37" s="6" t="s">
        <v>562</v>
      </c>
      <c r="S37" t="s">
        <v>361</v>
      </c>
      <c r="T37" s="45" t="s">
        <v>335</v>
      </c>
      <c r="U37" s="45" t="s">
        <v>335</v>
      </c>
    </row>
    <row r="38" spans="1:28" x14ac:dyDescent="0.25">
      <c r="A38" t="s">
        <v>80</v>
      </c>
      <c r="C38" s="93" t="s">
        <v>74</v>
      </c>
      <c r="L38" s="6" t="s">
        <v>907</v>
      </c>
      <c r="O38" s="6" t="s">
        <v>545</v>
      </c>
      <c r="R38" s="6" t="s">
        <v>563</v>
      </c>
      <c r="S38" t="s">
        <v>362</v>
      </c>
      <c r="T38" s="6" t="s">
        <v>907</v>
      </c>
      <c r="U38" s="6" t="s">
        <v>924</v>
      </c>
      <c r="AB38" s="8"/>
    </row>
    <row r="39" spans="1:28" x14ac:dyDescent="0.25">
      <c r="A39" t="s">
        <v>26</v>
      </c>
      <c r="C39" s="93" t="s">
        <v>493</v>
      </c>
      <c r="L39" t="s">
        <v>337</v>
      </c>
      <c r="O39" s="2"/>
      <c r="R39" s="46" t="s">
        <v>318</v>
      </c>
      <c r="S39" t="s">
        <v>363</v>
      </c>
      <c r="T39" s="2" t="s">
        <v>337</v>
      </c>
      <c r="U39" s="2" t="s">
        <v>337</v>
      </c>
    </row>
    <row r="40" spans="1:28" x14ac:dyDescent="0.25">
      <c r="A40" t="s">
        <v>877</v>
      </c>
      <c r="C40" s="93" t="s">
        <v>75</v>
      </c>
      <c r="L40" s="6" t="s">
        <v>339</v>
      </c>
      <c r="R40" s="2" t="s">
        <v>564</v>
      </c>
      <c r="S40" t="s">
        <v>364</v>
      </c>
      <c r="T40" s="6" t="s">
        <v>339</v>
      </c>
      <c r="U40" s="6" t="s">
        <v>339</v>
      </c>
    </row>
    <row r="41" spans="1:28" x14ac:dyDescent="0.25">
      <c r="A41" t="s">
        <v>27</v>
      </c>
      <c r="C41" s="93" t="s">
        <v>76</v>
      </c>
      <c r="L41" t="s">
        <v>295</v>
      </c>
      <c r="O41" s="2"/>
      <c r="R41" s="46" t="s">
        <v>904</v>
      </c>
      <c r="S41" t="s">
        <v>365</v>
      </c>
      <c r="T41" s="2" t="s">
        <v>295</v>
      </c>
      <c r="U41" s="2" t="s">
        <v>295</v>
      </c>
    </row>
    <row r="42" spans="1:28" x14ac:dyDescent="0.25">
      <c r="A42" t="s">
        <v>807</v>
      </c>
      <c r="C42" s="93" t="s">
        <v>77</v>
      </c>
      <c r="O42" s="2"/>
      <c r="R42" s="47" t="s">
        <v>565</v>
      </c>
      <c r="S42" t="s">
        <v>366</v>
      </c>
      <c r="T42" s="2"/>
      <c r="U42" s="2"/>
    </row>
    <row r="43" spans="1:28" x14ac:dyDescent="0.25">
      <c r="A43" t="s">
        <v>878</v>
      </c>
      <c r="C43" s="93" t="s">
        <v>494</v>
      </c>
      <c r="O43" s="2"/>
      <c r="R43" s="97" t="s">
        <v>566</v>
      </c>
      <c r="T43" s="2"/>
      <c r="U43" s="2"/>
      <c r="AB43" s="8"/>
    </row>
    <row r="44" spans="1:28" x14ac:dyDescent="0.25">
      <c r="A44" t="s">
        <v>879</v>
      </c>
      <c r="C44" s="93" t="s">
        <v>78</v>
      </c>
      <c r="O44" s="2"/>
      <c r="R44" s="97" t="s">
        <v>567</v>
      </c>
      <c r="S44" t="s">
        <v>296</v>
      </c>
      <c r="U44" s="2"/>
    </row>
    <row r="45" spans="1:28" x14ac:dyDescent="0.25">
      <c r="A45" t="s">
        <v>880</v>
      </c>
      <c r="C45" s="93" t="s">
        <v>46</v>
      </c>
      <c r="L45" s="2"/>
      <c r="R45" s="46" t="s">
        <v>322</v>
      </c>
      <c r="T45" s="2"/>
    </row>
    <row r="46" spans="1:28" x14ac:dyDescent="0.25">
      <c r="A46" t="s">
        <v>881</v>
      </c>
      <c r="C46" s="93" t="s">
        <v>47</v>
      </c>
      <c r="L46" s="2"/>
      <c r="R46" s="47" t="s">
        <v>568</v>
      </c>
      <c r="T46" s="2"/>
      <c r="U46" s="2"/>
      <c r="AB46" s="8"/>
    </row>
    <row r="47" spans="1:28" x14ac:dyDescent="0.25">
      <c r="A47" t="s">
        <v>29</v>
      </c>
      <c r="C47" s="93" t="s">
        <v>48</v>
      </c>
      <c r="L47" s="2"/>
      <c r="R47" s="47" t="s">
        <v>569</v>
      </c>
      <c r="T47" s="2"/>
      <c r="U47" s="2"/>
      <c r="AB47" s="87"/>
    </row>
    <row r="48" spans="1:28" x14ac:dyDescent="0.25">
      <c r="A48" t="s">
        <v>30</v>
      </c>
      <c r="C48" s="93" t="s">
        <v>49</v>
      </c>
      <c r="R48" s="46" t="s">
        <v>323</v>
      </c>
      <c r="U48" s="2"/>
      <c r="AB48" s="87"/>
    </row>
    <row r="49" spans="1:28" x14ac:dyDescent="0.25">
      <c r="A49" t="s">
        <v>882</v>
      </c>
      <c r="C49" s="93" t="s">
        <v>495</v>
      </c>
      <c r="R49" s="46" t="s">
        <v>923</v>
      </c>
      <c r="U49" s="2"/>
      <c r="AB49" s="87"/>
    </row>
    <row r="50" spans="1:28" x14ac:dyDescent="0.25">
      <c r="A50" t="s">
        <v>31</v>
      </c>
      <c r="C50" s="93" t="s">
        <v>496</v>
      </c>
      <c r="R50" s="46" t="s">
        <v>326</v>
      </c>
      <c r="T50" s="2"/>
    </row>
    <row r="51" spans="1:28" ht="30" x14ac:dyDescent="0.25">
      <c r="A51" t="s">
        <v>32</v>
      </c>
      <c r="C51" s="93" t="s">
        <v>50</v>
      </c>
      <c r="R51" s="46" t="s">
        <v>327</v>
      </c>
      <c r="T51" s="2"/>
      <c r="U51" s="2"/>
    </row>
    <row r="52" spans="1:28" x14ac:dyDescent="0.25">
      <c r="A52" t="s">
        <v>33</v>
      </c>
      <c r="C52" s="93" t="s">
        <v>55</v>
      </c>
      <c r="R52" s="46" t="s">
        <v>328</v>
      </c>
      <c r="T52" s="2"/>
      <c r="U52" s="2"/>
    </row>
    <row r="53" spans="1:28" x14ac:dyDescent="0.25">
      <c r="A53" t="s">
        <v>34</v>
      </c>
      <c r="C53" s="93" t="s">
        <v>56</v>
      </c>
      <c r="R53" s="46" t="s">
        <v>295</v>
      </c>
      <c r="U53" s="2"/>
    </row>
    <row r="54" spans="1:28" x14ac:dyDescent="0.25">
      <c r="A54" t="s">
        <v>35</v>
      </c>
      <c r="C54" s="93" t="s">
        <v>497</v>
      </c>
      <c r="R54" s="45" t="s">
        <v>329</v>
      </c>
    </row>
    <row r="55" spans="1:28" x14ac:dyDescent="0.25">
      <c r="A55" s="5" t="s">
        <v>103</v>
      </c>
      <c r="C55" s="93" t="s">
        <v>57</v>
      </c>
      <c r="R55" s="46" t="s">
        <v>330</v>
      </c>
    </row>
    <row r="56" spans="1:28" x14ac:dyDescent="0.25">
      <c r="A56" t="s">
        <v>36</v>
      </c>
      <c r="C56" s="93" t="s">
        <v>498</v>
      </c>
      <c r="R56" s="6" t="s">
        <v>570</v>
      </c>
    </row>
    <row r="57" spans="1:28" x14ac:dyDescent="0.25">
      <c r="A57" t="s">
        <v>37</v>
      </c>
      <c r="C57" s="93" t="s">
        <v>69</v>
      </c>
      <c r="R57" s="6" t="s">
        <v>571</v>
      </c>
    </row>
    <row r="58" spans="1:28" x14ac:dyDescent="0.25">
      <c r="A58" t="s">
        <v>38</v>
      </c>
      <c r="C58" s="93" t="s">
        <v>499</v>
      </c>
      <c r="R58" s="2" t="s">
        <v>572</v>
      </c>
    </row>
    <row r="59" spans="1:28" x14ac:dyDescent="0.25">
      <c r="A59" t="s">
        <v>500</v>
      </c>
      <c r="C59" s="93" t="s">
        <v>500</v>
      </c>
      <c r="R59" s="6" t="s">
        <v>573</v>
      </c>
      <c r="U59" s="2"/>
    </row>
    <row r="60" spans="1:28" x14ac:dyDescent="0.25">
      <c r="A60" t="s">
        <v>883</v>
      </c>
      <c r="C60" s="87"/>
      <c r="R60" s="2" t="s">
        <v>574</v>
      </c>
      <c r="U60" s="2"/>
    </row>
    <row r="61" spans="1:28" x14ac:dyDescent="0.25">
      <c r="A61" t="s">
        <v>19</v>
      </c>
      <c r="E61" s="5"/>
      <c r="R61" s="46" t="s">
        <v>331</v>
      </c>
      <c r="U61" s="2"/>
    </row>
    <row r="62" spans="1:28" x14ac:dyDescent="0.25">
      <c r="E62" s="2"/>
      <c r="R62" s="2" t="s">
        <v>575</v>
      </c>
      <c r="T62" s="2"/>
      <c r="U62" s="2"/>
    </row>
    <row r="63" spans="1:28" x14ac:dyDescent="0.25">
      <c r="R63" s="6" t="s">
        <v>576</v>
      </c>
      <c r="T63" s="2"/>
      <c r="U63" s="2"/>
    </row>
    <row r="64" spans="1:28" x14ac:dyDescent="0.25">
      <c r="L64" s="2"/>
      <c r="R64" s="6" t="s">
        <v>577</v>
      </c>
      <c r="T64" s="2"/>
    </row>
    <row r="65" spans="12:21" x14ac:dyDescent="0.25">
      <c r="L65" s="2"/>
      <c r="R65" s="46" t="s">
        <v>332</v>
      </c>
      <c r="T65" s="2"/>
    </row>
    <row r="66" spans="12:21" x14ac:dyDescent="0.25">
      <c r="L66" s="2"/>
      <c r="R66" s="47" t="s">
        <v>578</v>
      </c>
      <c r="T66" s="2"/>
    </row>
    <row r="67" spans="12:21" x14ac:dyDescent="0.25">
      <c r="L67" s="2"/>
      <c r="R67" s="97" t="s">
        <v>579</v>
      </c>
      <c r="T67" s="2"/>
    </row>
    <row r="68" spans="12:21" x14ac:dyDescent="0.25">
      <c r="L68" s="2"/>
      <c r="R68" s="97" t="s">
        <v>580</v>
      </c>
    </row>
    <row r="69" spans="12:21" x14ac:dyDescent="0.25">
      <c r="L69" s="2"/>
      <c r="O69" s="2"/>
      <c r="R69" s="46" t="s">
        <v>333</v>
      </c>
    </row>
    <row r="70" spans="12:21" x14ac:dyDescent="0.25">
      <c r="O70" s="2"/>
      <c r="R70" s="47" t="s">
        <v>578</v>
      </c>
    </row>
    <row r="71" spans="12:21" x14ac:dyDescent="0.25">
      <c r="O71" s="2"/>
      <c r="R71" s="47" t="s">
        <v>581</v>
      </c>
    </row>
    <row r="72" spans="12:21" x14ac:dyDescent="0.25">
      <c r="R72" s="46" t="s">
        <v>334</v>
      </c>
    </row>
    <row r="73" spans="12:21" x14ac:dyDescent="0.25">
      <c r="R73" s="47" t="s">
        <v>582</v>
      </c>
    </row>
    <row r="74" spans="12:21" x14ac:dyDescent="0.25">
      <c r="R74" s="47" t="s">
        <v>583</v>
      </c>
    </row>
    <row r="75" spans="12:21" x14ac:dyDescent="0.25">
      <c r="R75" s="46" t="s">
        <v>295</v>
      </c>
    </row>
    <row r="76" spans="12:21" x14ac:dyDescent="0.25">
      <c r="R76" s="45" t="s">
        <v>335</v>
      </c>
      <c r="U76" s="2"/>
    </row>
    <row r="77" spans="12:21" ht="30" x14ac:dyDescent="0.25">
      <c r="R77" s="46" t="s">
        <v>924</v>
      </c>
      <c r="S77" s="47"/>
      <c r="U77" s="2"/>
    </row>
    <row r="78" spans="12:21" x14ac:dyDescent="0.25">
      <c r="R78" s="2" t="s">
        <v>584</v>
      </c>
      <c r="S78" s="46"/>
    </row>
    <row r="79" spans="12:21" x14ac:dyDescent="0.25">
      <c r="R79" s="2" t="s">
        <v>585</v>
      </c>
      <c r="S79" s="45"/>
    </row>
    <row r="80" spans="12:21" x14ac:dyDescent="0.25">
      <c r="R80" s="2" t="s">
        <v>586</v>
      </c>
      <c r="S80" s="46"/>
    </row>
    <row r="81" spans="18:19" x14ac:dyDescent="0.25">
      <c r="R81" s="2" t="s">
        <v>587</v>
      </c>
      <c r="S81" s="2"/>
    </row>
    <row r="82" spans="18:19" x14ac:dyDescent="0.25">
      <c r="R82" s="6" t="s">
        <v>588</v>
      </c>
      <c r="S82" s="2"/>
    </row>
    <row r="83" spans="18:19" x14ac:dyDescent="0.25">
      <c r="R83" s="6" t="s">
        <v>589</v>
      </c>
      <c r="S83" s="2"/>
    </row>
    <row r="84" spans="18:19" x14ac:dyDescent="0.25">
      <c r="R84" s="46" t="s">
        <v>337</v>
      </c>
      <c r="S84" s="2"/>
    </row>
    <row r="85" spans="18:19" x14ac:dyDescent="0.25">
      <c r="R85" s="97" t="s">
        <v>590</v>
      </c>
      <c r="S85" s="2"/>
    </row>
    <row r="86" spans="18:19" x14ac:dyDescent="0.25">
      <c r="R86" s="97" t="s">
        <v>591</v>
      </c>
      <c r="S86" s="2"/>
    </row>
    <row r="87" spans="18:19" x14ac:dyDescent="0.25">
      <c r="R87" s="97" t="s">
        <v>592</v>
      </c>
      <c r="S87" s="46"/>
    </row>
    <row r="88" spans="18:19" x14ac:dyDescent="0.25">
      <c r="R88" s="47" t="s">
        <v>593</v>
      </c>
      <c r="S88" s="47"/>
    </row>
    <row r="89" spans="18:19" x14ac:dyDescent="0.25">
      <c r="R89" s="98" t="s">
        <v>339</v>
      </c>
      <c r="S89" s="47"/>
    </row>
    <row r="90" spans="18:19" x14ac:dyDescent="0.25">
      <c r="R90" s="47" t="s">
        <v>596</v>
      </c>
      <c r="S90" s="47"/>
    </row>
    <row r="91" spans="18:19" x14ac:dyDescent="0.25">
      <c r="R91" s="97" t="s">
        <v>594</v>
      </c>
      <c r="S91" s="47"/>
    </row>
    <row r="92" spans="18:19" x14ac:dyDescent="0.25">
      <c r="R92" s="47" t="s">
        <v>595</v>
      </c>
      <c r="S92" s="46"/>
    </row>
    <row r="93" spans="18:19" x14ac:dyDescent="0.25">
      <c r="R93" s="46" t="s">
        <v>295</v>
      </c>
      <c r="S93" s="47"/>
    </row>
    <row r="94" spans="18:19" x14ac:dyDescent="0.25">
      <c r="S94" s="47"/>
    </row>
    <row r="95" spans="18:19" x14ac:dyDescent="0.25">
      <c r="S95" s="47"/>
    </row>
    <row r="96" spans="18:19" x14ac:dyDescent="0.25">
      <c r="S96" s="46"/>
    </row>
    <row r="99" spans="22:22" x14ac:dyDescent="0.25">
      <c r="V99" s="45"/>
    </row>
    <row r="100" spans="22:22" x14ac:dyDescent="0.25">
      <c r="V100" s="46"/>
    </row>
    <row r="101" spans="22:22" x14ac:dyDescent="0.25">
      <c r="V101" s="2"/>
    </row>
    <row r="102" spans="22:22" x14ac:dyDescent="0.25">
      <c r="V102" s="2"/>
    </row>
    <row r="103" spans="22:22" x14ac:dyDescent="0.25">
      <c r="V103" s="2"/>
    </row>
    <row r="104" spans="22:22" x14ac:dyDescent="0.25">
      <c r="V104" s="2"/>
    </row>
    <row r="105" spans="22:22" x14ac:dyDescent="0.25">
      <c r="V105" s="2"/>
    </row>
    <row r="106" spans="22:22" x14ac:dyDescent="0.25">
      <c r="V106" s="2"/>
    </row>
    <row r="107" spans="22:22" x14ac:dyDescent="0.25">
      <c r="V107" s="46"/>
    </row>
    <row r="108" spans="22:22" x14ac:dyDescent="0.25">
      <c r="V108" s="2"/>
    </row>
    <row r="109" spans="22:22" x14ac:dyDescent="0.25">
      <c r="V109" s="2"/>
    </row>
    <row r="110" spans="22:22" x14ac:dyDescent="0.25">
      <c r="V110" s="46"/>
    </row>
    <row r="111" spans="22:22" x14ac:dyDescent="0.25">
      <c r="V111" s="2"/>
    </row>
    <row r="112" spans="22:22" x14ac:dyDescent="0.25">
      <c r="V112" s="2"/>
    </row>
    <row r="113" spans="7:22" x14ac:dyDescent="0.25">
      <c r="V113" s="46"/>
    </row>
    <row r="114" spans="7:22" x14ac:dyDescent="0.25">
      <c r="V114" s="2"/>
    </row>
    <row r="115" spans="7:22" x14ac:dyDescent="0.25">
      <c r="V115" s="2"/>
    </row>
    <row r="116" spans="7:22" x14ac:dyDescent="0.25">
      <c r="V116" s="46"/>
    </row>
    <row r="117" spans="7:22" x14ac:dyDescent="0.25">
      <c r="V117" s="47"/>
    </row>
    <row r="118" spans="7:22" x14ac:dyDescent="0.25">
      <c r="V118" s="47"/>
    </row>
    <row r="119" spans="7:22" x14ac:dyDescent="0.25">
      <c r="V119" s="47"/>
    </row>
    <row r="120" spans="7:22" x14ac:dyDescent="0.25">
      <c r="V120" s="47"/>
    </row>
    <row r="121" spans="7:22" x14ac:dyDescent="0.25">
      <c r="V121" s="47"/>
    </row>
    <row r="122" spans="7:22" x14ac:dyDescent="0.25">
      <c r="G122" s="5"/>
      <c r="H122" s="5"/>
      <c r="I122" s="5"/>
      <c r="V122" s="47"/>
    </row>
    <row r="123" spans="7:22" x14ac:dyDescent="0.25">
      <c r="G123" s="6"/>
      <c r="H123" s="6"/>
      <c r="I123" s="6"/>
      <c r="V123" s="47"/>
    </row>
    <row r="124" spans="7:22" x14ac:dyDescent="0.25">
      <c r="V124" s="47"/>
    </row>
    <row r="125" spans="7:22" x14ac:dyDescent="0.25">
      <c r="V125" s="45"/>
    </row>
    <row r="126" spans="7:22" x14ac:dyDescent="0.25">
      <c r="V126" s="2"/>
    </row>
    <row r="127" spans="7:22" x14ac:dyDescent="0.25">
      <c r="V127" s="2"/>
    </row>
    <row r="129" spans="1:22" x14ac:dyDescent="0.25">
      <c r="V129" s="2"/>
    </row>
    <row r="130" spans="1:22" x14ac:dyDescent="0.25">
      <c r="G130" s="5"/>
      <c r="H130" s="5"/>
      <c r="I130" s="5"/>
      <c r="V130" s="2"/>
    </row>
    <row r="131" spans="1:22" x14ac:dyDescent="0.25">
      <c r="E131" s="2"/>
      <c r="V131" s="2"/>
    </row>
    <row r="132" spans="1:22" x14ac:dyDescent="0.25">
      <c r="E132" s="3"/>
      <c r="V132" s="2"/>
    </row>
    <row r="133" spans="1:22" x14ac:dyDescent="0.25">
      <c r="E133" s="2"/>
    </row>
    <row r="134" spans="1:22" x14ac:dyDescent="0.25">
      <c r="E134" s="2"/>
    </row>
    <row r="135" spans="1:22" x14ac:dyDescent="0.25">
      <c r="E135" s="2"/>
    </row>
    <row r="137" spans="1:22" x14ac:dyDescent="0.25">
      <c r="E137" s="2"/>
    </row>
    <row r="140" spans="1:22" x14ac:dyDescent="0.25">
      <c r="A140" s="6"/>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dimension ref="A1:J183"/>
  <sheetViews>
    <sheetView showGridLines="0" tabSelected="1" zoomScale="136" zoomScaleNormal="136" workbookViewId="0">
      <selection activeCell="F187" sqref="F187"/>
    </sheetView>
  </sheetViews>
  <sheetFormatPr baseColWidth="10" defaultRowHeight="15" x14ac:dyDescent="0.25"/>
  <sheetData>
    <row r="1" spans="1:10" x14ac:dyDescent="0.25">
      <c r="A1" s="250" t="s">
        <v>975</v>
      </c>
      <c r="B1" s="250"/>
      <c r="C1" s="250"/>
      <c r="D1" s="250"/>
      <c r="E1" s="250"/>
      <c r="F1" s="250"/>
      <c r="G1" s="250"/>
      <c r="H1" s="250"/>
      <c r="I1" s="250"/>
      <c r="J1" s="250"/>
    </row>
    <row r="2" spans="1:10" x14ac:dyDescent="0.25">
      <c r="A2" s="250"/>
      <c r="B2" s="250"/>
      <c r="C2" s="250"/>
      <c r="D2" s="250"/>
      <c r="E2" s="250"/>
      <c r="F2" s="250"/>
      <c r="G2" s="250"/>
      <c r="H2" s="250"/>
      <c r="I2" s="250"/>
      <c r="J2" s="250"/>
    </row>
    <row r="3" spans="1:10" ht="23.25" x14ac:dyDescent="0.35">
      <c r="A3" s="244"/>
      <c r="B3" s="244"/>
      <c r="C3" s="244"/>
      <c r="D3" s="244"/>
      <c r="E3" s="244"/>
      <c r="F3" s="244"/>
      <c r="G3" s="244"/>
      <c r="H3" s="244"/>
      <c r="I3" s="244"/>
      <c r="J3" s="244"/>
    </row>
    <row r="4" spans="1:10" ht="23.25" x14ac:dyDescent="0.35">
      <c r="A4" s="244"/>
      <c r="B4" s="250" t="s">
        <v>976</v>
      </c>
      <c r="C4" s="250"/>
      <c r="D4" s="244"/>
      <c r="E4" s="244"/>
      <c r="F4" s="244"/>
      <c r="G4" s="244"/>
      <c r="H4" s="244"/>
      <c r="I4" s="244"/>
      <c r="J4" s="244"/>
    </row>
    <row r="22" spans="4:5" ht="23.25" x14ac:dyDescent="0.35">
      <c r="D22" s="247" t="s">
        <v>977</v>
      </c>
      <c r="E22" s="247"/>
    </row>
    <row r="39" spans="2:3" ht="26.25" x14ac:dyDescent="0.4">
      <c r="B39" s="248" t="s">
        <v>978</v>
      </c>
      <c r="C39" s="249"/>
    </row>
    <row r="57" spans="2:3" ht="23.25" x14ac:dyDescent="0.35">
      <c r="B57" s="247" t="s">
        <v>983</v>
      </c>
      <c r="C57" s="247"/>
    </row>
    <row r="75" spans="2:3" ht="26.25" x14ac:dyDescent="0.4">
      <c r="B75" s="248" t="s">
        <v>1014</v>
      </c>
      <c r="C75" s="248"/>
    </row>
    <row r="93" spans="2:3" ht="23.25" x14ac:dyDescent="0.35">
      <c r="B93" s="247" t="s">
        <v>1015</v>
      </c>
      <c r="C93" s="247"/>
    </row>
    <row r="111" spans="3:4" ht="23.25" x14ac:dyDescent="0.35">
      <c r="C111" s="247" t="s">
        <v>1016</v>
      </c>
      <c r="D111" s="249"/>
    </row>
    <row r="129" spans="3:4" ht="23.25" x14ac:dyDescent="0.35">
      <c r="C129" s="247" t="s">
        <v>1017</v>
      </c>
      <c r="D129" s="247"/>
    </row>
    <row r="147" spans="2:3" ht="23.25" x14ac:dyDescent="0.35">
      <c r="B147" s="247" t="s">
        <v>1018</v>
      </c>
      <c r="C147" s="247"/>
    </row>
    <row r="165" spans="3:4" ht="23.25" x14ac:dyDescent="0.35">
      <c r="C165" s="247" t="s">
        <v>1019</v>
      </c>
      <c r="D165" s="247"/>
    </row>
    <row r="183" spans="3:4" ht="23.25" x14ac:dyDescent="0.35">
      <c r="C183" s="247" t="s">
        <v>1020</v>
      </c>
      <c r="D183" s="247"/>
    </row>
  </sheetData>
  <mergeCells count="12">
    <mergeCell ref="A1:J2"/>
    <mergeCell ref="B4:C4"/>
    <mergeCell ref="D22:E22"/>
    <mergeCell ref="B39:C39"/>
    <mergeCell ref="B57:C57"/>
    <mergeCell ref="C165:D165"/>
    <mergeCell ref="C183:D183"/>
    <mergeCell ref="B75:C75"/>
    <mergeCell ref="B93:C93"/>
    <mergeCell ref="C111:D111"/>
    <mergeCell ref="C129:D129"/>
    <mergeCell ref="B147:C147"/>
  </mergeCells>
  <pageMargins left="0.70866141732283472" right="0.70866141732283472" top="0.74803149606299213" bottom="0.74803149606299213" header="0.31496062992125984" footer="0.31496062992125984"/>
  <pageSetup orientation="landscape"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KQ35"/>
  <sheetViews>
    <sheetView workbookViewId="0"/>
  </sheetViews>
  <sheetFormatPr baseColWidth="10" defaultColWidth="8" defaultRowHeight="12" x14ac:dyDescent="0.2"/>
  <cols>
    <col min="1" max="1" width="20.42578125" style="209" customWidth="1"/>
    <col min="2" max="2" width="28.7109375" style="209" bestFit="1" customWidth="1"/>
    <col min="3" max="3" width="18.7109375" style="209" customWidth="1"/>
    <col min="4" max="4" width="3.140625" style="211" bestFit="1" customWidth="1"/>
    <col min="5" max="5" width="14.85546875" style="210" customWidth="1"/>
    <col min="6" max="6" width="9.140625" style="209" customWidth="1"/>
    <col min="7" max="8" width="3.5703125" style="209" customWidth="1"/>
    <col min="9" max="9" width="9.42578125" style="209" customWidth="1"/>
    <col min="10" max="10" width="12.42578125" style="209" customWidth="1"/>
    <col min="11" max="11" width="5" style="211" customWidth="1"/>
    <col min="12" max="12" width="9.28515625" style="209" customWidth="1"/>
    <col min="13" max="13" width="10" style="209" customWidth="1"/>
    <col min="14" max="15" width="3.85546875" style="209" customWidth="1"/>
    <col min="16" max="16" width="10.28515625" style="211" customWidth="1"/>
    <col min="17" max="17" width="9.5703125" style="209" customWidth="1"/>
    <col min="18" max="18" width="6.140625" style="209" customWidth="1"/>
    <col min="19" max="19" width="3.140625" style="209" bestFit="1" customWidth="1"/>
    <col min="20" max="20" width="9.42578125" style="209" customWidth="1"/>
    <col min="21" max="21" width="11.28515625" style="209" customWidth="1"/>
    <col min="22" max="22" width="3.140625" style="209" bestFit="1" customWidth="1"/>
    <col min="23" max="24" width="3.85546875" style="209" bestFit="1" customWidth="1"/>
    <col min="25" max="25" width="10.140625" style="209" customWidth="1"/>
    <col min="26" max="26" width="11" style="209" customWidth="1"/>
    <col min="27" max="28" width="3.140625" style="209" bestFit="1" customWidth="1"/>
    <col min="29" max="29" width="7.5703125" style="209" customWidth="1"/>
    <col min="30" max="30" width="9.28515625" style="209" customWidth="1"/>
    <col min="31" max="32" width="3.140625" style="209" bestFit="1" customWidth="1"/>
    <col min="33" max="33" width="9.5703125" style="209" customWidth="1"/>
    <col min="34" max="34" width="10" style="209" customWidth="1"/>
    <col min="35" max="36" width="3.140625" style="209" bestFit="1" customWidth="1"/>
    <col min="37" max="37" width="7.85546875" style="209" customWidth="1"/>
    <col min="38" max="38" width="10.140625" style="209" customWidth="1"/>
    <col min="39" max="40" width="3.140625" style="209" bestFit="1" customWidth="1"/>
    <col min="41" max="42" width="8" style="209"/>
    <col min="43" max="44" width="3.140625" style="209" bestFit="1" customWidth="1"/>
    <col min="45" max="46" width="8" style="209"/>
    <col min="47" max="48" width="3.140625" style="209" bestFit="1" customWidth="1"/>
    <col min="49" max="49" width="8" style="209"/>
    <col min="50" max="50" width="9.140625" style="209" customWidth="1"/>
    <col min="51" max="51" width="3.140625" style="209" bestFit="1" customWidth="1"/>
    <col min="52" max="52" width="3.85546875" style="209" customWidth="1"/>
    <col min="53" max="53" width="9.85546875" style="209" customWidth="1"/>
    <col min="54" max="54" width="11.28515625" style="209" customWidth="1"/>
    <col min="55" max="56" width="3.140625" style="209" bestFit="1" customWidth="1"/>
    <col min="57" max="57" width="8" style="209"/>
    <col min="58" max="58" width="10.85546875" style="209" bestFit="1" customWidth="1"/>
    <col min="59" max="60" width="3.140625" style="209" bestFit="1" customWidth="1"/>
    <col min="61" max="62" width="8" style="209"/>
    <col min="63" max="64" width="3.140625" style="209" bestFit="1" customWidth="1"/>
    <col min="65" max="66" width="8" style="209"/>
    <col min="67" max="68" width="3.140625" style="209" bestFit="1" customWidth="1"/>
    <col min="69" max="70" width="8" style="209"/>
    <col min="71" max="72" width="3.140625" style="209" bestFit="1" customWidth="1"/>
    <col min="73" max="74" width="8" style="209"/>
    <col min="75" max="76" width="3.140625" style="209" bestFit="1" customWidth="1"/>
    <col min="77" max="78" width="8" style="209"/>
    <col min="79" max="80" width="3.140625" style="209" bestFit="1" customWidth="1"/>
    <col min="81" max="81" width="8" style="209"/>
    <col min="82" max="82" width="9.5703125" style="209" customWidth="1"/>
    <col min="83" max="84" width="3.140625" style="209" bestFit="1" customWidth="1"/>
    <col min="85" max="86" width="8" style="209"/>
    <col min="87" max="88" width="3.140625" style="209" bestFit="1" customWidth="1"/>
    <col min="89" max="90" width="8" style="209"/>
    <col min="91" max="92" width="3.5703125" style="209" bestFit="1" customWidth="1"/>
    <col min="93" max="93" width="9.28515625" style="209" customWidth="1"/>
    <col min="94" max="94" width="10.28515625" style="209" customWidth="1"/>
    <col min="95" max="95" width="3.140625" style="209" bestFit="1" customWidth="1"/>
    <col min="96" max="96" width="3.5703125" style="209" bestFit="1" customWidth="1"/>
    <col min="97" max="98" width="10.42578125" style="209" customWidth="1"/>
    <col min="99" max="99" width="8.42578125" style="209" bestFit="1" customWidth="1"/>
    <col min="100" max="100" width="3.85546875" style="209" customWidth="1"/>
    <col min="101" max="101" width="9.28515625" style="209" customWidth="1"/>
    <col min="102" max="102" width="10.5703125" style="209" customWidth="1"/>
    <col min="103" max="103" width="8" style="209"/>
    <col min="104" max="104" width="3.140625" style="209" bestFit="1" customWidth="1"/>
    <col min="105" max="107" width="8" style="209"/>
    <col min="108" max="108" width="3.140625" style="209" bestFit="1" customWidth="1"/>
    <col min="109" max="111" width="8" style="209"/>
    <col min="112" max="112" width="3.140625" style="209" bestFit="1" customWidth="1"/>
    <col min="113" max="115" width="8" style="209"/>
    <col min="116" max="116" width="3.140625" style="209" bestFit="1" customWidth="1"/>
    <col min="117" max="119" width="8" style="209"/>
    <col min="120" max="120" width="3.140625" style="209" bestFit="1" customWidth="1"/>
    <col min="121" max="123" width="8" style="209"/>
    <col min="124" max="124" width="3.140625" style="209" bestFit="1" customWidth="1"/>
    <col min="125" max="127" width="8" style="209"/>
    <col min="128" max="128" width="3.140625" style="209" bestFit="1" customWidth="1"/>
    <col min="129" max="131" width="8" style="209"/>
    <col min="132" max="132" width="3.140625" style="209" bestFit="1" customWidth="1"/>
    <col min="133" max="135" width="8" style="209"/>
    <col min="136" max="136" width="3.140625" style="209" bestFit="1" customWidth="1"/>
    <col min="137" max="139" width="8" style="209"/>
    <col min="140" max="140" width="3.140625" style="209" bestFit="1" customWidth="1"/>
    <col min="141" max="143" width="8" style="209"/>
    <col min="144" max="144" width="3.140625" style="209" bestFit="1" customWidth="1"/>
    <col min="145" max="147" width="8" style="209"/>
    <col min="148" max="148" width="3.140625" style="209" bestFit="1" customWidth="1"/>
    <col min="149" max="149" width="10.85546875" style="209" customWidth="1"/>
    <col min="150" max="150" width="8" style="209"/>
    <col min="151" max="151" width="3.140625" style="209" bestFit="1" customWidth="1"/>
    <col min="152" max="153" width="8" style="209"/>
    <col min="154" max="154" width="3.140625" style="209" bestFit="1" customWidth="1"/>
    <col min="155" max="165" width="8" style="209"/>
    <col min="166" max="167" width="3.140625" style="209" bestFit="1" customWidth="1"/>
    <col min="168" max="168" width="8" style="209"/>
    <col min="169" max="169" width="3.140625" style="209" bestFit="1" customWidth="1"/>
    <col min="170" max="170" width="9.85546875" style="209" customWidth="1"/>
    <col min="171" max="171" width="10.85546875" style="209" customWidth="1"/>
    <col min="172" max="172" width="8.5703125" style="209" customWidth="1"/>
    <col min="173" max="173" width="3.140625" style="209" customWidth="1"/>
    <col min="174" max="174" width="7.7109375" style="209" customWidth="1"/>
    <col min="175" max="175" width="7.85546875" style="209" customWidth="1"/>
    <col min="176" max="177" width="3.140625" style="209" bestFit="1" customWidth="1"/>
    <col min="178" max="178" width="8" style="209"/>
    <col min="179" max="179" width="3.140625" style="209" bestFit="1" customWidth="1"/>
    <col min="180" max="181" width="8" style="209"/>
    <col min="182" max="182" width="3.140625" style="209" bestFit="1" customWidth="1"/>
    <col min="183" max="183" width="8" style="209"/>
    <col min="184" max="184" width="3.140625" style="209" bestFit="1" customWidth="1"/>
    <col min="185" max="186" width="9.7109375" style="209" customWidth="1"/>
    <col min="187" max="187" width="8" style="209"/>
    <col min="188" max="188" width="3.140625" style="209" bestFit="1" customWidth="1"/>
    <col min="189" max="191" width="8" style="209"/>
    <col min="192" max="192" width="3.140625" style="209" bestFit="1" customWidth="1"/>
    <col min="193" max="195" width="8" style="209"/>
    <col min="196" max="196" width="3.140625" style="209" bestFit="1" customWidth="1"/>
    <col min="197" max="203" width="8" style="209"/>
    <col min="204" max="204" width="3.140625" style="209" bestFit="1" customWidth="1"/>
    <col min="205" max="206" width="8" style="209"/>
    <col min="207" max="207" width="3.140625" style="209" bestFit="1" customWidth="1"/>
    <col min="208" max="208" width="8" style="209"/>
    <col min="209" max="209" width="3.140625" style="209" bestFit="1" customWidth="1"/>
    <col min="210" max="212" width="8" style="209"/>
    <col min="213" max="213" width="3.140625" style="209" bestFit="1" customWidth="1"/>
    <col min="214" max="215" width="8" style="209"/>
    <col min="216" max="216" width="3.140625" style="209" bestFit="1" customWidth="1"/>
    <col min="217" max="217" width="8" style="209"/>
    <col min="218" max="218" width="3.140625" style="209" bestFit="1" customWidth="1"/>
    <col min="219" max="220" width="8" style="209"/>
    <col min="221" max="222" width="3.140625" style="209" bestFit="1" customWidth="1"/>
    <col min="223" max="223" width="8" style="209"/>
    <col min="224" max="224" width="3.140625" style="209" bestFit="1" customWidth="1"/>
    <col min="225" max="226" width="8" style="209"/>
    <col min="227" max="240" width="3.140625" style="209" bestFit="1" customWidth="1"/>
    <col min="241" max="16384" width="8" style="209"/>
  </cols>
  <sheetData>
    <row r="1" spans="1:303" ht="206.25" customHeight="1" x14ac:dyDescent="0.2">
      <c r="A1" s="213" t="s">
        <v>776</v>
      </c>
      <c r="B1" s="213" t="s">
        <v>777</v>
      </c>
      <c r="C1" s="213" t="s">
        <v>778</v>
      </c>
      <c r="D1" s="213" t="s">
        <v>780</v>
      </c>
      <c r="E1" s="213" t="s">
        <v>781</v>
      </c>
      <c r="F1" s="213" t="s">
        <v>782</v>
      </c>
      <c r="G1" s="251" t="str">
        <f>+'Metodo Simplificado'!C6</f>
        <v>Tiempo perdido personal directo del proceso</v>
      </c>
      <c r="H1" s="251"/>
      <c r="I1" s="251"/>
      <c r="J1" s="251"/>
      <c r="K1" s="251" t="str">
        <f>+'Metodo Simplificado'!C7</f>
        <v>Tiempo perdido trabajador accidentado</v>
      </c>
      <c r="L1" s="251"/>
      <c r="M1" s="251"/>
      <c r="N1" s="251" t="str">
        <f>+'Metodo Simplificado'!C8</f>
        <v>Tiempo perdido trabajador que ayudo en el accidente</v>
      </c>
      <c r="O1" s="251"/>
      <c r="P1" s="251"/>
      <c r="Q1" s="251"/>
      <c r="R1" s="251" t="str">
        <f>+'Metodo Simplificado'!C9</f>
        <v>Tiempo de paro del proceso (A partir del primer día)</v>
      </c>
      <c r="S1" s="251"/>
      <c r="T1" s="251"/>
      <c r="U1" s="251"/>
      <c r="V1" s="219" t="str">
        <f>+'Metodo Simplificado'!C10</f>
        <v>Tiempo de baja productividad (Por la ausencia del trabajador)</v>
      </c>
      <c r="W1" s="252" t="str">
        <f>+'Metodo Simplificado'!C11</f>
        <v>Tiempo del personal que atendió la emergencia en la empresa</v>
      </c>
      <c r="X1" s="252"/>
      <c r="Y1" s="252"/>
      <c r="Z1" s="252"/>
      <c r="AA1" s="251" t="str">
        <f>+'Metodo Simplificado'!C12</f>
        <v>Tiempo de paro de otros trabajadores</v>
      </c>
      <c r="AB1" s="251"/>
      <c r="AC1" s="251"/>
      <c r="AD1" s="251"/>
      <c r="AE1" s="251" t="str">
        <f>+'Metodo Simplificado'!C13</f>
        <v>Tiempo de paro de mandos medios  y directores</v>
      </c>
      <c r="AF1" s="251"/>
      <c r="AG1" s="251"/>
      <c r="AH1" s="251"/>
      <c r="AI1" s="251" t="str">
        <f>+'Metodo Simplificado'!C14</f>
        <v>Tiempo de ineficiencia - Puesta en marcha</v>
      </c>
      <c r="AJ1" s="251"/>
      <c r="AK1" s="251"/>
      <c r="AL1" s="251"/>
      <c r="AM1" s="252" t="str">
        <f>+'Metodo Simplificado'!C15</f>
        <v>Tiempo dedicado por personal de gestión humana (Of. Personal)</v>
      </c>
      <c r="AN1" s="252"/>
      <c r="AO1" s="252"/>
      <c r="AP1" s="252"/>
      <c r="AQ1" s="252" t="str">
        <f>+'Metodo Simplificado'!C16</f>
        <v>Tiempo dedicado al accidente por personal de mantenimiento</v>
      </c>
      <c r="AR1" s="252"/>
      <c r="AS1" s="252"/>
      <c r="AT1" s="252"/>
      <c r="AU1" s="251" t="str">
        <f>+'Metodo Simplificado'!C17</f>
        <v>Tiempo dedicado al accidente por la administración</v>
      </c>
      <c r="AV1" s="251"/>
      <c r="AW1" s="251"/>
      <c r="AX1" s="251"/>
      <c r="AY1" s="251" t="str">
        <f>+'Metodo Simplificado'!C18</f>
        <v>Tiempo investigación + informe del accidente</v>
      </c>
      <c r="AZ1" s="251"/>
      <c r="BA1" s="251"/>
      <c r="BB1" s="251"/>
      <c r="BC1" s="252" t="str">
        <f>+'Metodo Simplificado'!C19</f>
        <v>Tiempo de seguimiento a la implementación de los controles</v>
      </c>
      <c r="BD1" s="252"/>
      <c r="BE1" s="252"/>
      <c r="BF1" s="252"/>
      <c r="BG1" s="252" t="str">
        <f>+'Metodo Simplificado'!C20</f>
        <v>Tiempo empleado de entrenamiento en formar el nuevo trabajador</v>
      </c>
      <c r="BH1" s="252"/>
      <c r="BI1" s="252"/>
      <c r="BJ1" s="252"/>
      <c r="BK1" s="251" t="str">
        <f>+'Metodo Simplificado'!C21</f>
        <v>Tiempo de aseguramiento del área</v>
      </c>
      <c r="BL1" s="251"/>
      <c r="BM1" s="251"/>
      <c r="BN1" s="251"/>
      <c r="BO1" s="252" t="str">
        <f>+'Metodo Simplificado'!C22</f>
        <v>Tiempo en tramites administrativos derivados del accidente</v>
      </c>
      <c r="BP1" s="252"/>
      <c r="BQ1" s="252"/>
      <c r="BR1" s="252"/>
      <c r="BS1" s="251" t="str">
        <f>+'Metodo Simplificado'!C23</f>
        <v>Tiempo de evaluación de daños</v>
      </c>
      <c r="BT1" s="251"/>
      <c r="BU1" s="251"/>
      <c r="BV1" s="251"/>
      <c r="BW1" s="251" t="str">
        <f>+'Metodo Simplificado'!C24</f>
        <v>Tiempo de coordinación para la reparación de daños</v>
      </c>
      <c r="BX1" s="251"/>
      <c r="BY1" s="251"/>
      <c r="BZ1" s="251"/>
      <c r="CA1" s="252" t="str">
        <f>+'Metodo Simplificado'!C25</f>
        <v>Tiempo para la coordinación y limpieza del lugar del accidente</v>
      </c>
      <c r="CB1" s="252"/>
      <c r="CC1" s="252"/>
      <c r="CD1" s="252"/>
      <c r="CE1" s="251" t="str">
        <f>+'Metodo Simplificado'!C26</f>
        <v>Tiempo de reunión con especialistas - asesoría técnica</v>
      </c>
      <c r="CF1" s="251"/>
      <c r="CG1" s="251"/>
      <c r="CH1" s="251"/>
      <c r="CI1" s="251" t="str">
        <f>+'Metodo Simplificado'!C27</f>
        <v>Tiempo de atención de funcionarios del gobierno</v>
      </c>
      <c r="CJ1" s="251"/>
      <c r="CK1" s="251"/>
      <c r="CL1" s="251"/>
      <c r="CM1" s="251" t="str">
        <f>+'Metodo Simplificado'!C28</f>
        <v>Tiempo para el cambio de procesos y procedimientos</v>
      </c>
      <c r="CN1" s="251"/>
      <c r="CO1" s="251"/>
      <c r="CP1" s="251"/>
      <c r="CQ1" s="252" t="str">
        <f>+'Metodo Simplificado'!C29</f>
        <v>Tiempo empleado en instrucciones en formar el nuevo trabajador</v>
      </c>
      <c r="CR1" s="252"/>
      <c r="CS1" s="252"/>
      <c r="CT1" s="252"/>
      <c r="CU1" s="251" t="str">
        <f>+'Metodo Simplificado'!C33</f>
        <v>Costo de las materias primas averiadas</v>
      </c>
      <c r="CV1" s="251"/>
      <c r="CW1" s="251"/>
      <c r="CX1" s="251"/>
      <c r="CY1" s="251" t="str">
        <f>+'Metodo Simplificado'!C34</f>
        <v>Costos de daños a equipos o herramientas</v>
      </c>
      <c r="CZ1" s="251"/>
      <c r="DA1" s="251"/>
      <c r="DB1" s="251"/>
      <c r="DC1" s="252" t="str">
        <f>+'Metodo Simplificado'!C35</f>
        <v>Costo de producto terminado o semiterminado averiado</v>
      </c>
      <c r="DD1" s="252"/>
      <c r="DE1" s="252"/>
      <c r="DF1" s="252"/>
      <c r="DG1" s="251" t="str">
        <f>+'Metodo Simplificado'!C36</f>
        <v>Costos de repuestos - piezas</v>
      </c>
      <c r="DH1" s="251"/>
      <c r="DI1" s="251"/>
      <c r="DJ1" s="251"/>
      <c r="DK1" s="251" t="str">
        <f>+'Metodo Simplificado'!C37</f>
        <v>Costo de recuperación de maquinaria</v>
      </c>
      <c r="DL1" s="251"/>
      <c r="DM1" s="251"/>
      <c r="DN1" s="251"/>
      <c r="DO1" s="251" t="str">
        <f>+'Metodo Simplificado'!C38</f>
        <v>Costo mantenimiento de equipos y herramientas</v>
      </c>
      <c r="DP1" s="251"/>
      <c r="DQ1" s="251"/>
      <c r="DR1" s="251"/>
      <c r="DS1" s="251" t="str">
        <f>+'Metodo Simplificado'!C39</f>
        <v>Costos de otros bienes</v>
      </c>
      <c r="DT1" s="251"/>
      <c r="DU1" s="251"/>
      <c r="DV1" s="251"/>
      <c r="DW1" s="251" t="str">
        <f>+'Metodo Simplificado'!C40</f>
        <v>Costos de bienes y daños a terceros</v>
      </c>
      <c r="DX1" s="251"/>
      <c r="DY1" s="251"/>
      <c r="DZ1" s="251"/>
      <c r="EA1" s="251" t="str">
        <f>+'Metodo Simplificado'!C41</f>
        <v>Costos de otros materiales de producción</v>
      </c>
      <c r="EB1" s="251"/>
      <c r="EC1" s="251"/>
      <c r="ED1" s="251"/>
      <c r="EE1" s="251" t="str">
        <f>+'Metodo Simplificado'!C42</f>
        <v>Costos de la implementación de los controles</v>
      </c>
      <c r="EF1" s="251"/>
      <c r="EG1" s="251"/>
      <c r="EH1" s="251"/>
      <c r="EI1" s="252" t="str">
        <f>+'Metodo Simplificado'!C43</f>
        <v>Costos de reposición de bienes (no incluidos en el seguro)</v>
      </c>
      <c r="EJ1" s="252"/>
      <c r="EK1" s="252"/>
      <c r="EL1" s="252"/>
      <c r="EM1" s="251" t="str">
        <f>+'Metodo Simplificado'!C44</f>
        <v>Costos por maquilas (Reemplazos)</v>
      </c>
      <c r="EN1" s="251"/>
      <c r="EO1" s="251"/>
      <c r="EP1" s="251"/>
      <c r="EQ1" s="251" t="str">
        <f>+'Metodo Simplificado'!C48</f>
        <v xml:space="preserve">Perdidas por paralización parcial </v>
      </c>
      <c r="ER1" s="251"/>
      <c r="ES1" s="251"/>
      <c r="ET1" s="251" t="str">
        <f>+'Metodo Simplificado'!C49</f>
        <v>Perdidas por volúmenes de ventas afectado</v>
      </c>
      <c r="EU1" s="251"/>
      <c r="EV1" s="251"/>
      <c r="EW1" s="251" t="str">
        <f>+'Metodo Simplificado'!C50</f>
        <v xml:space="preserve">Perdidas por paralización total del proceso </v>
      </c>
      <c r="EX1" s="251"/>
      <c r="EY1" s="251"/>
      <c r="EZ1" s="251" t="str">
        <f>+'Metodo Simplificado'!C51</f>
        <v>Perdidas por efectos cuello de botella (Retrasos)</v>
      </c>
      <c r="FA1" s="251"/>
      <c r="FB1" s="251" t="str">
        <f>+'Metodo Simplificado'!C52</f>
        <v>Perdida de beneficios (Impuestos, descuentos, etc.)</v>
      </c>
      <c r="FC1" s="251"/>
      <c r="FD1" s="251" t="str">
        <f>+'Metodo Simplificado'!C53</f>
        <v>Perdidas por bajo rendimiento</v>
      </c>
      <c r="FE1" s="251"/>
      <c r="FF1" s="251" t="str">
        <f>+'Metodo Simplificado'!C54</f>
        <v>Perdida energía (Gas, vapor, agua, electricidad)</v>
      </c>
      <c r="FG1" s="251"/>
      <c r="FH1" s="215" t="str">
        <f>+'Metodo Simplificado'!C55</f>
        <v>Perdida pedidos en cartera no iniciados</v>
      </c>
      <c r="FI1" s="224"/>
      <c r="FJ1" s="215" t="str">
        <f>+'Metodo Simplificado'!C59</f>
        <v>Horas extras diurnas</v>
      </c>
      <c r="FK1" s="215" t="str">
        <f>+'Metodo Simplificado'!C60</f>
        <v>Horas extras nocturnas</v>
      </c>
      <c r="FL1" s="251" t="str">
        <f>+'Metodo Simplificado'!C61</f>
        <v>Sustitutos o personal temporal</v>
      </c>
      <c r="FM1" s="251"/>
      <c r="FN1" s="251"/>
      <c r="FO1" s="251"/>
      <c r="FP1" s="251" t="str">
        <f>+'Metodo Simplificado'!C62</f>
        <v>Gastos por traslados de urgencia (asumidos por la empresa)</v>
      </c>
      <c r="FQ1" s="251"/>
      <c r="FR1" s="251"/>
      <c r="FS1" s="251"/>
      <c r="FT1" s="215" t="str">
        <f>+'Metodo Simplificado'!C63</f>
        <v>Gastos por otros traslados</v>
      </c>
      <c r="FU1" s="215" t="str">
        <f>+'Metodo Simplificado'!C64</f>
        <v>Gastos por sanciones</v>
      </c>
      <c r="FV1" s="251" t="str">
        <f>+'Metodo Simplificado'!C65</f>
        <v>Gastos por honorarios profesionales</v>
      </c>
      <c r="FW1" s="251"/>
      <c r="FX1" s="251"/>
      <c r="FY1" s="251"/>
      <c r="FZ1" s="215" t="str">
        <f>+'Metodo Simplificado'!C66</f>
        <v xml:space="preserve">Gastos por seguridad  social durante incapacidad </v>
      </c>
      <c r="GA1" s="251" t="str">
        <f>+'Metodo Simplificado'!C67</f>
        <v>Gastos por aplicar restricciones medicas</v>
      </c>
      <c r="GB1" s="251"/>
      <c r="GC1" s="251"/>
      <c r="GD1" s="251"/>
      <c r="GE1" s="252" t="str">
        <f>+'Metodo Simplificado'!C68</f>
        <v>Costos de los materiales usados en la atención de la emergencia</v>
      </c>
      <c r="GF1" s="252"/>
      <c r="GG1" s="252"/>
      <c r="GH1" s="252"/>
      <c r="GI1" s="251" t="str">
        <f>+'Metodo Simplificado'!C69</f>
        <v>Otros gastos de materiales</v>
      </c>
      <c r="GJ1" s="251"/>
      <c r="GK1" s="251"/>
      <c r="GL1" s="251"/>
      <c r="GM1" s="251" t="str">
        <f>+'Metodo Simplificado'!C70</f>
        <v>Gastos contratación sustitutos</v>
      </c>
      <c r="GN1" s="251"/>
      <c r="GO1" s="251"/>
      <c r="GP1" s="251"/>
      <c r="GQ1" s="251" t="str">
        <f>+'Metodo Simplificado'!C71</f>
        <v>Otros gastos generales</v>
      </c>
      <c r="GR1" s="251"/>
      <c r="GS1" s="251"/>
      <c r="GT1" s="251"/>
      <c r="GU1" s="251" t="str">
        <f>+'Metodo Simplificado'!C72</f>
        <v>Alquiler maquinas, equipos o herramientas</v>
      </c>
      <c r="GV1" s="251"/>
      <c r="GW1" s="251"/>
      <c r="GX1" s="251"/>
      <c r="GY1" s="215" t="str">
        <f>+'Metodo Simplificado'!C73</f>
        <v>Salario no asumido por el seguro</v>
      </c>
      <c r="GZ1" s="251" t="str">
        <f>+'Metodo Simplificado'!C74</f>
        <v>Gastos por subcontratación servicios</v>
      </c>
      <c r="HA1" s="251"/>
      <c r="HB1" s="251"/>
      <c r="HC1" s="251"/>
      <c r="HD1" s="252" t="str">
        <f>+'Metodo Simplificado'!C75</f>
        <v>Gastos por deducibles para reparación o reposición de equipos</v>
      </c>
      <c r="HE1" s="252"/>
      <c r="HF1" s="252"/>
      <c r="HG1" s="252"/>
      <c r="HH1" s="215" t="str">
        <f>+'Metodo Simplificado'!C76</f>
        <v>Gastos por aumento de primas de seguros</v>
      </c>
      <c r="HI1" s="251" t="str">
        <f>+'Metodo Simplificado'!C77</f>
        <v>Gastos por tratamiento de residuos</v>
      </c>
      <c r="HJ1" s="251"/>
      <c r="HK1" s="251"/>
      <c r="HL1" s="251"/>
      <c r="HM1" s="215" t="str">
        <f>+'Metodo Simplificado'!C78</f>
        <v>Gastos médicos no incluidos en el seguro</v>
      </c>
      <c r="HN1" s="215" t="str">
        <f>+'Metodo Simplificado'!C79</f>
        <v>Costos de aprendizaje del sustituto</v>
      </c>
      <c r="HO1" s="251" t="str">
        <f>+'Metodo Simplificado'!C80</f>
        <v>Gastos de reparación en instalaciones y edificios</v>
      </c>
      <c r="HP1" s="251"/>
      <c r="HQ1" s="251"/>
      <c r="HR1" s="251"/>
      <c r="HS1" s="215" t="str">
        <f>+'Metodo Simplificado'!C84</f>
        <v>Demandas</v>
      </c>
      <c r="HT1" s="215" t="str">
        <f>+'Metodo Simplificado'!C85</f>
        <v>Sanciones por impactos ambientales</v>
      </c>
      <c r="HU1" s="215" t="str">
        <f>+'Metodo Simplificado'!C86</f>
        <v>Sanciones por incumplimientos en SST</v>
      </c>
      <c r="HV1" s="215" t="str">
        <f>+'Metodo Simplificado'!C87</f>
        <v>Sanciones por incumplimientos laborales</v>
      </c>
      <c r="HW1" s="215" t="str">
        <f>+'Metodo Simplificado'!C88</f>
        <v>Daños a terceros</v>
      </c>
      <c r="HX1" s="215" t="str">
        <f>+'Metodo Simplificado'!C89</f>
        <v>Penalización por retraso</v>
      </c>
      <c r="HY1" s="215" t="str">
        <f>+'Metodo Simplificado'!C93</f>
        <v>Perdida de imagen (Perdida de clientes, mala publicidad, etc.)</v>
      </c>
      <c r="HZ1" s="215" t="str">
        <f>+'Metodo Simplificado'!C94</f>
        <v>Perdida de mercado (Cancelación de contratos, multas, etc.)</v>
      </c>
      <c r="IA1" s="215" t="str">
        <f>+'Metodo Simplificado'!C94</f>
        <v>Perdida de mercado (Cancelación de contratos, multas, etc.)</v>
      </c>
      <c r="IB1" s="215" t="str">
        <f>+'Metodo Simplificado'!C94</f>
        <v>Perdida de mercado (Cancelación de contratos, multas, etc.)</v>
      </c>
      <c r="IC1" s="215" t="str">
        <f>+'Metodo Simplificado'!C95</f>
        <v>Conflictos laborales</v>
      </c>
      <c r="ID1" s="215" t="str">
        <f>+'Metodo Simplificado'!C96</f>
        <v>Disminución moral</v>
      </c>
      <c r="IE1" s="215" t="str">
        <f>+'Metodo Simplificado'!C97</f>
        <v>Costos de dolor y sufrimiento</v>
      </c>
      <c r="IF1" s="215" t="str">
        <f>+'Metodo Simplificado'!C98</f>
        <v>Costo de no cumplimiento de metas (ventas)</v>
      </c>
      <c r="IG1" s="220"/>
      <c r="IH1" s="220"/>
      <c r="II1" s="220"/>
      <c r="IJ1" s="220"/>
      <c r="IK1" s="220"/>
      <c r="IL1" s="220"/>
      <c r="IM1" s="220"/>
      <c r="IN1" s="220"/>
      <c r="IO1" s="220"/>
      <c r="IP1" s="220"/>
      <c r="IQ1" s="220"/>
      <c r="IR1" s="220"/>
      <c r="IS1" s="220"/>
      <c r="IT1" s="220"/>
      <c r="IU1" s="220"/>
      <c r="IV1" s="220"/>
      <c r="IW1" s="220"/>
      <c r="IX1" s="220"/>
      <c r="IY1" s="220"/>
      <c r="IZ1" s="220"/>
      <c r="JA1" s="220"/>
      <c r="JB1" s="220"/>
      <c r="JC1" s="220"/>
      <c r="JD1" s="220"/>
      <c r="JE1" s="220"/>
      <c r="JF1" s="220"/>
      <c r="JG1" s="220"/>
      <c r="JH1" s="220"/>
      <c r="JI1" s="220"/>
      <c r="JJ1" s="220"/>
      <c r="JK1" s="220"/>
      <c r="JL1" s="220"/>
      <c r="JM1" s="220"/>
      <c r="JN1" s="220"/>
      <c r="JO1" s="220"/>
      <c r="JP1" s="220"/>
      <c r="JQ1" s="220"/>
      <c r="JR1" s="220"/>
      <c r="JS1" s="220"/>
      <c r="JT1" s="220"/>
      <c r="JU1" s="220"/>
      <c r="JV1" s="220"/>
      <c r="JW1" s="220"/>
      <c r="JX1" s="220"/>
      <c r="JY1" s="220"/>
      <c r="JZ1" s="220"/>
      <c r="KA1" s="220"/>
      <c r="KB1" s="220"/>
      <c r="KC1" s="220"/>
      <c r="KD1" s="220"/>
      <c r="KE1" s="220"/>
      <c r="KF1" s="220"/>
      <c r="KG1" s="220"/>
      <c r="KH1" s="220"/>
      <c r="KI1" s="220"/>
      <c r="KJ1" s="220"/>
      <c r="KK1" s="220"/>
      <c r="KL1" s="220"/>
      <c r="KM1" s="220"/>
      <c r="KN1" s="220"/>
      <c r="KO1" s="220"/>
      <c r="KP1" s="220"/>
      <c r="KQ1" s="220"/>
    </row>
    <row r="2" spans="1:303" ht="153" customHeight="1" x14ac:dyDescent="0.2">
      <c r="A2" s="213"/>
      <c r="B2" s="213"/>
      <c r="C2" s="213"/>
      <c r="D2" s="213"/>
      <c r="E2" s="213"/>
      <c r="F2" s="213"/>
      <c r="G2" s="213" t="s">
        <v>787</v>
      </c>
      <c r="H2" s="213" t="s">
        <v>785</v>
      </c>
      <c r="I2" s="213" t="s">
        <v>786</v>
      </c>
      <c r="J2" s="214" t="s">
        <v>789</v>
      </c>
      <c r="K2" s="214" t="s">
        <v>787</v>
      </c>
      <c r="L2" s="214" t="s">
        <v>786</v>
      </c>
      <c r="M2" s="214" t="s">
        <v>789</v>
      </c>
      <c r="N2" s="214" t="s">
        <v>787</v>
      </c>
      <c r="O2" s="214" t="s">
        <v>785</v>
      </c>
      <c r="P2" s="214" t="s">
        <v>786</v>
      </c>
      <c r="Q2" s="214" t="s">
        <v>789</v>
      </c>
      <c r="R2" s="221" t="s">
        <v>787</v>
      </c>
      <c r="S2" s="221" t="s">
        <v>785</v>
      </c>
      <c r="T2" s="221" t="s">
        <v>786</v>
      </c>
      <c r="U2" s="221" t="s">
        <v>789</v>
      </c>
      <c r="V2" s="231"/>
      <c r="W2" s="222" t="s">
        <v>823</v>
      </c>
      <c r="X2" s="222" t="s">
        <v>785</v>
      </c>
      <c r="Y2" s="222" t="s">
        <v>786</v>
      </c>
      <c r="Z2" s="222" t="s">
        <v>789</v>
      </c>
      <c r="AA2" s="224" t="s">
        <v>823</v>
      </c>
      <c r="AB2" s="224" t="s">
        <v>785</v>
      </c>
      <c r="AC2" s="224" t="s">
        <v>786</v>
      </c>
      <c r="AD2" s="224" t="s">
        <v>789</v>
      </c>
      <c r="AE2" s="224" t="s">
        <v>823</v>
      </c>
      <c r="AF2" s="224" t="s">
        <v>785</v>
      </c>
      <c r="AG2" s="224" t="s">
        <v>786</v>
      </c>
      <c r="AH2" s="224" t="s">
        <v>789</v>
      </c>
      <c r="AI2" s="224" t="s">
        <v>823</v>
      </c>
      <c r="AJ2" s="224" t="s">
        <v>785</v>
      </c>
      <c r="AK2" s="224" t="s">
        <v>786</v>
      </c>
      <c r="AL2" s="224" t="s">
        <v>789</v>
      </c>
      <c r="AM2" s="224" t="s">
        <v>823</v>
      </c>
      <c r="AN2" s="224" t="s">
        <v>785</v>
      </c>
      <c r="AO2" s="224" t="s">
        <v>786</v>
      </c>
      <c r="AP2" s="224" t="s">
        <v>789</v>
      </c>
      <c r="AQ2" s="224" t="s">
        <v>823</v>
      </c>
      <c r="AR2" s="224" t="s">
        <v>785</v>
      </c>
      <c r="AS2" s="224" t="s">
        <v>786</v>
      </c>
      <c r="AT2" s="224" t="s">
        <v>789</v>
      </c>
      <c r="AU2" s="224" t="s">
        <v>823</v>
      </c>
      <c r="AV2" s="224" t="s">
        <v>785</v>
      </c>
      <c r="AW2" s="224" t="s">
        <v>786</v>
      </c>
      <c r="AX2" s="224" t="s">
        <v>789</v>
      </c>
      <c r="AY2" s="224" t="s">
        <v>823</v>
      </c>
      <c r="AZ2" s="224" t="s">
        <v>785</v>
      </c>
      <c r="BA2" s="224" t="s">
        <v>786</v>
      </c>
      <c r="BB2" s="224" t="s">
        <v>789</v>
      </c>
      <c r="BC2" s="224" t="s">
        <v>823</v>
      </c>
      <c r="BD2" s="224" t="s">
        <v>785</v>
      </c>
      <c r="BE2" s="224" t="s">
        <v>786</v>
      </c>
      <c r="BF2" s="224" t="s">
        <v>789</v>
      </c>
      <c r="BG2" s="224" t="s">
        <v>823</v>
      </c>
      <c r="BH2" s="224" t="s">
        <v>785</v>
      </c>
      <c r="BI2" s="224" t="s">
        <v>786</v>
      </c>
      <c r="BJ2" s="224" t="s">
        <v>789</v>
      </c>
      <c r="BK2" s="224" t="s">
        <v>823</v>
      </c>
      <c r="BL2" s="224" t="s">
        <v>785</v>
      </c>
      <c r="BM2" s="224" t="s">
        <v>786</v>
      </c>
      <c r="BN2" s="224" t="s">
        <v>789</v>
      </c>
      <c r="BO2" s="224" t="s">
        <v>823</v>
      </c>
      <c r="BP2" s="224" t="s">
        <v>785</v>
      </c>
      <c r="BQ2" s="224" t="s">
        <v>786</v>
      </c>
      <c r="BR2" s="224" t="s">
        <v>789</v>
      </c>
      <c r="BS2" s="224" t="s">
        <v>823</v>
      </c>
      <c r="BT2" s="224" t="s">
        <v>785</v>
      </c>
      <c r="BU2" s="224" t="s">
        <v>786</v>
      </c>
      <c r="BV2" s="224" t="s">
        <v>789</v>
      </c>
      <c r="BW2" s="224" t="s">
        <v>823</v>
      </c>
      <c r="BX2" s="224" t="s">
        <v>785</v>
      </c>
      <c r="BY2" s="224" t="s">
        <v>786</v>
      </c>
      <c r="BZ2" s="224" t="s">
        <v>789</v>
      </c>
      <c r="CA2" s="224" t="s">
        <v>823</v>
      </c>
      <c r="CB2" s="224" t="s">
        <v>785</v>
      </c>
      <c r="CC2" s="224" t="s">
        <v>786</v>
      </c>
      <c r="CD2" s="224" t="s">
        <v>789</v>
      </c>
      <c r="CE2" s="224" t="s">
        <v>823</v>
      </c>
      <c r="CF2" s="224" t="s">
        <v>785</v>
      </c>
      <c r="CG2" s="224" t="s">
        <v>786</v>
      </c>
      <c r="CH2" s="224" t="s">
        <v>789</v>
      </c>
      <c r="CI2" s="224" t="s">
        <v>823</v>
      </c>
      <c r="CJ2" s="224" t="s">
        <v>785</v>
      </c>
      <c r="CK2" s="224" t="s">
        <v>786</v>
      </c>
      <c r="CL2" s="224" t="s">
        <v>789</v>
      </c>
      <c r="CM2" s="224" t="s">
        <v>823</v>
      </c>
      <c r="CN2" s="224" t="s">
        <v>785</v>
      </c>
      <c r="CO2" s="224" t="s">
        <v>786</v>
      </c>
      <c r="CP2" s="224" t="s">
        <v>789</v>
      </c>
      <c r="CQ2" s="224" t="s">
        <v>823</v>
      </c>
      <c r="CR2" s="224" t="s">
        <v>785</v>
      </c>
      <c r="CS2" s="224" t="s">
        <v>786</v>
      </c>
      <c r="CT2" s="224" t="s">
        <v>789</v>
      </c>
      <c r="CU2" s="224" t="s">
        <v>824</v>
      </c>
      <c r="CV2" s="224" t="s">
        <v>158</v>
      </c>
      <c r="CW2" s="224" t="s">
        <v>825</v>
      </c>
      <c r="CX2" s="224" t="s">
        <v>826</v>
      </c>
      <c r="CY2" s="224" t="s">
        <v>824</v>
      </c>
      <c r="CZ2" s="224" t="s">
        <v>158</v>
      </c>
      <c r="DA2" s="224" t="s">
        <v>825</v>
      </c>
      <c r="DB2" s="224" t="s">
        <v>826</v>
      </c>
      <c r="DC2" s="224" t="s">
        <v>824</v>
      </c>
      <c r="DD2" s="224" t="s">
        <v>158</v>
      </c>
      <c r="DE2" s="224" t="s">
        <v>825</v>
      </c>
      <c r="DF2" s="224" t="s">
        <v>826</v>
      </c>
      <c r="DG2" s="224" t="s">
        <v>824</v>
      </c>
      <c r="DH2" s="224" t="s">
        <v>158</v>
      </c>
      <c r="DI2" s="224" t="s">
        <v>825</v>
      </c>
      <c r="DJ2" s="224" t="s">
        <v>826</v>
      </c>
      <c r="DK2" s="224" t="s">
        <v>824</v>
      </c>
      <c r="DL2" s="224" t="s">
        <v>158</v>
      </c>
      <c r="DM2" s="224" t="s">
        <v>825</v>
      </c>
      <c r="DN2" s="224" t="s">
        <v>826</v>
      </c>
      <c r="DO2" s="224" t="s">
        <v>824</v>
      </c>
      <c r="DP2" s="224" t="s">
        <v>158</v>
      </c>
      <c r="DQ2" s="224" t="s">
        <v>825</v>
      </c>
      <c r="DR2" s="224" t="s">
        <v>826</v>
      </c>
      <c r="DS2" s="224" t="s">
        <v>824</v>
      </c>
      <c r="DT2" s="224" t="s">
        <v>158</v>
      </c>
      <c r="DU2" s="224" t="s">
        <v>825</v>
      </c>
      <c r="DV2" s="224" t="s">
        <v>826</v>
      </c>
      <c r="DW2" s="224" t="s">
        <v>824</v>
      </c>
      <c r="DX2" s="224" t="s">
        <v>158</v>
      </c>
      <c r="DY2" s="224" t="s">
        <v>825</v>
      </c>
      <c r="DZ2" s="224" t="s">
        <v>826</v>
      </c>
      <c r="EA2" s="224" t="s">
        <v>824</v>
      </c>
      <c r="EB2" s="224" t="s">
        <v>158</v>
      </c>
      <c r="EC2" s="224" t="s">
        <v>825</v>
      </c>
      <c r="ED2" s="224" t="s">
        <v>826</v>
      </c>
      <c r="EE2" s="224" t="s">
        <v>824</v>
      </c>
      <c r="EF2" s="224" t="s">
        <v>158</v>
      </c>
      <c r="EG2" s="224" t="s">
        <v>825</v>
      </c>
      <c r="EH2" s="224" t="s">
        <v>826</v>
      </c>
      <c r="EI2" s="224" t="s">
        <v>824</v>
      </c>
      <c r="EJ2" s="224" t="s">
        <v>158</v>
      </c>
      <c r="EK2" s="224" t="s">
        <v>825</v>
      </c>
      <c r="EL2" s="224" t="s">
        <v>826</v>
      </c>
      <c r="EM2" s="224" t="s">
        <v>824</v>
      </c>
      <c r="EN2" s="224" t="s">
        <v>158</v>
      </c>
      <c r="EO2" s="224" t="s">
        <v>825</v>
      </c>
      <c r="EP2" s="224" t="s">
        <v>826</v>
      </c>
      <c r="EQ2" s="224" t="s">
        <v>828</v>
      </c>
      <c r="ER2" s="224" t="s">
        <v>157</v>
      </c>
      <c r="ES2" s="224" t="s">
        <v>826</v>
      </c>
      <c r="ET2" s="224" t="s">
        <v>828</v>
      </c>
      <c r="EU2" s="224" t="s">
        <v>157</v>
      </c>
      <c r="EV2" s="224" t="s">
        <v>826</v>
      </c>
      <c r="EW2" s="224" t="s">
        <v>828</v>
      </c>
      <c r="EX2" s="224" t="s">
        <v>157</v>
      </c>
      <c r="EY2" s="224" t="s">
        <v>826</v>
      </c>
      <c r="EZ2" s="224" t="s">
        <v>828</v>
      </c>
      <c r="FA2" s="224" t="s">
        <v>826</v>
      </c>
      <c r="FB2" s="224" t="s">
        <v>828</v>
      </c>
      <c r="FC2" s="224" t="s">
        <v>826</v>
      </c>
      <c r="FD2" s="224" t="s">
        <v>828</v>
      </c>
      <c r="FE2" s="224" t="s">
        <v>826</v>
      </c>
      <c r="FF2" s="224" t="s">
        <v>828</v>
      </c>
      <c r="FG2" s="224" t="s">
        <v>826</v>
      </c>
      <c r="FH2" s="224" t="s">
        <v>828</v>
      </c>
      <c r="FI2" s="224" t="s">
        <v>826</v>
      </c>
      <c r="FJ2" s="232"/>
      <c r="FK2" s="232"/>
      <c r="FL2" s="224" t="s">
        <v>829</v>
      </c>
      <c r="FM2" s="224" t="s">
        <v>158</v>
      </c>
      <c r="FN2" s="224" t="s">
        <v>825</v>
      </c>
      <c r="FO2" s="224" t="s">
        <v>830</v>
      </c>
      <c r="FP2" s="224" t="s">
        <v>829</v>
      </c>
      <c r="FQ2" s="224" t="s">
        <v>158</v>
      </c>
      <c r="FR2" s="224" t="s">
        <v>825</v>
      </c>
      <c r="FS2" s="224" t="s">
        <v>830</v>
      </c>
      <c r="FT2" s="230"/>
      <c r="FU2" s="230"/>
      <c r="FV2" s="224" t="s">
        <v>829</v>
      </c>
      <c r="FW2" s="224" t="s">
        <v>158</v>
      </c>
      <c r="FX2" s="224" t="s">
        <v>825</v>
      </c>
      <c r="FY2" s="224" t="s">
        <v>830</v>
      </c>
      <c r="FZ2" s="230"/>
      <c r="GA2" s="224" t="s">
        <v>829</v>
      </c>
      <c r="GB2" s="224" t="s">
        <v>158</v>
      </c>
      <c r="GC2" s="224" t="s">
        <v>825</v>
      </c>
      <c r="GD2" s="224" t="s">
        <v>830</v>
      </c>
      <c r="GE2" s="224" t="s">
        <v>829</v>
      </c>
      <c r="GF2" s="224" t="s">
        <v>158</v>
      </c>
      <c r="GG2" s="224" t="s">
        <v>825</v>
      </c>
      <c r="GH2" s="224" t="s">
        <v>830</v>
      </c>
      <c r="GI2" s="224" t="s">
        <v>829</v>
      </c>
      <c r="GJ2" s="224" t="s">
        <v>158</v>
      </c>
      <c r="GK2" s="224" t="s">
        <v>825</v>
      </c>
      <c r="GL2" s="224" t="s">
        <v>830</v>
      </c>
      <c r="GM2" s="224" t="s">
        <v>829</v>
      </c>
      <c r="GN2" s="224" t="s">
        <v>158</v>
      </c>
      <c r="GO2" s="224" t="s">
        <v>825</v>
      </c>
      <c r="GP2" s="224" t="s">
        <v>830</v>
      </c>
      <c r="GQ2" s="224" t="s">
        <v>829</v>
      </c>
      <c r="GR2" s="224" t="s">
        <v>158</v>
      </c>
      <c r="GS2" s="224" t="s">
        <v>825</v>
      </c>
      <c r="GT2" s="224" t="s">
        <v>830</v>
      </c>
      <c r="GU2" s="224" t="s">
        <v>829</v>
      </c>
      <c r="GV2" s="224" t="s">
        <v>158</v>
      </c>
      <c r="GW2" s="224" t="s">
        <v>825</v>
      </c>
      <c r="GX2" s="224" t="s">
        <v>830</v>
      </c>
      <c r="GY2" s="230"/>
      <c r="GZ2" s="224" t="s">
        <v>829</v>
      </c>
      <c r="HA2" s="224" t="s">
        <v>158</v>
      </c>
      <c r="HB2" s="224" t="s">
        <v>825</v>
      </c>
      <c r="HC2" s="224" t="s">
        <v>830</v>
      </c>
      <c r="HD2" s="224" t="s">
        <v>829</v>
      </c>
      <c r="HE2" s="224" t="s">
        <v>158</v>
      </c>
      <c r="HF2" s="224" t="s">
        <v>825</v>
      </c>
      <c r="HG2" s="224" t="s">
        <v>830</v>
      </c>
      <c r="HH2" s="230"/>
      <c r="HI2" s="224" t="s">
        <v>829</v>
      </c>
      <c r="HJ2" s="224" t="s">
        <v>158</v>
      </c>
      <c r="HK2" s="224" t="s">
        <v>825</v>
      </c>
      <c r="HL2" s="224" t="s">
        <v>830</v>
      </c>
      <c r="HM2" s="230"/>
      <c r="HN2" s="230"/>
      <c r="HO2" s="224" t="s">
        <v>829</v>
      </c>
      <c r="HP2" s="224" t="s">
        <v>158</v>
      </c>
      <c r="HQ2" s="224" t="s">
        <v>825</v>
      </c>
      <c r="HR2" s="224" t="s">
        <v>830</v>
      </c>
      <c r="HS2" s="230"/>
      <c r="HT2" s="230"/>
      <c r="HU2" s="230"/>
      <c r="HV2" s="230"/>
      <c r="HW2" s="230"/>
      <c r="HX2" s="230"/>
      <c r="HY2" s="230"/>
      <c r="HZ2" s="230"/>
      <c r="IA2" s="230"/>
      <c r="IB2" s="230"/>
      <c r="IC2" s="230"/>
      <c r="ID2" s="230"/>
      <c r="IE2" s="230"/>
      <c r="IF2" s="230"/>
    </row>
    <row r="3" spans="1:303" x14ac:dyDescent="0.2">
      <c r="A3" s="209" t="s">
        <v>755</v>
      </c>
      <c r="B3" s="209" t="s">
        <v>756</v>
      </c>
      <c r="C3" s="209" t="s">
        <v>779</v>
      </c>
      <c r="D3" s="211">
        <v>3</v>
      </c>
      <c r="E3" s="210">
        <v>121477.1</v>
      </c>
      <c r="F3" s="212">
        <f>+E3/D3</f>
        <v>40492.366666666669</v>
      </c>
      <c r="G3" s="209">
        <v>2</v>
      </c>
      <c r="H3" s="209">
        <v>1</v>
      </c>
      <c r="I3" s="212">
        <f>(2000000/30)/8</f>
        <v>8333.3333333333339</v>
      </c>
      <c r="J3" s="212">
        <f>G3*H3*I3</f>
        <v>16666.666666666668</v>
      </c>
      <c r="K3" s="211">
        <v>8</v>
      </c>
      <c r="L3" s="217">
        <f>F3/8</f>
        <v>5061.5458333333336</v>
      </c>
      <c r="M3" s="217">
        <f>K3*L3</f>
        <v>40492.366666666669</v>
      </c>
      <c r="N3" s="209">
        <v>1</v>
      </c>
      <c r="O3" s="209">
        <v>1</v>
      </c>
      <c r="P3" s="217">
        <f>(1200000/30)/8</f>
        <v>5000</v>
      </c>
      <c r="Q3" s="217">
        <f t="shared" ref="Q3:Q11" si="0">N3*O3*P3</f>
        <v>5000</v>
      </c>
      <c r="R3" s="209">
        <f>8*D3</f>
        <v>24</v>
      </c>
      <c r="S3" s="209">
        <v>1</v>
      </c>
      <c r="T3" s="212">
        <f t="shared" ref="T3:T19" si="1">L3</f>
        <v>5061.5458333333336</v>
      </c>
      <c r="U3" s="212">
        <f t="shared" ref="U3:U19" si="2">R3*S3*T3</f>
        <v>121477.1</v>
      </c>
      <c r="V3" s="230"/>
      <c r="W3" s="209">
        <v>1</v>
      </c>
      <c r="X3" s="209">
        <v>2</v>
      </c>
      <c r="Y3" s="223">
        <f>((1400000+1400000)/30)/8</f>
        <v>11666.666666666666</v>
      </c>
      <c r="Z3" s="223">
        <f>W3*X3*Y3</f>
        <v>23333.333333333332</v>
      </c>
      <c r="AA3" s="209">
        <v>0</v>
      </c>
      <c r="AB3" s="209">
        <v>0</v>
      </c>
      <c r="AC3" s="223">
        <v>0</v>
      </c>
      <c r="AD3" s="223">
        <f t="shared" ref="AD3:AD21" si="3">AA3*AB3*AC3</f>
        <v>0</v>
      </c>
      <c r="AE3" s="240">
        <v>1</v>
      </c>
      <c r="AF3" s="240">
        <v>2</v>
      </c>
      <c r="AG3" s="226">
        <f>((5000000+2400000)/30)/8</f>
        <v>30833.333333333332</v>
      </c>
      <c r="AH3" s="226">
        <f>AE3*AF3*AG3</f>
        <v>61666.666666666664</v>
      </c>
      <c r="AI3" s="240">
        <v>0</v>
      </c>
      <c r="AJ3" s="240">
        <v>0</v>
      </c>
      <c r="AK3" s="226">
        <v>0</v>
      </c>
      <c r="AL3" s="226">
        <f>AI3*AJ3*AK3</f>
        <v>0</v>
      </c>
      <c r="AM3" s="240">
        <v>1</v>
      </c>
      <c r="AN3" s="240">
        <v>1</v>
      </c>
      <c r="AO3" s="226">
        <f>(1800000/30)/8</f>
        <v>7500</v>
      </c>
      <c r="AP3" s="226">
        <f t="shared" ref="AP3:AP32" si="4">AM3*AN3*AO3</f>
        <v>7500</v>
      </c>
      <c r="AQ3" s="240">
        <v>0</v>
      </c>
      <c r="AR3" s="240">
        <v>0</v>
      </c>
      <c r="AS3" s="226">
        <v>0</v>
      </c>
      <c r="AT3" s="226">
        <f>AQ3*AR3*AS3</f>
        <v>0</v>
      </c>
      <c r="AU3" s="240">
        <v>1</v>
      </c>
      <c r="AV3" s="240">
        <v>3</v>
      </c>
      <c r="AW3" s="226">
        <f>((6000000+3900000+1400000)/30)/8</f>
        <v>47083.333333333336</v>
      </c>
      <c r="AX3" s="226">
        <f>AU3*AV3*AW3</f>
        <v>141250</v>
      </c>
      <c r="AY3" s="240">
        <v>1</v>
      </c>
      <c r="AZ3" s="240">
        <v>7</v>
      </c>
      <c r="BA3" s="226">
        <f>((6000000+3900000+1400000+3900000+3900000+6000000+2500000)/30)/8</f>
        <v>115000</v>
      </c>
      <c r="BB3" s="226">
        <f>AY3*AZ3*BA3</f>
        <v>805000</v>
      </c>
      <c r="BC3" s="240">
        <v>1</v>
      </c>
      <c r="BD3" s="240">
        <v>3</v>
      </c>
      <c r="BE3" s="226">
        <f>((1400000+3900000+1400000)/30)/8</f>
        <v>27916.666666666668</v>
      </c>
      <c r="BF3" s="226">
        <f>BC3*BD3*BE3</f>
        <v>83750</v>
      </c>
      <c r="BG3" s="240">
        <v>0</v>
      </c>
      <c r="BH3" s="240">
        <v>0</v>
      </c>
      <c r="BI3" s="226">
        <v>0</v>
      </c>
      <c r="BJ3" s="226">
        <f>BG3*BH3*BI3</f>
        <v>0</v>
      </c>
      <c r="BK3" s="240">
        <v>0</v>
      </c>
      <c r="BL3" s="240">
        <v>0</v>
      </c>
      <c r="BM3" s="226">
        <v>0</v>
      </c>
      <c r="BN3" s="226">
        <f>BK3*BL3*BM3</f>
        <v>0</v>
      </c>
      <c r="BO3" s="209">
        <v>1</v>
      </c>
      <c r="BP3" s="209">
        <v>1</v>
      </c>
      <c r="BQ3" s="223">
        <f>(1400000/30)/8</f>
        <v>5833.333333333333</v>
      </c>
      <c r="BR3" s="223">
        <f t="shared" ref="BR3" si="5">BO3*BP3*BQ3</f>
        <v>5833.333333333333</v>
      </c>
      <c r="BS3" s="209">
        <v>0</v>
      </c>
      <c r="BT3" s="209">
        <v>0</v>
      </c>
      <c r="BU3" s="223">
        <v>0</v>
      </c>
      <c r="BV3" s="223">
        <f t="shared" ref="BV3" si="6">BS3*BT3*BU3</f>
        <v>0</v>
      </c>
      <c r="BW3" s="209">
        <v>0</v>
      </c>
      <c r="BX3" s="209">
        <v>0</v>
      </c>
      <c r="BY3" s="223">
        <v>0</v>
      </c>
      <c r="BZ3" s="223">
        <f t="shared" ref="BZ3" si="7">BW3*BX3*BY3</f>
        <v>0</v>
      </c>
      <c r="CA3" s="209">
        <v>0</v>
      </c>
      <c r="CB3" s="209">
        <v>0</v>
      </c>
      <c r="CC3" s="223">
        <v>0</v>
      </c>
      <c r="CD3" s="223">
        <f t="shared" ref="CD3" si="8">CA3*CB3*CC3</f>
        <v>0</v>
      </c>
      <c r="CE3" s="209">
        <v>0</v>
      </c>
      <c r="CF3" s="209">
        <v>0</v>
      </c>
      <c r="CG3" s="223">
        <v>0</v>
      </c>
      <c r="CH3" s="223">
        <v>0</v>
      </c>
      <c r="CI3" s="209">
        <v>0</v>
      </c>
      <c r="CJ3" s="209">
        <v>0</v>
      </c>
      <c r="CK3" s="223">
        <v>0</v>
      </c>
      <c r="CL3" s="223">
        <v>0</v>
      </c>
      <c r="CM3" s="209">
        <v>0</v>
      </c>
      <c r="CN3" s="209">
        <v>0</v>
      </c>
      <c r="CO3" s="226">
        <v>0</v>
      </c>
      <c r="CP3" s="226">
        <f>CM3*CN3*CO3</f>
        <v>0</v>
      </c>
      <c r="CQ3" s="209">
        <v>0</v>
      </c>
      <c r="CR3" s="209">
        <v>0</v>
      </c>
      <c r="CS3" s="226">
        <v>0</v>
      </c>
      <c r="CT3" s="226">
        <f>CQ3*CR3*CS3</f>
        <v>0</v>
      </c>
      <c r="CU3" s="209" t="s">
        <v>827</v>
      </c>
      <c r="CV3" s="209">
        <v>0</v>
      </c>
      <c r="CW3" s="226">
        <v>0</v>
      </c>
      <c r="CX3" s="226">
        <f>+CV3*CW3</f>
        <v>0</v>
      </c>
      <c r="CY3" s="209" t="s">
        <v>827</v>
      </c>
      <c r="CZ3" s="209">
        <v>0</v>
      </c>
      <c r="DA3" s="226">
        <v>0</v>
      </c>
      <c r="DB3" s="226">
        <f t="shared" ref="DB3" si="9">+CZ3*DA3</f>
        <v>0</v>
      </c>
      <c r="DC3" s="209" t="s">
        <v>827</v>
      </c>
      <c r="DD3" s="209">
        <v>0</v>
      </c>
      <c r="DE3" s="226">
        <v>0</v>
      </c>
      <c r="DF3" s="226">
        <f t="shared" ref="DF3" si="10">+DD3*DE3</f>
        <v>0</v>
      </c>
      <c r="DG3" s="209" t="s">
        <v>827</v>
      </c>
      <c r="DH3" s="209">
        <v>0</v>
      </c>
      <c r="DI3" s="226">
        <v>0</v>
      </c>
      <c r="DJ3" s="226">
        <f t="shared" ref="DJ3" si="11">+DH3*DI3</f>
        <v>0</v>
      </c>
      <c r="DK3" s="209" t="s">
        <v>827</v>
      </c>
      <c r="DL3" s="209">
        <v>0</v>
      </c>
      <c r="DM3" s="226">
        <v>0</v>
      </c>
      <c r="DN3" s="226">
        <f t="shared" ref="DN3" si="12">+DL3*DM3</f>
        <v>0</v>
      </c>
      <c r="DO3" s="209" t="s">
        <v>827</v>
      </c>
      <c r="DP3" s="209">
        <v>0</v>
      </c>
      <c r="DQ3" s="226">
        <v>0</v>
      </c>
      <c r="DR3" s="226">
        <f t="shared" ref="DR3" si="13">+DP3*DQ3</f>
        <v>0</v>
      </c>
      <c r="DS3" s="209" t="s">
        <v>827</v>
      </c>
      <c r="DT3" s="209">
        <v>0</v>
      </c>
      <c r="DU3" s="226">
        <v>0</v>
      </c>
      <c r="DV3" s="226">
        <f t="shared" ref="DV3" si="14">+DT3*DU3</f>
        <v>0</v>
      </c>
      <c r="DW3" s="209" t="s">
        <v>827</v>
      </c>
      <c r="DX3" s="209">
        <v>0</v>
      </c>
      <c r="DY3" s="226">
        <v>0</v>
      </c>
      <c r="DZ3" s="226">
        <f t="shared" ref="DZ3" si="15">+DX3*DY3</f>
        <v>0</v>
      </c>
      <c r="EA3" s="209" t="s">
        <v>827</v>
      </c>
      <c r="EB3" s="209">
        <v>0</v>
      </c>
      <c r="EC3" s="226">
        <v>0</v>
      </c>
      <c r="ED3" s="226">
        <f t="shared" ref="ED3" si="16">+EB3*EC3</f>
        <v>0</v>
      </c>
      <c r="EE3" s="209" t="s">
        <v>827</v>
      </c>
      <c r="EF3" s="209">
        <v>0</v>
      </c>
      <c r="EG3" s="226">
        <v>0</v>
      </c>
      <c r="EH3" s="226">
        <f t="shared" ref="EH3" si="17">+EF3*EG3</f>
        <v>0</v>
      </c>
      <c r="EI3" s="209" t="s">
        <v>827</v>
      </c>
      <c r="EJ3" s="209">
        <v>0</v>
      </c>
      <c r="EK3" s="226">
        <v>0</v>
      </c>
      <c r="EL3" s="226">
        <f t="shared" ref="EL3" si="18">+EJ3*EK3</f>
        <v>0</v>
      </c>
      <c r="EM3" s="209" t="s">
        <v>827</v>
      </c>
      <c r="EN3" s="209">
        <v>0</v>
      </c>
      <c r="EO3" s="226">
        <v>0</v>
      </c>
      <c r="EP3" s="226">
        <f t="shared" ref="EP3" si="19">+EN3*EO3</f>
        <v>0</v>
      </c>
      <c r="EQ3" s="209" t="s">
        <v>827</v>
      </c>
      <c r="ER3" s="211" t="s">
        <v>167</v>
      </c>
      <c r="ES3" s="226">
        <v>0</v>
      </c>
      <c r="ET3" s="209" t="s">
        <v>827</v>
      </c>
      <c r="EU3" s="211" t="s">
        <v>167</v>
      </c>
      <c r="EV3" s="226">
        <v>0</v>
      </c>
      <c r="EW3" s="209" t="s">
        <v>827</v>
      </c>
      <c r="EX3" s="211" t="s">
        <v>167</v>
      </c>
      <c r="EY3" s="226">
        <v>0</v>
      </c>
      <c r="EZ3" s="209" t="s">
        <v>827</v>
      </c>
      <c r="FA3" s="226">
        <v>0</v>
      </c>
      <c r="FB3" s="209" t="s">
        <v>827</v>
      </c>
      <c r="FC3" s="226">
        <v>0</v>
      </c>
      <c r="FD3" s="209" t="s">
        <v>827</v>
      </c>
      <c r="FE3" s="226">
        <v>0</v>
      </c>
      <c r="FF3" s="209" t="s">
        <v>827</v>
      </c>
      <c r="FG3" s="226">
        <v>0</v>
      </c>
      <c r="FH3" s="209" t="s">
        <v>827</v>
      </c>
      <c r="FI3" s="226">
        <v>0</v>
      </c>
      <c r="FJ3" s="230"/>
      <c r="FK3" s="230"/>
      <c r="FL3" s="233" t="s">
        <v>827</v>
      </c>
      <c r="FM3" s="209">
        <v>0</v>
      </c>
      <c r="FN3" s="223">
        <v>0</v>
      </c>
      <c r="FO3" s="223">
        <f>FM3*FN3</f>
        <v>0</v>
      </c>
      <c r="FP3" s="233" t="s">
        <v>827</v>
      </c>
      <c r="FQ3" s="209">
        <v>1</v>
      </c>
      <c r="FR3" s="223">
        <v>0</v>
      </c>
      <c r="FS3" s="223">
        <f>FQ3*FR3</f>
        <v>0</v>
      </c>
      <c r="FT3" s="230"/>
      <c r="FU3" s="230"/>
      <c r="FV3" s="233" t="s">
        <v>827</v>
      </c>
      <c r="FW3" s="209">
        <v>0</v>
      </c>
      <c r="FX3" s="223">
        <v>0</v>
      </c>
      <c r="FY3" s="223">
        <f t="shared" ref="FY3:FY8" si="20">FW3*FX3</f>
        <v>0</v>
      </c>
      <c r="FZ3" s="230"/>
      <c r="GA3" s="233" t="s">
        <v>827</v>
      </c>
      <c r="GB3" s="209">
        <v>0</v>
      </c>
      <c r="GC3" s="223">
        <v>0</v>
      </c>
      <c r="GD3" s="223">
        <f t="shared" ref="GD3" si="21">GB3*GC3</f>
        <v>0</v>
      </c>
      <c r="GE3" s="233" t="s">
        <v>827</v>
      </c>
      <c r="GF3" s="209">
        <v>0</v>
      </c>
      <c r="GG3" s="223">
        <v>0</v>
      </c>
      <c r="GH3" s="223">
        <f t="shared" ref="GH3" si="22">GF3*GG3</f>
        <v>0</v>
      </c>
      <c r="GI3" s="233" t="s">
        <v>827</v>
      </c>
      <c r="GJ3" s="209">
        <v>0</v>
      </c>
      <c r="GK3" s="223">
        <v>0</v>
      </c>
      <c r="GL3" s="223">
        <f t="shared" ref="GL3" si="23">GJ3*GK3</f>
        <v>0</v>
      </c>
      <c r="GM3" s="233" t="s">
        <v>827</v>
      </c>
      <c r="GN3" s="209">
        <v>0</v>
      </c>
      <c r="GO3" s="223">
        <v>0</v>
      </c>
      <c r="GP3" s="223">
        <f t="shared" ref="GP3" si="24">GN3*GO3</f>
        <v>0</v>
      </c>
      <c r="GQ3" s="233" t="s">
        <v>827</v>
      </c>
      <c r="GR3" s="209">
        <v>0</v>
      </c>
      <c r="GS3" s="223">
        <v>0</v>
      </c>
      <c r="GT3" s="223">
        <f t="shared" ref="GT3" si="25">GR3*GS3</f>
        <v>0</v>
      </c>
      <c r="GU3" s="233" t="s">
        <v>827</v>
      </c>
      <c r="GV3" s="209">
        <v>0</v>
      </c>
      <c r="GW3" s="223">
        <v>0</v>
      </c>
      <c r="GX3" s="223">
        <f t="shared" ref="GX3" si="26">GV3*GW3</f>
        <v>0</v>
      </c>
      <c r="GY3" s="230"/>
      <c r="GZ3" s="233" t="s">
        <v>827</v>
      </c>
      <c r="HA3" s="209">
        <v>0</v>
      </c>
      <c r="HB3" s="223">
        <v>0</v>
      </c>
      <c r="HC3" s="223">
        <f t="shared" ref="HC3" si="27">HA3*HB3</f>
        <v>0</v>
      </c>
      <c r="HD3" s="233" t="s">
        <v>827</v>
      </c>
      <c r="HE3" s="209">
        <v>0</v>
      </c>
      <c r="HF3" s="223">
        <v>0</v>
      </c>
      <c r="HG3" s="223">
        <f t="shared" ref="HG3" si="28">HE3*HF3</f>
        <v>0</v>
      </c>
      <c r="HH3" s="230"/>
      <c r="HI3" s="233" t="s">
        <v>827</v>
      </c>
      <c r="HJ3" s="209">
        <v>0</v>
      </c>
      <c r="HK3" s="223">
        <v>0</v>
      </c>
      <c r="HL3" s="223">
        <f t="shared" ref="HL3" si="29">HJ3*HK3</f>
        <v>0</v>
      </c>
      <c r="HM3" s="230"/>
      <c r="HN3" s="230"/>
      <c r="HO3" s="233" t="s">
        <v>827</v>
      </c>
      <c r="HP3" s="209">
        <v>0</v>
      </c>
      <c r="HQ3" s="223">
        <v>0</v>
      </c>
      <c r="HR3" s="223">
        <f t="shared" ref="HR3" si="30">HP3*HQ3</f>
        <v>0</v>
      </c>
      <c r="HS3" s="230"/>
      <c r="HT3" s="230"/>
      <c r="HU3" s="230"/>
      <c r="HV3" s="230"/>
      <c r="HW3" s="230"/>
      <c r="HX3" s="230"/>
      <c r="HY3" s="230"/>
      <c r="HZ3" s="230"/>
      <c r="IA3" s="230"/>
      <c r="IB3" s="230"/>
      <c r="IC3" s="230"/>
      <c r="ID3" s="230"/>
      <c r="IE3" s="230"/>
      <c r="IF3" s="230"/>
    </row>
    <row r="4" spans="1:303" x14ac:dyDescent="0.2">
      <c r="A4" s="209" t="s">
        <v>762</v>
      </c>
      <c r="B4" s="209" t="s">
        <v>763</v>
      </c>
      <c r="C4" s="209" t="s">
        <v>779</v>
      </c>
      <c r="D4" s="211">
        <v>3</v>
      </c>
      <c r="E4" s="210">
        <v>156972</v>
      </c>
      <c r="F4" s="212">
        <f t="shared" ref="F4:F32" si="31">+E4/D4</f>
        <v>52324</v>
      </c>
      <c r="G4" s="209">
        <f>1+1</f>
        <v>2</v>
      </c>
      <c r="H4" s="209">
        <v>2</v>
      </c>
      <c r="I4" s="212">
        <f>((3900000+1200000)/30)/8</f>
        <v>21250</v>
      </c>
      <c r="J4" s="212">
        <f t="shared" ref="J4:J17" si="32">G4*H4*I4</f>
        <v>85000</v>
      </c>
      <c r="K4" s="211">
        <v>8</v>
      </c>
      <c r="L4" s="217">
        <f t="shared" ref="L4:L32" si="33">F4/8</f>
        <v>6540.5</v>
      </c>
      <c r="M4" s="217">
        <f t="shared" ref="M4:M32" si="34">K4*L4</f>
        <v>52324</v>
      </c>
      <c r="N4" s="209">
        <v>1</v>
      </c>
      <c r="O4" s="209">
        <v>1</v>
      </c>
      <c r="P4" s="217">
        <f>(1200000/30)/8</f>
        <v>5000</v>
      </c>
      <c r="Q4" s="217">
        <f t="shared" si="0"/>
        <v>5000</v>
      </c>
      <c r="R4" s="209">
        <f>8*D4</f>
        <v>24</v>
      </c>
      <c r="S4" s="209">
        <v>1</v>
      </c>
      <c r="T4" s="212">
        <f t="shared" si="1"/>
        <v>6540.5</v>
      </c>
      <c r="U4" s="212">
        <f t="shared" si="2"/>
        <v>156972</v>
      </c>
      <c r="V4" s="230"/>
      <c r="W4" s="209">
        <v>1</v>
      </c>
      <c r="X4" s="209">
        <v>2</v>
      </c>
      <c r="Y4" s="223">
        <f>((1400000+1400000)/30)/8</f>
        <v>11666.666666666666</v>
      </c>
      <c r="Z4" s="223">
        <f t="shared" ref="Z4:Z32" si="35">W4*X4*Y4</f>
        <v>23333.333333333332</v>
      </c>
      <c r="AA4" s="209">
        <v>1</v>
      </c>
      <c r="AB4" s="209">
        <v>1</v>
      </c>
      <c r="AC4" s="223">
        <f>(2000000/30)/8</f>
        <v>8333.3333333333339</v>
      </c>
      <c r="AD4" s="223">
        <f t="shared" si="3"/>
        <v>8333.3333333333339</v>
      </c>
      <c r="AE4" s="209">
        <v>1</v>
      </c>
      <c r="AF4" s="209">
        <v>1</v>
      </c>
      <c r="AG4" s="223">
        <f>(3900000/30)/8</f>
        <v>16250</v>
      </c>
      <c r="AH4" s="223">
        <f t="shared" ref="AH4:AH32" si="36">AE4*AF4*AG4</f>
        <v>16250</v>
      </c>
      <c r="AI4" s="209">
        <v>1</v>
      </c>
      <c r="AJ4" s="209">
        <v>1</v>
      </c>
      <c r="AK4" s="223">
        <f>(1200000/30)/8</f>
        <v>5000</v>
      </c>
      <c r="AL4" s="223">
        <f t="shared" ref="AL4" si="37">AI4*AJ4*AK4</f>
        <v>5000</v>
      </c>
      <c r="AM4" s="209">
        <v>1</v>
      </c>
      <c r="AN4" s="209">
        <v>1</v>
      </c>
      <c r="AO4" s="226">
        <f>(1800000/30)/8</f>
        <v>7500</v>
      </c>
      <c r="AP4" s="223">
        <f t="shared" si="4"/>
        <v>7500</v>
      </c>
      <c r="AQ4" s="209">
        <v>2</v>
      </c>
      <c r="AR4" s="209">
        <v>1</v>
      </c>
      <c r="AS4" s="223">
        <f>(3500000/30)/8</f>
        <v>14583.333333333334</v>
      </c>
      <c r="AT4" s="223">
        <f t="shared" ref="AT4:AT32" si="38">AQ4*AR4*AS4</f>
        <v>29166.666666666668</v>
      </c>
      <c r="AU4" s="209">
        <v>1</v>
      </c>
      <c r="AV4" s="209">
        <v>1</v>
      </c>
      <c r="AW4" s="223">
        <f>(900000/30)/8</f>
        <v>3750</v>
      </c>
      <c r="AX4" s="223">
        <f t="shared" ref="AX4:AX32" si="39">AU4*AV4*AW4</f>
        <v>3750</v>
      </c>
      <c r="AY4" s="209">
        <v>1</v>
      </c>
      <c r="AZ4" s="209">
        <v>7</v>
      </c>
      <c r="BA4" s="223">
        <f>((3500000+3500000+1500000+3500000+3500000+6000000+2500000)/30)/8</f>
        <v>100000</v>
      </c>
      <c r="BB4" s="223">
        <f t="shared" ref="BB4:BB32" si="40">AY4*AZ4*BA4</f>
        <v>700000</v>
      </c>
      <c r="BC4" s="209">
        <v>1</v>
      </c>
      <c r="BD4" s="209">
        <v>2</v>
      </c>
      <c r="BE4" s="223">
        <f>((3500000+1400000)/30)/8</f>
        <v>20416.666666666668</v>
      </c>
      <c r="BF4" s="223">
        <f t="shared" ref="BF4:BF31" si="41">BC4*BD4*BE4</f>
        <v>40833.333333333336</v>
      </c>
      <c r="BG4" s="209">
        <v>0</v>
      </c>
      <c r="BH4" s="209">
        <v>0</v>
      </c>
      <c r="BI4" s="223">
        <v>0</v>
      </c>
      <c r="BJ4" s="223">
        <f t="shared" ref="BJ4:BJ32" si="42">BG4*BH4*BI4</f>
        <v>0</v>
      </c>
      <c r="BK4" s="209">
        <v>1</v>
      </c>
      <c r="BL4" s="209">
        <v>1</v>
      </c>
      <c r="BM4" s="223">
        <f t="shared" ref="BM4:BM32" si="43">(5000000/30)/8</f>
        <v>20833.333333333332</v>
      </c>
      <c r="BN4" s="223">
        <f t="shared" ref="BN4:BN32" si="44">BK4*BL4*BM4</f>
        <v>20833.333333333332</v>
      </c>
      <c r="BO4" s="209">
        <v>1</v>
      </c>
      <c r="BP4" s="209">
        <v>1</v>
      </c>
      <c r="BQ4" s="223">
        <f t="shared" ref="BQ4:BQ32" si="45">(1400000/30)/8</f>
        <v>5833.333333333333</v>
      </c>
      <c r="BR4" s="223">
        <f t="shared" ref="BR4:BR32" si="46">BO4*BP4*BQ4</f>
        <v>5833.333333333333</v>
      </c>
      <c r="BS4" s="209">
        <v>1</v>
      </c>
      <c r="BT4" s="209">
        <v>2</v>
      </c>
      <c r="BU4" s="223">
        <f>((1400000*2)/30)/8</f>
        <v>11666.666666666666</v>
      </c>
      <c r="BV4" s="223">
        <f t="shared" ref="BV4:BV32" si="47">BS4*BT4*BU4</f>
        <v>23333.333333333332</v>
      </c>
      <c r="BW4" s="209">
        <v>1</v>
      </c>
      <c r="BX4" s="209">
        <v>1</v>
      </c>
      <c r="BY4" s="223">
        <f>(1400000/30)/8</f>
        <v>5833.333333333333</v>
      </c>
      <c r="BZ4" s="223">
        <f t="shared" ref="BZ4" si="48">BW4*BX4*BY4</f>
        <v>5833.333333333333</v>
      </c>
      <c r="CA4" s="209">
        <v>0</v>
      </c>
      <c r="CB4" s="209">
        <v>0</v>
      </c>
      <c r="CC4" s="223">
        <v>0</v>
      </c>
      <c r="CD4" s="223">
        <f t="shared" ref="CD4:CD32" si="49">CA4*CB4*CC4</f>
        <v>0</v>
      </c>
      <c r="CE4" s="209">
        <v>1</v>
      </c>
      <c r="CF4" s="209">
        <v>1</v>
      </c>
      <c r="CG4" s="223">
        <f>(3500000/30)/8</f>
        <v>14583.333333333334</v>
      </c>
      <c r="CH4" s="223">
        <f t="shared" ref="CH4:CH32" si="50">CE4*CF4*CG4</f>
        <v>14583.333333333334</v>
      </c>
      <c r="CI4" s="209">
        <v>0</v>
      </c>
      <c r="CJ4" s="209">
        <v>0</v>
      </c>
      <c r="CK4" s="223">
        <v>0</v>
      </c>
      <c r="CL4" s="223">
        <f t="shared" ref="CL4" si="51">CI4*CJ4*CK4</f>
        <v>0</v>
      </c>
      <c r="CM4" s="209">
        <v>2</v>
      </c>
      <c r="CN4" s="209">
        <v>3</v>
      </c>
      <c r="CO4" s="226">
        <f>((3500000+1400000+1200000)/30)/8</f>
        <v>25416.666666666668</v>
      </c>
      <c r="CP4" s="226">
        <f t="shared" ref="CP4:CP32" si="52">CM4*CN4*CO4</f>
        <v>152500</v>
      </c>
      <c r="CQ4" s="209">
        <v>0</v>
      </c>
      <c r="CR4" s="209">
        <v>0</v>
      </c>
      <c r="CS4" s="226">
        <v>0</v>
      </c>
      <c r="CT4" s="226">
        <f t="shared" ref="CT4:CT32" si="53">CQ4*CR4*CS4</f>
        <v>0</v>
      </c>
      <c r="CU4" s="209" t="s">
        <v>827</v>
      </c>
      <c r="CV4" s="209">
        <v>0</v>
      </c>
      <c r="CW4" s="226">
        <v>0</v>
      </c>
      <c r="CX4" s="226">
        <f t="shared" ref="CX4:CX32" si="54">+CV4*CW4</f>
        <v>0</v>
      </c>
      <c r="CY4" s="209" t="s">
        <v>827</v>
      </c>
      <c r="CZ4" s="209">
        <v>0</v>
      </c>
      <c r="DA4" s="226">
        <v>0</v>
      </c>
      <c r="DB4" s="226">
        <f t="shared" ref="DB4:DB32" si="55">+CZ4*DA4</f>
        <v>0</v>
      </c>
      <c r="DC4" s="209" t="s">
        <v>827</v>
      </c>
      <c r="DD4" s="209">
        <v>0</v>
      </c>
      <c r="DE4" s="226">
        <v>0</v>
      </c>
      <c r="DF4" s="226">
        <f t="shared" ref="DF4:DF32" si="56">+DD4*DE4</f>
        <v>0</v>
      </c>
      <c r="DG4" s="209" t="s">
        <v>827</v>
      </c>
      <c r="DH4" s="209">
        <v>0</v>
      </c>
      <c r="DI4" s="226">
        <v>0</v>
      </c>
      <c r="DJ4" s="226">
        <f t="shared" ref="DJ4:DJ32" si="57">+DH4*DI4</f>
        <v>0</v>
      </c>
      <c r="DK4" s="209" t="s">
        <v>827</v>
      </c>
      <c r="DL4" s="209">
        <v>0</v>
      </c>
      <c r="DM4" s="226">
        <v>0</v>
      </c>
      <c r="DN4" s="226">
        <f t="shared" ref="DN4:DN32" si="58">+DL4*DM4</f>
        <v>0</v>
      </c>
      <c r="DO4" s="209" t="s">
        <v>827</v>
      </c>
      <c r="DP4" s="209">
        <v>0</v>
      </c>
      <c r="DQ4" s="226">
        <v>0</v>
      </c>
      <c r="DR4" s="226">
        <f t="shared" ref="DR4:DR32" si="59">+DP4*DQ4</f>
        <v>0</v>
      </c>
      <c r="DS4" s="209" t="s">
        <v>827</v>
      </c>
      <c r="DT4" s="209">
        <v>0</v>
      </c>
      <c r="DU4" s="226">
        <v>0</v>
      </c>
      <c r="DV4" s="226">
        <f t="shared" ref="DV4:DV32" si="60">+DT4*DU4</f>
        <v>0</v>
      </c>
      <c r="DW4" s="209" t="s">
        <v>827</v>
      </c>
      <c r="DX4" s="209">
        <v>0</v>
      </c>
      <c r="DY4" s="226">
        <v>0</v>
      </c>
      <c r="DZ4" s="226">
        <f t="shared" ref="DZ4:DZ32" si="61">+DX4*DY4</f>
        <v>0</v>
      </c>
      <c r="EA4" s="209" t="s">
        <v>827</v>
      </c>
      <c r="EB4" s="209">
        <v>0</v>
      </c>
      <c r="EC4" s="226">
        <v>0</v>
      </c>
      <c r="ED4" s="226">
        <f t="shared" ref="ED4:ED32" si="62">+EB4*EC4</f>
        <v>0</v>
      </c>
      <c r="EE4" s="209" t="s">
        <v>953</v>
      </c>
      <c r="EF4" s="209">
        <v>1</v>
      </c>
      <c r="EG4" s="226">
        <v>200000</v>
      </c>
      <c r="EH4" s="226">
        <f t="shared" ref="EH4:EH32" si="63">+EF4*EG4</f>
        <v>200000</v>
      </c>
      <c r="EI4" s="209" t="s">
        <v>827</v>
      </c>
      <c r="EJ4" s="209">
        <v>0</v>
      </c>
      <c r="EK4" s="226">
        <v>0</v>
      </c>
      <c r="EL4" s="226">
        <f t="shared" ref="EL4:EL32" si="64">+EJ4*EK4</f>
        <v>0</v>
      </c>
      <c r="EM4" s="209" t="s">
        <v>827</v>
      </c>
      <c r="EN4" s="209">
        <v>0</v>
      </c>
      <c r="EO4" s="226">
        <v>0</v>
      </c>
      <c r="EP4" s="226">
        <f t="shared" ref="EP4:EP32" si="65">+EN4*EO4</f>
        <v>0</v>
      </c>
      <c r="EQ4" s="209" t="s">
        <v>957</v>
      </c>
      <c r="ER4" s="211" t="s">
        <v>167</v>
      </c>
      <c r="ES4" s="226">
        <f>84635*8</f>
        <v>677080</v>
      </c>
      <c r="ET4" s="209" t="s">
        <v>827</v>
      </c>
      <c r="EU4" s="211" t="s">
        <v>167</v>
      </c>
      <c r="EV4" s="226">
        <v>0</v>
      </c>
      <c r="EW4" s="209" t="s">
        <v>827</v>
      </c>
      <c r="EX4" s="211" t="s">
        <v>167</v>
      </c>
      <c r="EY4" s="226">
        <v>0</v>
      </c>
      <c r="EZ4" s="209" t="s">
        <v>827</v>
      </c>
      <c r="FA4" s="226">
        <v>0</v>
      </c>
      <c r="FB4" s="209" t="s">
        <v>827</v>
      </c>
      <c r="FC4" s="226">
        <v>0</v>
      </c>
      <c r="FD4" s="209" t="s">
        <v>827</v>
      </c>
      <c r="FE4" s="226">
        <v>0</v>
      </c>
      <c r="FF4" s="209" t="s">
        <v>827</v>
      </c>
      <c r="FG4" s="226">
        <v>0</v>
      </c>
      <c r="FH4" s="209" t="s">
        <v>827</v>
      </c>
      <c r="FI4" s="226">
        <v>0</v>
      </c>
      <c r="FJ4" s="230"/>
      <c r="FK4" s="230"/>
      <c r="FL4" s="233" t="s">
        <v>827</v>
      </c>
      <c r="FM4" s="209">
        <v>0</v>
      </c>
      <c r="FN4" s="223">
        <v>0</v>
      </c>
      <c r="FO4" s="223">
        <f t="shared" ref="FO4:FO32" si="66">FM4*FN4</f>
        <v>0</v>
      </c>
      <c r="FP4" s="233" t="s">
        <v>827</v>
      </c>
      <c r="FQ4" s="209">
        <v>0</v>
      </c>
      <c r="FR4" s="223">
        <v>0</v>
      </c>
      <c r="FS4" s="223">
        <f t="shared" ref="FS4:FS32" si="67">FQ4*FR4</f>
        <v>0</v>
      </c>
      <c r="FT4" s="230"/>
      <c r="FU4" s="230"/>
      <c r="FV4" s="233" t="s">
        <v>827</v>
      </c>
      <c r="FW4" s="209">
        <v>0</v>
      </c>
      <c r="FX4" s="223">
        <v>0</v>
      </c>
      <c r="FY4" s="223">
        <f t="shared" si="20"/>
        <v>0</v>
      </c>
      <c r="FZ4" s="230"/>
      <c r="GA4" s="233" t="s">
        <v>827</v>
      </c>
      <c r="GB4" s="209">
        <v>0</v>
      </c>
      <c r="GC4" s="223">
        <v>0</v>
      </c>
      <c r="GD4" s="223">
        <f t="shared" ref="GD4:GD32" si="68">GB4*GC4</f>
        <v>0</v>
      </c>
      <c r="GE4" s="233" t="s">
        <v>965</v>
      </c>
      <c r="GF4" s="209">
        <v>1</v>
      </c>
      <c r="GG4" s="223">
        <v>10000</v>
      </c>
      <c r="GH4" s="223">
        <f t="shared" ref="GH4:GH21" si="69">GF4*GG4</f>
        <v>10000</v>
      </c>
      <c r="GI4" s="233" t="s">
        <v>827</v>
      </c>
      <c r="GJ4" s="209">
        <v>0</v>
      </c>
      <c r="GK4" s="223">
        <v>0</v>
      </c>
      <c r="GL4" s="223">
        <f t="shared" ref="GL4:GL22" si="70">GJ4*GK4</f>
        <v>0</v>
      </c>
      <c r="GM4" s="233" t="s">
        <v>827</v>
      </c>
      <c r="GN4" s="209">
        <v>0</v>
      </c>
      <c r="GO4" s="223">
        <v>0</v>
      </c>
      <c r="GP4" s="223">
        <f t="shared" ref="GP4:GP32" si="71">GN4*GO4</f>
        <v>0</v>
      </c>
      <c r="GQ4" s="233" t="s">
        <v>827</v>
      </c>
      <c r="GR4" s="209">
        <v>0</v>
      </c>
      <c r="GS4" s="223">
        <v>0</v>
      </c>
      <c r="GT4" s="223">
        <f t="shared" ref="GT4:GT32" si="72">GR4*GS4</f>
        <v>0</v>
      </c>
      <c r="GU4" s="233" t="s">
        <v>827</v>
      </c>
      <c r="GV4" s="209">
        <v>0</v>
      </c>
      <c r="GW4" s="223">
        <v>0</v>
      </c>
      <c r="GX4" s="223">
        <f t="shared" ref="GX4:GX32" si="73">GV4*GW4</f>
        <v>0</v>
      </c>
      <c r="GY4" s="230"/>
      <c r="GZ4" s="233" t="s">
        <v>827</v>
      </c>
      <c r="HA4" s="209">
        <v>0</v>
      </c>
      <c r="HB4" s="223">
        <v>0</v>
      </c>
      <c r="HC4" s="223">
        <f t="shared" ref="HC4:HC32" si="74">HA4*HB4</f>
        <v>0</v>
      </c>
      <c r="HD4" s="233" t="s">
        <v>827</v>
      </c>
      <c r="HE4" s="209">
        <v>0</v>
      </c>
      <c r="HF4" s="223">
        <v>0</v>
      </c>
      <c r="HG4" s="223">
        <f t="shared" ref="HG4:HG32" si="75">HE4*HF4</f>
        <v>0</v>
      </c>
      <c r="HH4" s="230"/>
      <c r="HI4" s="233" t="s">
        <v>827</v>
      </c>
      <c r="HJ4" s="209">
        <v>0</v>
      </c>
      <c r="HK4" s="223">
        <v>0</v>
      </c>
      <c r="HL4" s="223">
        <f t="shared" ref="HL4:HL32" si="76">HJ4*HK4</f>
        <v>0</v>
      </c>
      <c r="HM4" s="230"/>
      <c r="HN4" s="230"/>
      <c r="HO4" s="233" t="s">
        <v>827</v>
      </c>
      <c r="HP4" s="209">
        <v>0</v>
      </c>
      <c r="HQ4" s="223">
        <v>0</v>
      </c>
      <c r="HR4" s="223">
        <f t="shared" ref="HR4:HR21" si="77">HP4*HQ4</f>
        <v>0</v>
      </c>
      <c r="HS4" s="230"/>
      <c r="HT4" s="230"/>
      <c r="HU4" s="230"/>
      <c r="HV4" s="230"/>
      <c r="HW4" s="230"/>
      <c r="HX4" s="230"/>
      <c r="HY4" s="230"/>
      <c r="HZ4" s="230"/>
      <c r="IA4" s="230"/>
      <c r="IB4" s="230"/>
      <c r="IC4" s="230"/>
      <c r="ID4" s="230"/>
      <c r="IE4" s="230"/>
      <c r="IF4" s="230"/>
    </row>
    <row r="5" spans="1:303" x14ac:dyDescent="0.2">
      <c r="A5" s="209" t="s">
        <v>760</v>
      </c>
      <c r="B5" s="209" t="s">
        <v>761</v>
      </c>
      <c r="C5" s="209" t="s">
        <v>779</v>
      </c>
      <c r="D5" s="211">
        <v>1</v>
      </c>
      <c r="E5" s="210">
        <v>23025.733333333301</v>
      </c>
      <c r="F5" s="212">
        <f t="shared" si="31"/>
        <v>23025.733333333301</v>
      </c>
      <c r="G5" s="209">
        <f>1+1</f>
        <v>2</v>
      </c>
      <c r="H5" s="209">
        <v>2</v>
      </c>
      <c r="I5" s="212">
        <f>((3900000+2000000)/30)/8</f>
        <v>24583.333333333332</v>
      </c>
      <c r="J5" s="212">
        <f t="shared" si="32"/>
        <v>98333.333333333328</v>
      </c>
      <c r="K5" s="211">
        <v>8</v>
      </c>
      <c r="L5" s="217">
        <f t="shared" si="33"/>
        <v>2878.2166666666626</v>
      </c>
      <c r="M5" s="217">
        <f t="shared" si="34"/>
        <v>23025.733333333301</v>
      </c>
      <c r="N5" s="209">
        <v>1</v>
      </c>
      <c r="O5" s="209">
        <v>1</v>
      </c>
      <c r="P5" s="217">
        <f>(700000/30)/8</f>
        <v>2916.6666666666665</v>
      </c>
      <c r="Q5" s="217">
        <f t="shared" si="0"/>
        <v>2916.6666666666665</v>
      </c>
      <c r="R5" s="209">
        <f>8*D5</f>
        <v>8</v>
      </c>
      <c r="S5" s="209">
        <v>0</v>
      </c>
      <c r="T5" s="212">
        <f t="shared" si="1"/>
        <v>2878.2166666666626</v>
      </c>
      <c r="U5" s="212">
        <f t="shared" si="2"/>
        <v>0</v>
      </c>
      <c r="V5" s="230"/>
      <c r="W5" s="209">
        <v>1</v>
      </c>
      <c r="X5" s="209">
        <v>2</v>
      </c>
      <c r="Y5" s="223">
        <f>((1400000+2500000)/30)/8</f>
        <v>16250</v>
      </c>
      <c r="Z5" s="223">
        <f t="shared" si="35"/>
        <v>32500</v>
      </c>
      <c r="AA5" s="209">
        <v>1</v>
      </c>
      <c r="AB5" s="209">
        <v>2</v>
      </c>
      <c r="AC5" s="223">
        <f>((900000*2)/30)/8</f>
        <v>7500</v>
      </c>
      <c r="AD5" s="223">
        <f t="shared" si="3"/>
        <v>15000</v>
      </c>
      <c r="AE5" s="209">
        <v>1</v>
      </c>
      <c r="AF5" s="209">
        <v>1</v>
      </c>
      <c r="AG5" s="223">
        <f>((3900000+1800000)/30)/8</f>
        <v>23750</v>
      </c>
      <c r="AH5" s="223">
        <f t="shared" si="36"/>
        <v>23750</v>
      </c>
      <c r="AI5" s="209">
        <v>2</v>
      </c>
      <c r="AJ5" s="209">
        <v>1</v>
      </c>
      <c r="AK5" s="223">
        <f>(900000/30)/8</f>
        <v>3750</v>
      </c>
      <c r="AL5" s="223">
        <f t="shared" ref="AL5:AL31" si="78">AI5*AJ5*AK5</f>
        <v>7500</v>
      </c>
      <c r="AM5" s="209">
        <v>1</v>
      </c>
      <c r="AN5" s="209">
        <v>1</v>
      </c>
      <c r="AO5" s="226">
        <f>(1800000/30)/8</f>
        <v>7500</v>
      </c>
      <c r="AP5" s="223">
        <f t="shared" si="4"/>
        <v>7500</v>
      </c>
      <c r="AQ5" s="209">
        <v>0</v>
      </c>
      <c r="AR5" s="209">
        <v>0</v>
      </c>
      <c r="AS5" s="223">
        <v>0</v>
      </c>
      <c r="AT5" s="223">
        <f t="shared" si="38"/>
        <v>0</v>
      </c>
      <c r="AU5" s="209">
        <v>1</v>
      </c>
      <c r="AV5" s="209">
        <v>1</v>
      </c>
      <c r="AW5" s="223">
        <f>(1500000/30)/8</f>
        <v>6250</v>
      </c>
      <c r="AX5" s="223">
        <f t="shared" si="39"/>
        <v>6250</v>
      </c>
      <c r="AY5" s="209">
        <v>1</v>
      </c>
      <c r="AZ5" s="209">
        <v>8</v>
      </c>
      <c r="BA5" s="223">
        <f>(2500000+6000000+3500000+1400000+2500000+3500000+3500000+900000/30)/8</f>
        <v>2866250</v>
      </c>
      <c r="BB5" s="223">
        <f t="shared" si="40"/>
        <v>22930000</v>
      </c>
      <c r="BC5" s="209">
        <v>1</v>
      </c>
      <c r="BD5" s="209">
        <v>2</v>
      </c>
      <c r="BE5" s="223">
        <f>((2500000+1400000)/30)/8</f>
        <v>16250</v>
      </c>
      <c r="BF5" s="223">
        <f t="shared" si="41"/>
        <v>32500</v>
      </c>
      <c r="BG5" s="209">
        <v>0</v>
      </c>
      <c r="BH5" s="209">
        <v>0</v>
      </c>
      <c r="BI5" s="223">
        <v>0</v>
      </c>
      <c r="BJ5" s="223">
        <f t="shared" si="42"/>
        <v>0</v>
      </c>
      <c r="BK5" s="209">
        <v>1</v>
      </c>
      <c r="BL5" s="209">
        <v>1</v>
      </c>
      <c r="BM5" s="223">
        <f t="shared" si="43"/>
        <v>20833.333333333332</v>
      </c>
      <c r="BN5" s="223">
        <f t="shared" si="44"/>
        <v>20833.333333333332</v>
      </c>
      <c r="BO5" s="209">
        <v>1</v>
      </c>
      <c r="BP5" s="209">
        <v>1</v>
      </c>
      <c r="BQ5" s="223">
        <f t="shared" si="45"/>
        <v>5833.333333333333</v>
      </c>
      <c r="BR5" s="223">
        <f t="shared" si="46"/>
        <v>5833.333333333333</v>
      </c>
      <c r="BS5" s="209">
        <v>1</v>
      </c>
      <c r="BT5" s="209">
        <v>1</v>
      </c>
      <c r="BU5" s="223">
        <f t="shared" ref="BU5:BU18" si="79">(1400000/30)/8</f>
        <v>5833.333333333333</v>
      </c>
      <c r="BV5" s="223">
        <f t="shared" si="47"/>
        <v>5833.333333333333</v>
      </c>
      <c r="BW5" s="209">
        <v>1</v>
      </c>
      <c r="BX5" s="209">
        <v>1</v>
      </c>
      <c r="BY5" s="223">
        <f t="shared" ref="BY5:BY18" si="80">(1400000/30)/8</f>
        <v>5833.333333333333</v>
      </c>
      <c r="BZ5" s="223">
        <f t="shared" ref="BZ5:BZ32" si="81">BW5*BX5*BY5</f>
        <v>5833.333333333333</v>
      </c>
      <c r="CA5" s="209">
        <v>0</v>
      </c>
      <c r="CB5" s="209">
        <v>0</v>
      </c>
      <c r="CC5" s="223">
        <v>0</v>
      </c>
      <c r="CD5" s="223">
        <f t="shared" si="49"/>
        <v>0</v>
      </c>
      <c r="CE5" s="209">
        <v>1</v>
      </c>
      <c r="CF5" s="209">
        <v>1</v>
      </c>
      <c r="CG5" s="223">
        <f>(3500000/30)/8</f>
        <v>14583.333333333334</v>
      </c>
      <c r="CH5" s="223">
        <f t="shared" si="50"/>
        <v>14583.333333333334</v>
      </c>
      <c r="CI5" s="209">
        <v>0</v>
      </c>
      <c r="CJ5" s="209">
        <v>0</v>
      </c>
      <c r="CK5" s="223">
        <v>0</v>
      </c>
      <c r="CL5" s="223">
        <f t="shared" ref="CL5" si="82">CI5*CJ5*CK5</f>
        <v>0</v>
      </c>
      <c r="CM5" s="209">
        <v>2</v>
      </c>
      <c r="CN5" s="209">
        <v>2</v>
      </c>
      <c r="CO5" s="226">
        <f>((700000+2500000)/30)/8</f>
        <v>13333.333333333334</v>
      </c>
      <c r="CP5" s="226">
        <f t="shared" si="52"/>
        <v>53333.333333333336</v>
      </c>
      <c r="CQ5" s="209">
        <v>0</v>
      </c>
      <c r="CR5" s="209">
        <v>0</v>
      </c>
      <c r="CS5" s="226">
        <v>0</v>
      </c>
      <c r="CT5" s="226">
        <f t="shared" si="53"/>
        <v>0</v>
      </c>
      <c r="CU5" s="209" t="s">
        <v>827</v>
      </c>
      <c r="CV5" s="209">
        <v>0</v>
      </c>
      <c r="CW5" s="226">
        <v>0</v>
      </c>
      <c r="CX5" s="226">
        <f t="shared" si="54"/>
        <v>0</v>
      </c>
      <c r="CY5" s="209" t="s">
        <v>949</v>
      </c>
      <c r="CZ5" s="209">
        <v>1</v>
      </c>
      <c r="DA5" s="226">
        <v>60000</v>
      </c>
      <c r="DB5" s="226">
        <f t="shared" si="55"/>
        <v>60000</v>
      </c>
      <c r="DC5" s="209" t="s">
        <v>827</v>
      </c>
      <c r="DD5" s="209">
        <v>0</v>
      </c>
      <c r="DE5" s="226">
        <v>0</v>
      </c>
      <c r="DF5" s="226">
        <f t="shared" si="56"/>
        <v>0</v>
      </c>
      <c r="DG5" s="209" t="s">
        <v>827</v>
      </c>
      <c r="DH5" s="209">
        <v>0</v>
      </c>
      <c r="DI5" s="226">
        <v>0</v>
      </c>
      <c r="DJ5" s="226">
        <f t="shared" si="57"/>
        <v>0</v>
      </c>
      <c r="DK5" s="209" t="s">
        <v>827</v>
      </c>
      <c r="DL5" s="209">
        <v>0</v>
      </c>
      <c r="DM5" s="226">
        <v>0</v>
      </c>
      <c r="DN5" s="226">
        <f t="shared" si="58"/>
        <v>0</v>
      </c>
      <c r="DO5" s="209" t="s">
        <v>827</v>
      </c>
      <c r="DP5" s="209">
        <v>0</v>
      </c>
      <c r="DQ5" s="226">
        <v>0</v>
      </c>
      <c r="DR5" s="226">
        <f t="shared" si="59"/>
        <v>0</v>
      </c>
      <c r="DS5" s="209" t="s">
        <v>827</v>
      </c>
      <c r="DT5" s="209">
        <v>0</v>
      </c>
      <c r="DU5" s="226">
        <v>0</v>
      </c>
      <c r="DV5" s="226">
        <f t="shared" si="60"/>
        <v>0</v>
      </c>
      <c r="DW5" s="209" t="s">
        <v>827</v>
      </c>
      <c r="DX5" s="209">
        <v>0</v>
      </c>
      <c r="DY5" s="226">
        <v>0</v>
      </c>
      <c r="DZ5" s="226">
        <f t="shared" si="61"/>
        <v>0</v>
      </c>
      <c r="EA5" s="209" t="s">
        <v>827</v>
      </c>
      <c r="EB5" s="209">
        <v>0</v>
      </c>
      <c r="EC5" s="226">
        <v>0</v>
      </c>
      <c r="ED5" s="226">
        <f t="shared" si="62"/>
        <v>0</v>
      </c>
      <c r="EE5" s="209" t="s">
        <v>827</v>
      </c>
      <c r="EF5" s="209">
        <v>0</v>
      </c>
      <c r="EG5" s="226">
        <v>0</v>
      </c>
      <c r="EH5" s="226">
        <f t="shared" si="63"/>
        <v>0</v>
      </c>
      <c r="EI5" s="209" t="s">
        <v>827</v>
      </c>
      <c r="EJ5" s="209">
        <v>0</v>
      </c>
      <c r="EK5" s="226">
        <v>0</v>
      </c>
      <c r="EL5" s="226">
        <f t="shared" si="64"/>
        <v>0</v>
      </c>
      <c r="EM5" s="209" t="s">
        <v>827</v>
      </c>
      <c r="EN5" s="209">
        <v>0</v>
      </c>
      <c r="EO5" s="226">
        <v>0</v>
      </c>
      <c r="EP5" s="226">
        <f t="shared" si="65"/>
        <v>0</v>
      </c>
      <c r="EQ5" s="209" t="s">
        <v>957</v>
      </c>
      <c r="ER5" s="211" t="s">
        <v>167</v>
      </c>
      <c r="ES5" s="226">
        <f>84635*2</f>
        <v>169270</v>
      </c>
      <c r="ET5" s="209" t="s">
        <v>827</v>
      </c>
      <c r="EU5" s="211" t="s">
        <v>167</v>
      </c>
      <c r="EV5" s="226">
        <v>0</v>
      </c>
      <c r="EW5" s="209" t="s">
        <v>827</v>
      </c>
      <c r="EX5" s="211" t="s">
        <v>167</v>
      </c>
      <c r="EY5" s="226">
        <v>0</v>
      </c>
      <c r="EZ5" s="209" t="s">
        <v>827</v>
      </c>
      <c r="FA5" s="226">
        <v>0</v>
      </c>
      <c r="FB5" s="209" t="s">
        <v>827</v>
      </c>
      <c r="FC5" s="226">
        <v>0</v>
      </c>
      <c r="FD5" s="209" t="s">
        <v>827</v>
      </c>
      <c r="FE5" s="226">
        <v>0</v>
      </c>
      <c r="FF5" s="209" t="s">
        <v>827</v>
      </c>
      <c r="FG5" s="226">
        <v>0</v>
      </c>
      <c r="FH5" s="209" t="s">
        <v>827</v>
      </c>
      <c r="FI5" s="226">
        <v>0</v>
      </c>
      <c r="FJ5" s="230"/>
      <c r="FK5" s="230"/>
      <c r="FL5" s="233" t="s">
        <v>959</v>
      </c>
      <c r="FM5" s="209">
        <v>1</v>
      </c>
      <c r="FN5" s="223">
        <f>F5*D5</f>
        <v>23025.733333333301</v>
      </c>
      <c r="FO5" s="223">
        <f t="shared" si="66"/>
        <v>23025.733333333301</v>
      </c>
      <c r="FP5" s="233" t="s">
        <v>827</v>
      </c>
      <c r="FQ5" s="209">
        <v>0</v>
      </c>
      <c r="FR5" s="223">
        <v>0</v>
      </c>
      <c r="FS5" s="223">
        <f t="shared" si="67"/>
        <v>0</v>
      </c>
      <c r="FT5" s="230"/>
      <c r="FU5" s="230"/>
      <c r="FV5" s="233" t="s">
        <v>827</v>
      </c>
      <c r="FW5" s="209">
        <v>0</v>
      </c>
      <c r="FX5" s="223">
        <v>0</v>
      </c>
      <c r="FY5" s="223">
        <f t="shared" si="20"/>
        <v>0</v>
      </c>
      <c r="FZ5" s="230"/>
      <c r="GA5" s="233" t="s">
        <v>827</v>
      </c>
      <c r="GB5" s="209">
        <v>0</v>
      </c>
      <c r="GC5" s="223">
        <v>0</v>
      </c>
      <c r="GD5" s="223">
        <f t="shared" si="68"/>
        <v>0</v>
      </c>
      <c r="GE5" s="233" t="s">
        <v>827</v>
      </c>
      <c r="GF5" s="209">
        <v>0</v>
      </c>
      <c r="GG5" s="223">
        <v>0</v>
      </c>
      <c r="GH5" s="223">
        <f t="shared" si="69"/>
        <v>0</v>
      </c>
      <c r="GI5" s="233" t="s">
        <v>827</v>
      </c>
      <c r="GJ5" s="209">
        <v>0</v>
      </c>
      <c r="GK5" s="223">
        <v>0</v>
      </c>
      <c r="GL5" s="223">
        <f t="shared" si="70"/>
        <v>0</v>
      </c>
      <c r="GM5" s="233" t="s">
        <v>827</v>
      </c>
      <c r="GN5" s="209">
        <v>0</v>
      </c>
      <c r="GO5" s="223">
        <v>0</v>
      </c>
      <c r="GP5" s="223">
        <f t="shared" si="71"/>
        <v>0</v>
      </c>
      <c r="GQ5" s="233" t="s">
        <v>827</v>
      </c>
      <c r="GR5" s="209">
        <v>0</v>
      </c>
      <c r="GS5" s="223">
        <v>0</v>
      </c>
      <c r="GT5" s="223">
        <f t="shared" si="72"/>
        <v>0</v>
      </c>
      <c r="GU5" s="233" t="s">
        <v>827</v>
      </c>
      <c r="GV5" s="209">
        <v>0</v>
      </c>
      <c r="GW5" s="223">
        <v>0</v>
      </c>
      <c r="GX5" s="223">
        <f t="shared" si="73"/>
        <v>0</v>
      </c>
      <c r="GY5" s="230"/>
      <c r="GZ5" s="233" t="s">
        <v>827</v>
      </c>
      <c r="HA5" s="209">
        <v>0</v>
      </c>
      <c r="HB5" s="223">
        <v>0</v>
      </c>
      <c r="HC5" s="223">
        <f t="shared" si="74"/>
        <v>0</v>
      </c>
      <c r="HD5" s="233" t="s">
        <v>827</v>
      </c>
      <c r="HE5" s="209">
        <v>0</v>
      </c>
      <c r="HF5" s="223">
        <v>0</v>
      </c>
      <c r="HG5" s="223">
        <f t="shared" si="75"/>
        <v>0</v>
      </c>
      <c r="HH5" s="230"/>
      <c r="HI5" s="233" t="s">
        <v>827</v>
      </c>
      <c r="HJ5" s="209">
        <v>0</v>
      </c>
      <c r="HK5" s="223">
        <v>0</v>
      </c>
      <c r="HL5" s="223">
        <f t="shared" si="76"/>
        <v>0</v>
      </c>
      <c r="HM5" s="230"/>
      <c r="HN5" s="230"/>
      <c r="HO5" s="233" t="s">
        <v>827</v>
      </c>
      <c r="HP5" s="209">
        <v>0</v>
      </c>
      <c r="HQ5" s="223">
        <v>0</v>
      </c>
      <c r="HR5" s="223">
        <f t="shared" si="77"/>
        <v>0</v>
      </c>
      <c r="HS5" s="230"/>
      <c r="HT5" s="230"/>
      <c r="HU5" s="230"/>
      <c r="HV5" s="230"/>
      <c r="HW5" s="230"/>
      <c r="HX5" s="230"/>
      <c r="HY5" s="230"/>
      <c r="HZ5" s="230"/>
      <c r="IA5" s="230"/>
      <c r="IB5" s="230"/>
      <c r="IC5" s="230"/>
      <c r="ID5" s="230"/>
      <c r="IE5" s="230"/>
      <c r="IF5" s="230"/>
    </row>
    <row r="6" spans="1:303" x14ac:dyDescent="0.2">
      <c r="A6" s="209" t="s">
        <v>754</v>
      </c>
      <c r="B6" s="209" t="s">
        <v>764</v>
      </c>
      <c r="C6" s="209" t="s">
        <v>779</v>
      </c>
      <c r="D6" s="211">
        <v>5</v>
      </c>
      <c r="E6" s="210">
        <v>1064071.5</v>
      </c>
      <c r="F6" s="212">
        <f t="shared" si="31"/>
        <v>212814.3</v>
      </c>
      <c r="G6" s="209">
        <v>2</v>
      </c>
      <c r="H6" s="209">
        <v>1</v>
      </c>
      <c r="I6" s="212">
        <f>(2000000/30)/8</f>
        <v>8333.3333333333339</v>
      </c>
      <c r="J6" s="212">
        <f t="shared" si="32"/>
        <v>16666.666666666668</v>
      </c>
      <c r="K6" s="211">
        <v>8</v>
      </c>
      <c r="L6" s="217">
        <f t="shared" si="33"/>
        <v>26601.787499999999</v>
      </c>
      <c r="M6" s="217">
        <f t="shared" si="34"/>
        <v>212814.3</v>
      </c>
      <c r="N6" s="209">
        <v>1</v>
      </c>
      <c r="O6" s="209">
        <v>1</v>
      </c>
      <c r="P6" s="217">
        <f>(1200000/30)/8</f>
        <v>5000</v>
      </c>
      <c r="Q6" s="217">
        <f t="shared" si="0"/>
        <v>5000</v>
      </c>
      <c r="R6" s="209">
        <f>8*D6</f>
        <v>40</v>
      </c>
      <c r="S6" s="209">
        <v>1</v>
      </c>
      <c r="T6" s="212">
        <f t="shared" si="1"/>
        <v>26601.787499999999</v>
      </c>
      <c r="U6" s="212">
        <f t="shared" si="2"/>
        <v>1064071.5</v>
      </c>
      <c r="V6" s="230"/>
      <c r="W6" s="209">
        <v>1</v>
      </c>
      <c r="X6" s="209">
        <v>3</v>
      </c>
      <c r="Y6" s="223">
        <f>((1400000+3900000+2500000)/30)/8</f>
        <v>32500</v>
      </c>
      <c r="Z6" s="223">
        <f t="shared" si="35"/>
        <v>97500</v>
      </c>
      <c r="AA6" s="209">
        <v>0</v>
      </c>
      <c r="AB6" s="209">
        <v>0</v>
      </c>
      <c r="AC6" s="223">
        <v>0</v>
      </c>
      <c r="AD6" s="223">
        <f t="shared" si="3"/>
        <v>0</v>
      </c>
      <c r="AE6" s="209">
        <v>2</v>
      </c>
      <c r="AF6" s="209">
        <v>1</v>
      </c>
      <c r="AG6" s="223">
        <f>(9000000/30)/8</f>
        <v>37500</v>
      </c>
      <c r="AH6" s="223">
        <f t="shared" si="36"/>
        <v>75000</v>
      </c>
      <c r="AI6" s="209">
        <v>0</v>
      </c>
      <c r="AJ6" s="209">
        <v>0</v>
      </c>
      <c r="AK6" s="223">
        <v>0</v>
      </c>
      <c r="AL6" s="223">
        <f t="shared" si="78"/>
        <v>0</v>
      </c>
      <c r="AM6" s="209">
        <v>1</v>
      </c>
      <c r="AN6" s="209">
        <v>1</v>
      </c>
      <c r="AO6" s="226">
        <f t="shared" ref="AO6:AO32" si="83">(1800000/30)/8</f>
        <v>7500</v>
      </c>
      <c r="AP6" s="223">
        <f t="shared" si="4"/>
        <v>7500</v>
      </c>
      <c r="AQ6" s="209">
        <v>0</v>
      </c>
      <c r="AR6" s="209">
        <v>0</v>
      </c>
      <c r="AS6" s="223">
        <v>0</v>
      </c>
      <c r="AT6" s="223">
        <f t="shared" si="38"/>
        <v>0</v>
      </c>
      <c r="AU6" s="209">
        <v>2</v>
      </c>
      <c r="AV6" s="209">
        <v>1</v>
      </c>
      <c r="AW6" s="223">
        <f>(1200000/30)/8</f>
        <v>5000</v>
      </c>
      <c r="AX6" s="223">
        <f t="shared" si="39"/>
        <v>10000</v>
      </c>
      <c r="AY6" s="209">
        <v>1</v>
      </c>
      <c r="AZ6" s="209">
        <v>4</v>
      </c>
      <c r="BA6" s="223">
        <f>((3500000+3500000+6000000+2500000+1400000)/30)/8</f>
        <v>70416.666666666672</v>
      </c>
      <c r="BB6" s="223">
        <f t="shared" si="40"/>
        <v>281666.66666666669</v>
      </c>
      <c r="BC6" s="209">
        <v>1</v>
      </c>
      <c r="BD6" s="209">
        <v>2</v>
      </c>
      <c r="BE6" s="223">
        <f>((3500000+1400000)/30)/8</f>
        <v>20416.666666666668</v>
      </c>
      <c r="BF6" s="223">
        <f t="shared" si="41"/>
        <v>40833.333333333336</v>
      </c>
      <c r="BG6" s="209">
        <v>0</v>
      </c>
      <c r="BH6" s="209">
        <v>0</v>
      </c>
      <c r="BI6" s="223">
        <v>0</v>
      </c>
      <c r="BJ6" s="223">
        <f t="shared" si="42"/>
        <v>0</v>
      </c>
      <c r="BK6" s="209">
        <v>1</v>
      </c>
      <c r="BL6" s="209">
        <v>1</v>
      </c>
      <c r="BM6" s="223">
        <f t="shared" si="43"/>
        <v>20833.333333333332</v>
      </c>
      <c r="BN6" s="223">
        <f t="shared" si="44"/>
        <v>20833.333333333332</v>
      </c>
      <c r="BO6" s="209">
        <v>1</v>
      </c>
      <c r="BP6" s="209">
        <v>1</v>
      </c>
      <c r="BQ6" s="223">
        <f t="shared" si="45"/>
        <v>5833.333333333333</v>
      </c>
      <c r="BR6" s="223">
        <f t="shared" si="46"/>
        <v>5833.333333333333</v>
      </c>
      <c r="BS6" s="209">
        <v>0</v>
      </c>
      <c r="BT6" s="209">
        <v>0</v>
      </c>
      <c r="BU6" s="223">
        <v>0</v>
      </c>
      <c r="BV6" s="223">
        <f t="shared" si="47"/>
        <v>0</v>
      </c>
      <c r="BW6" s="209">
        <v>0</v>
      </c>
      <c r="BX6" s="209">
        <v>0</v>
      </c>
      <c r="BY6" s="223">
        <v>0</v>
      </c>
      <c r="BZ6" s="223">
        <f t="shared" si="81"/>
        <v>0</v>
      </c>
      <c r="CA6" s="209">
        <v>0</v>
      </c>
      <c r="CB6" s="209">
        <v>0</v>
      </c>
      <c r="CC6" s="223">
        <v>0</v>
      </c>
      <c r="CD6" s="223">
        <f t="shared" si="49"/>
        <v>0</v>
      </c>
      <c r="CE6" s="209">
        <v>0</v>
      </c>
      <c r="CF6" s="209">
        <v>0</v>
      </c>
      <c r="CG6" s="223">
        <v>0</v>
      </c>
      <c r="CH6" s="223">
        <f t="shared" si="50"/>
        <v>0</v>
      </c>
      <c r="CI6" s="209">
        <v>0</v>
      </c>
      <c r="CJ6" s="209">
        <v>0</v>
      </c>
      <c r="CK6" s="223">
        <v>0</v>
      </c>
      <c r="CL6" s="223">
        <f t="shared" ref="CL6:CL32" si="84">CI6*CJ6*CK6</f>
        <v>0</v>
      </c>
      <c r="CM6" s="209">
        <v>0</v>
      </c>
      <c r="CN6" s="209">
        <v>0</v>
      </c>
      <c r="CO6" s="226">
        <v>0</v>
      </c>
      <c r="CP6" s="226">
        <f t="shared" si="52"/>
        <v>0</v>
      </c>
      <c r="CQ6" s="209">
        <v>0</v>
      </c>
      <c r="CR6" s="209">
        <v>0</v>
      </c>
      <c r="CS6" s="226">
        <v>0</v>
      </c>
      <c r="CT6" s="226">
        <f t="shared" si="53"/>
        <v>0</v>
      </c>
      <c r="CU6" s="209" t="s">
        <v>827</v>
      </c>
      <c r="CV6" s="209">
        <v>0</v>
      </c>
      <c r="CW6" s="226">
        <v>0</v>
      </c>
      <c r="CX6" s="226">
        <f t="shared" si="54"/>
        <v>0</v>
      </c>
      <c r="CY6" s="209" t="s">
        <v>827</v>
      </c>
      <c r="CZ6" s="209">
        <v>0</v>
      </c>
      <c r="DA6" s="226">
        <v>0</v>
      </c>
      <c r="DB6" s="226">
        <f t="shared" si="55"/>
        <v>0</v>
      </c>
      <c r="DC6" s="209" t="s">
        <v>827</v>
      </c>
      <c r="DD6" s="209">
        <v>0</v>
      </c>
      <c r="DE6" s="226">
        <v>0</v>
      </c>
      <c r="DF6" s="226">
        <f t="shared" si="56"/>
        <v>0</v>
      </c>
      <c r="DG6" s="209" t="s">
        <v>827</v>
      </c>
      <c r="DH6" s="209">
        <v>0</v>
      </c>
      <c r="DI6" s="226">
        <v>0</v>
      </c>
      <c r="DJ6" s="226">
        <f t="shared" si="57"/>
        <v>0</v>
      </c>
      <c r="DK6" s="209" t="s">
        <v>827</v>
      </c>
      <c r="DL6" s="209">
        <v>0</v>
      </c>
      <c r="DM6" s="226">
        <v>0</v>
      </c>
      <c r="DN6" s="226">
        <f t="shared" si="58"/>
        <v>0</v>
      </c>
      <c r="DO6" s="209" t="s">
        <v>827</v>
      </c>
      <c r="DP6" s="209">
        <v>0</v>
      </c>
      <c r="DQ6" s="226">
        <v>0</v>
      </c>
      <c r="DR6" s="226">
        <f t="shared" si="59"/>
        <v>0</v>
      </c>
      <c r="DS6" s="209" t="s">
        <v>827</v>
      </c>
      <c r="DT6" s="209">
        <v>0</v>
      </c>
      <c r="DU6" s="226">
        <v>0</v>
      </c>
      <c r="DV6" s="226">
        <f t="shared" si="60"/>
        <v>0</v>
      </c>
      <c r="DW6" s="209" t="s">
        <v>827</v>
      </c>
      <c r="DX6" s="209">
        <v>0</v>
      </c>
      <c r="DY6" s="226">
        <v>0</v>
      </c>
      <c r="DZ6" s="226">
        <f t="shared" si="61"/>
        <v>0</v>
      </c>
      <c r="EA6" s="209" t="s">
        <v>827</v>
      </c>
      <c r="EB6" s="209">
        <v>0</v>
      </c>
      <c r="EC6" s="226">
        <v>0</v>
      </c>
      <c r="ED6" s="226">
        <f t="shared" si="62"/>
        <v>0</v>
      </c>
      <c r="EE6" s="209" t="s">
        <v>827</v>
      </c>
      <c r="EF6" s="209">
        <v>0</v>
      </c>
      <c r="EG6" s="226">
        <v>0</v>
      </c>
      <c r="EH6" s="226">
        <f t="shared" si="63"/>
        <v>0</v>
      </c>
      <c r="EI6" s="209" t="s">
        <v>827</v>
      </c>
      <c r="EJ6" s="209">
        <v>0</v>
      </c>
      <c r="EK6" s="226">
        <v>0</v>
      </c>
      <c r="EL6" s="226">
        <f t="shared" si="64"/>
        <v>0</v>
      </c>
      <c r="EM6" s="209" t="s">
        <v>827</v>
      </c>
      <c r="EN6" s="209">
        <v>0</v>
      </c>
      <c r="EO6" s="226">
        <v>0</v>
      </c>
      <c r="EP6" s="226">
        <f t="shared" si="65"/>
        <v>0</v>
      </c>
      <c r="EQ6" s="209" t="s">
        <v>957</v>
      </c>
      <c r="ER6" s="211" t="s">
        <v>167</v>
      </c>
      <c r="ES6" s="226">
        <f t="shared" ref="ES6:ES7" si="85">84635*D6*8</f>
        <v>3385400</v>
      </c>
      <c r="ET6" s="209" t="s">
        <v>827</v>
      </c>
      <c r="EU6" s="211" t="s">
        <v>167</v>
      </c>
      <c r="EV6" s="226">
        <v>0</v>
      </c>
      <c r="EW6" s="209" t="s">
        <v>827</v>
      </c>
      <c r="EX6" s="211" t="s">
        <v>167</v>
      </c>
      <c r="EY6" s="226">
        <v>0</v>
      </c>
      <c r="EZ6" s="209" t="s">
        <v>827</v>
      </c>
      <c r="FA6" s="226">
        <v>0</v>
      </c>
      <c r="FB6" s="209" t="s">
        <v>827</v>
      </c>
      <c r="FC6" s="226">
        <v>0</v>
      </c>
      <c r="FD6" s="209" t="s">
        <v>827</v>
      </c>
      <c r="FE6" s="226">
        <v>0</v>
      </c>
      <c r="FF6" s="209" t="s">
        <v>827</v>
      </c>
      <c r="FG6" s="226">
        <v>0</v>
      </c>
      <c r="FH6" s="209" t="s">
        <v>827</v>
      </c>
      <c r="FI6" s="226">
        <v>0</v>
      </c>
      <c r="FJ6" s="230"/>
      <c r="FK6" s="230"/>
      <c r="FL6" s="233" t="s">
        <v>827</v>
      </c>
      <c r="FM6" s="209">
        <v>0</v>
      </c>
      <c r="FN6" s="223">
        <v>0</v>
      </c>
      <c r="FO6" s="223">
        <f t="shared" si="66"/>
        <v>0</v>
      </c>
      <c r="FP6" s="233" t="s">
        <v>827</v>
      </c>
      <c r="FQ6" s="209">
        <v>0</v>
      </c>
      <c r="FR6" s="223">
        <v>0</v>
      </c>
      <c r="FS6" s="223">
        <f t="shared" si="67"/>
        <v>0</v>
      </c>
      <c r="FT6" s="230"/>
      <c r="FU6" s="230"/>
      <c r="FV6" s="233" t="s">
        <v>827</v>
      </c>
      <c r="FW6" s="209">
        <v>0</v>
      </c>
      <c r="FX6" s="223">
        <v>0</v>
      </c>
      <c r="FY6" s="223">
        <f t="shared" si="20"/>
        <v>0</v>
      </c>
      <c r="FZ6" s="230"/>
      <c r="GA6" s="233" t="s">
        <v>827</v>
      </c>
      <c r="GB6" s="209">
        <v>0</v>
      </c>
      <c r="GC6" s="223">
        <v>0</v>
      </c>
      <c r="GD6" s="223">
        <f t="shared" si="68"/>
        <v>0</v>
      </c>
      <c r="GE6" s="233" t="s">
        <v>827</v>
      </c>
      <c r="GF6" s="209">
        <v>0</v>
      </c>
      <c r="GG6" s="223">
        <v>0</v>
      </c>
      <c r="GH6" s="223">
        <f t="shared" si="69"/>
        <v>0</v>
      </c>
      <c r="GI6" s="233" t="s">
        <v>827</v>
      </c>
      <c r="GJ6" s="209">
        <v>0</v>
      </c>
      <c r="GK6" s="223">
        <v>0</v>
      </c>
      <c r="GL6" s="223">
        <f t="shared" si="70"/>
        <v>0</v>
      </c>
      <c r="GM6" s="233" t="s">
        <v>827</v>
      </c>
      <c r="GN6" s="209">
        <v>0</v>
      </c>
      <c r="GO6" s="223">
        <v>0</v>
      </c>
      <c r="GP6" s="223">
        <f t="shared" si="71"/>
        <v>0</v>
      </c>
      <c r="GQ6" s="233" t="s">
        <v>827</v>
      </c>
      <c r="GR6" s="209">
        <v>0</v>
      </c>
      <c r="GS6" s="223">
        <v>0</v>
      </c>
      <c r="GT6" s="223">
        <f t="shared" si="72"/>
        <v>0</v>
      </c>
      <c r="GU6" s="233" t="s">
        <v>827</v>
      </c>
      <c r="GV6" s="209">
        <v>0</v>
      </c>
      <c r="GW6" s="223">
        <v>0</v>
      </c>
      <c r="GX6" s="223">
        <f t="shared" si="73"/>
        <v>0</v>
      </c>
      <c r="GY6" s="230"/>
      <c r="GZ6" s="233" t="s">
        <v>827</v>
      </c>
      <c r="HA6" s="209">
        <v>0</v>
      </c>
      <c r="HB6" s="223">
        <v>0</v>
      </c>
      <c r="HC6" s="223">
        <f t="shared" si="74"/>
        <v>0</v>
      </c>
      <c r="HD6" s="233" t="s">
        <v>827</v>
      </c>
      <c r="HE6" s="209">
        <v>0</v>
      </c>
      <c r="HF6" s="223">
        <v>0</v>
      </c>
      <c r="HG6" s="223">
        <f t="shared" si="75"/>
        <v>0</v>
      </c>
      <c r="HH6" s="230"/>
      <c r="HI6" s="233" t="s">
        <v>827</v>
      </c>
      <c r="HJ6" s="209">
        <v>0</v>
      </c>
      <c r="HK6" s="223">
        <v>0</v>
      </c>
      <c r="HL6" s="223">
        <f t="shared" si="76"/>
        <v>0</v>
      </c>
      <c r="HM6" s="230"/>
      <c r="HN6" s="230"/>
      <c r="HO6" s="233" t="s">
        <v>827</v>
      </c>
      <c r="HP6" s="209">
        <v>0</v>
      </c>
      <c r="HQ6" s="223">
        <v>0</v>
      </c>
      <c r="HR6" s="223">
        <f t="shared" si="77"/>
        <v>0</v>
      </c>
      <c r="HS6" s="230"/>
      <c r="HT6" s="230"/>
      <c r="HU6" s="230"/>
      <c r="HV6" s="230"/>
      <c r="HW6" s="230"/>
      <c r="HX6" s="230"/>
      <c r="HY6" s="230"/>
      <c r="HZ6" s="230"/>
      <c r="IA6" s="230"/>
      <c r="IB6" s="230"/>
      <c r="IC6" s="230"/>
      <c r="ID6" s="230"/>
      <c r="IE6" s="230"/>
      <c r="IF6" s="230"/>
    </row>
    <row r="7" spans="1:303" x14ac:dyDescent="0.2">
      <c r="A7" s="209" t="s">
        <v>754</v>
      </c>
      <c r="B7" s="209" t="s">
        <v>764</v>
      </c>
      <c r="C7" s="209" t="s">
        <v>779</v>
      </c>
      <c r="D7" s="211">
        <v>9</v>
      </c>
      <c r="E7" s="210">
        <v>2825341.5</v>
      </c>
      <c r="F7" s="212">
        <f t="shared" si="31"/>
        <v>313926.83333333331</v>
      </c>
      <c r="G7" s="209">
        <v>2</v>
      </c>
      <c r="H7" s="209">
        <v>1</v>
      </c>
      <c r="I7" s="212">
        <f>(2000000/30)/8</f>
        <v>8333.3333333333339</v>
      </c>
      <c r="J7" s="212">
        <f t="shared" si="32"/>
        <v>16666.666666666668</v>
      </c>
      <c r="K7" s="211">
        <v>8</v>
      </c>
      <c r="L7" s="217">
        <f t="shared" si="33"/>
        <v>39240.854166666664</v>
      </c>
      <c r="M7" s="217">
        <f t="shared" si="34"/>
        <v>313926.83333333331</v>
      </c>
      <c r="N7" s="209">
        <v>1</v>
      </c>
      <c r="O7" s="209">
        <v>1</v>
      </c>
      <c r="P7" s="217">
        <f>(1200000/30)/8</f>
        <v>5000</v>
      </c>
      <c r="Q7" s="217">
        <f t="shared" si="0"/>
        <v>5000</v>
      </c>
      <c r="R7" s="209">
        <f>8*D7</f>
        <v>72</v>
      </c>
      <c r="S7" s="209">
        <v>1</v>
      </c>
      <c r="T7" s="212">
        <f t="shared" si="1"/>
        <v>39240.854166666664</v>
      </c>
      <c r="U7" s="212">
        <f t="shared" si="2"/>
        <v>2825341.5</v>
      </c>
      <c r="V7" s="230"/>
      <c r="W7" s="209">
        <v>1</v>
      </c>
      <c r="X7" s="209">
        <v>2</v>
      </c>
      <c r="Y7" s="223">
        <f t="shared" ref="Y7:Y25" si="86">((1400000+3900000)/30)/8</f>
        <v>22083.333333333332</v>
      </c>
      <c r="Z7" s="223">
        <f t="shared" si="35"/>
        <v>44166.666666666664</v>
      </c>
      <c r="AA7" s="209">
        <v>0</v>
      </c>
      <c r="AB7" s="209">
        <v>0</v>
      </c>
      <c r="AC7" s="223">
        <v>0</v>
      </c>
      <c r="AD7" s="223">
        <f t="shared" si="3"/>
        <v>0</v>
      </c>
      <c r="AE7" s="209">
        <v>2</v>
      </c>
      <c r="AF7" s="209">
        <v>1</v>
      </c>
      <c r="AG7" s="223">
        <f>(9000000/30)/8</f>
        <v>37500</v>
      </c>
      <c r="AH7" s="223">
        <f t="shared" si="36"/>
        <v>75000</v>
      </c>
      <c r="AI7" s="209">
        <v>0</v>
      </c>
      <c r="AJ7" s="209">
        <v>0</v>
      </c>
      <c r="AK7" s="223">
        <v>0</v>
      </c>
      <c r="AL7" s="223">
        <f t="shared" si="78"/>
        <v>0</v>
      </c>
      <c r="AM7" s="209">
        <v>1</v>
      </c>
      <c r="AN7" s="209">
        <v>1</v>
      </c>
      <c r="AO7" s="226">
        <f t="shared" si="83"/>
        <v>7500</v>
      </c>
      <c r="AP7" s="223">
        <f t="shared" si="4"/>
        <v>7500</v>
      </c>
      <c r="AQ7" s="209">
        <v>2</v>
      </c>
      <c r="AR7" s="209">
        <v>1</v>
      </c>
      <c r="AS7" s="223">
        <f>((5000000+3500000)/30)/8</f>
        <v>35416.666666666664</v>
      </c>
      <c r="AT7" s="223">
        <f t="shared" si="38"/>
        <v>70833.333333333328</v>
      </c>
      <c r="AU7" s="209">
        <v>2</v>
      </c>
      <c r="AV7" s="209">
        <v>1</v>
      </c>
      <c r="AW7" s="223">
        <f>(1200000/30)/8</f>
        <v>5000</v>
      </c>
      <c r="AX7" s="223">
        <f t="shared" si="39"/>
        <v>10000</v>
      </c>
      <c r="AY7" s="209">
        <v>1</v>
      </c>
      <c r="AZ7" s="209">
        <v>4</v>
      </c>
      <c r="BA7" s="223">
        <f>((3500000+3500000+6000000+2500000+1400000)/30)/8</f>
        <v>70416.666666666672</v>
      </c>
      <c r="BB7" s="223">
        <f t="shared" ref="BB7" si="87">AY7*AZ7*BA7</f>
        <v>281666.66666666669</v>
      </c>
      <c r="BC7" s="209">
        <v>1</v>
      </c>
      <c r="BD7" s="209">
        <v>2</v>
      </c>
      <c r="BE7" s="223">
        <f>((3500000+1400000)/30)/8</f>
        <v>20416.666666666668</v>
      </c>
      <c r="BF7" s="223">
        <f t="shared" si="41"/>
        <v>40833.333333333336</v>
      </c>
      <c r="BG7" s="209">
        <v>0</v>
      </c>
      <c r="BH7" s="209">
        <v>0</v>
      </c>
      <c r="BI7" s="223">
        <v>0</v>
      </c>
      <c r="BJ7" s="223">
        <f t="shared" si="42"/>
        <v>0</v>
      </c>
      <c r="BK7" s="209">
        <v>1</v>
      </c>
      <c r="BL7" s="209">
        <v>1</v>
      </c>
      <c r="BM7" s="223">
        <f t="shared" si="43"/>
        <v>20833.333333333332</v>
      </c>
      <c r="BN7" s="223">
        <f t="shared" si="44"/>
        <v>20833.333333333332</v>
      </c>
      <c r="BO7" s="209">
        <v>1</v>
      </c>
      <c r="BP7" s="209">
        <v>1</v>
      </c>
      <c r="BQ7" s="223">
        <f t="shared" si="45"/>
        <v>5833.333333333333</v>
      </c>
      <c r="BR7" s="223">
        <f t="shared" si="46"/>
        <v>5833.333333333333</v>
      </c>
      <c r="BS7" s="209">
        <v>1</v>
      </c>
      <c r="BT7" s="209">
        <v>1</v>
      </c>
      <c r="BU7" s="223">
        <f t="shared" si="79"/>
        <v>5833.333333333333</v>
      </c>
      <c r="BV7" s="223">
        <f t="shared" si="47"/>
        <v>5833.333333333333</v>
      </c>
      <c r="BW7" s="209">
        <v>1</v>
      </c>
      <c r="BX7" s="209">
        <v>1</v>
      </c>
      <c r="BY7" s="223">
        <f t="shared" si="80"/>
        <v>5833.333333333333</v>
      </c>
      <c r="BZ7" s="223">
        <f t="shared" si="81"/>
        <v>5833.333333333333</v>
      </c>
      <c r="CA7" s="209">
        <v>0</v>
      </c>
      <c r="CB7" s="209">
        <v>0</v>
      </c>
      <c r="CC7" s="223">
        <v>0</v>
      </c>
      <c r="CD7" s="223">
        <f t="shared" si="49"/>
        <v>0</v>
      </c>
      <c r="CE7" s="209">
        <v>0</v>
      </c>
      <c r="CF7" s="209">
        <v>0</v>
      </c>
      <c r="CG7" s="223">
        <v>0</v>
      </c>
      <c r="CH7" s="223">
        <f t="shared" si="50"/>
        <v>0</v>
      </c>
      <c r="CI7" s="209">
        <v>0</v>
      </c>
      <c r="CJ7" s="209">
        <v>0</v>
      </c>
      <c r="CK7" s="223">
        <v>0</v>
      </c>
      <c r="CL7" s="223">
        <f t="shared" si="84"/>
        <v>0</v>
      </c>
      <c r="CM7" s="209">
        <v>0</v>
      </c>
      <c r="CN7" s="209">
        <v>0</v>
      </c>
      <c r="CO7" s="226">
        <v>0</v>
      </c>
      <c r="CP7" s="226">
        <f t="shared" si="52"/>
        <v>0</v>
      </c>
      <c r="CQ7" s="209">
        <v>0</v>
      </c>
      <c r="CR7" s="209">
        <v>0</v>
      </c>
      <c r="CS7" s="226">
        <v>0</v>
      </c>
      <c r="CT7" s="226">
        <f t="shared" si="53"/>
        <v>0</v>
      </c>
      <c r="CU7" s="209" t="s">
        <v>827</v>
      </c>
      <c r="CV7" s="209">
        <v>0</v>
      </c>
      <c r="CW7" s="226">
        <v>0</v>
      </c>
      <c r="CX7" s="226">
        <f t="shared" si="54"/>
        <v>0</v>
      </c>
      <c r="CY7" s="209" t="s">
        <v>827</v>
      </c>
      <c r="CZ7" s="209">
        <v>0</v>
      </c>
      <c r="DA7" s="226">
        <v>0</v>
      </c>
      <c r="DB7" s="226">
        <f t="shared" si="55"/>
        <v>0</v>
      </c>
      <c r="DC7" s="209" t="s">
        <v>827</v>
      </c>
      <c r="DD7" s="209">
        <v>0</v>
      </c>
      <c r="DE7" s="226">
        <v>0</v>
      </c>
      <c r="DF7" s="226">
        <f t="shared" si="56"/>
        <v>0</v>
      </c>
      <c r="DG7" s="209" t="s">
        <v>827</v>
      </c>
      <c r="DH7" s="209">
        <v>0</v>
      </c>
      <c r="DI7" s="226">
        <v>0</v>
      </c>
      <c r="DJ7" s="226">
        <f t="shared" si="57"/>
        <v>0</v>
      </c>
      <c r="DK7" s="209" t="s">
        <v>827</v>
      </c>
      <c r="DL7" s="209">
        <v>0</v>
      </c>
      <c r="DM7" s="226">
        <v>0</v>
      </c>
      <c r="DN7" s="226">
        <f t="shared" si="58"/>
        <v>0</v>
      </c>
      <c r="DO7" s="209" t="s">
        <v>827</v>
      </c>
      <c r="DP7" s="209">
        <v>0</v>
      </c>
      <c r="DQ7" s="226">
        <v>0</v>
      </c>
      <c r="DR7" s="226">
        <f t="shared" si="59"/>
        <v>0</v>
      </c>
      <c r="DS7" s="209" t="s">
        <v>827</v>
      </c>
      <c r="DT7" s="209">
        <v>0</v>
      </c>
      <c r="DU7" s="226">
        <v>0</v>
      </c>
      <c r="DV7" s="226">
        <f t="shared" si="60"/>
        <v>0</v>
      </c>
      <c r="DW7" s="209" t="s">
        <v>827</v>
      </c>
      <c r="DX7" s="209">
        <v>0</v>
      </c>
      <c r="DY7" s="226">
        <v>0</v>
      </c>
      <c r="DZ7" s="226">
        <f t="shared" si="61"/>
        <v>0</v>
      </c>
      <c r="EA7" s="209" t="s">
        <v>827</v>
      </c>
      <c r="EB7" s="209">
        <v>0</v>
      </c>
      <c r="EC7" s="226">
        <v>0</v>
      </c>
      <c r="ED7" s="226">
        <f t="shared" si="62"/>
        <v>0</v>
      </c>
      <c r="EE7" s="209" t="s">
        <v>827</v>
      </c>
      <c r="EF7" s="209">
        <v>0</v>
      </c>
      <c r="EG7" s="226">
        <v>0</v>
      </c>
      <c r="EH7" s="226">
        <f t="shared" si="63"/>
        <v>0</v>
      </c>
      <c r="EI7" s="209" t="s">
        <v>827</v>
      </c>
      <c r="EJ7" s="209">
        <v>0</v>
      </c>
      <c r="EK7" s="226">
        <v>0</v>
      </c>
      <c r="EL7" s="226">
        <f t="shared" si="64"/>
        <v>0</v>
      </c>
      <c r="EM7" s="209" t="s">
        <v>827</v>
      </c>
      <c r="EN7" s="209">
        <v>0</v>
      </c>
      <c r="EO7" s="226">
        <v>0</v>
      </c>
      <c r="EP7" s="226">
        <f t="shared" si="65"/>
        <v>0</v>
      </c>
      <c r="EQ7" s="209" t="s">
        <v>957</v>
      </c>
      <c r="ER7" s="211" t="s">
        <v>167</v>
      </c>
      <c r="ES7" s="226">
        <f t="shared" si="85"/>
        <v>6093720</v>
      </c>
      <c r="ET7" s="209" t="s">
        <v>827</v>
      </c>
      <c r="EU7" s="211" t="s">
        <v>167</v>
      </c>
      <c r="EV7" s="226">
        <v>0</v>
      </c>
      <c r="EW7" s="209" t="s">
        <v>827</v>
      </c>
      <c r="EX7" s="211" t="s">
        <v>167</v>
      </c>
      <c r="EY7" s="226">
        <v>0</v>
      </c>
      <c r="EZ7" s="209" t="s">
        <v>827</v>
      </c>
      <c r="FA7" s="226">
        <v>0</v>
      </c>
      <c r="FB7" s="209" t="s">
        <v>827</v>
      </c>
      <c r="FC7" s="226">
        <v>0</v>
      </c>
      <c r="FD7" s="209" t="s">
        <v>827</v>
      </c>
      <c r="FE7" s="226">
        <v>0</v>
      </c>
      <c r="FF7" s="209" t="s">
        <v>827</v>
      </c>
      <c r="FG7" s="226">
        <v>0</v>
      </c>
      <c r="FH7" s="209" t="s">
        <v>827</v>
      </c>
      <c r="FI7" s="226">
        <v>0</v>
      </c>
      <c r="FJ7" s="230"/>
      <c r="FK7" s="230"/>
      <c r="FL7" s="233" t="s">
        <v>827</v>
      </c>
      <c r="FM7" s="209">
        <v>0</v>
      </c>
      <c r="FN7" s="223">
        <v>0</v>
      </c>
      <c r="FO7" s="223">
        <f t="shared" si="66"/>
        <v>0</v>
      </c>
      <c r="FP7" s="233" t="s">
        <v>827</v>
      </c>
      <c r="FQ7" s="209">
        <v>0</v>
      </c>
      <c r="FR7" s="223">
        <v>0</v>
      </c>
      <c r="FS7" s="223">
        <f t="shared" si="67"/>
        <v>0</v>
      </c>
      <c r="FT7" s="230"/>
      <c r="FU7" s="230"/>
      <c r="FV7" s="233" t="s">
        <v>827</v>
      </c>
      <c r="FW7" s="209">
        <v>0</v>
      </c>
      <c r="FX7" s="223">
        <v>0</v>
      </c>
      <c r="FY7" s="223">
        <f t="shared" si="20"/>
        <v>0</v>
      </c>
      <c r="FZ7" s="230"/>
      <c r="GA7" s="233" t="s">
        <v>827</v>
      </c>
      <c r="GB7" s="209">
        <v>0</v>
      </c>
      <c r="GC7" s="223">
        <v>0</v>
      </c>
      <c r="GD7" s="223">
        <f t="shared" si="68"/>
        <v>0</v>
      </c>
      <c r="GE7" s="233" t="s">
        <v>965</v>
      </c>
      <c r="GF7" s="209">
        <v>1</v>
      </c>
      <c r="GG7" s="223">
        <v>10000</v>
      </c>
      <c r="GH7" s="223">
        <f t="shared" si="69"/>
        <v>10000</v>
      </c>
      <c r="GI7" s="233" t="s">
        <v>827</v>
      </c>
      <c r="GJ7" s="209">
        <v>0</v>
      </c>
      <c r="GK7" s="223">
        <v>0</v>
      </c>
      <c r="GL7" s="223">
        <f t="shared" si="70"/>
        <v>0</v>
      </c>
      <c r="GM7" s="233" t="s">
        <v>827</v>
      </c>
      <c r="GN7" s="209">
        <v>0</v>
      </c>
      <c r="GO7" s="223">
        <v>0</v>
      </c>
      <c r="GP7" s="223">
        <f t="shared" si="71"/>
        <v>0</v>
      </c>
      <c r="GQ7" s="233" t="s">
        <v>827</v>
      </c>
      <c r="GR7" s="209">
        <v>0</v>
      </c>
      <c r="GS7" s="223">
        <v>0</v>
      </c>
      <c r="GT7" s="223">
        <f t="shared" si="72"/>
        <v>0</v>
      </c>
      <c r="GU7" s="233" t="s">
        <v>827</v>
      </c>
      <c r="GV7" s="209">
        <v>0</v>
      </c>
      <c r="GW7" s="223">
        <v>0</v>
      </c>
      <c r="GX7" s="223">
        <f t="shared" si="73"/>
        <v>0</v>
      </c>
      <c r="GY7" s="230"/>
      <c r="GZ7" s="233" t="s">
        <v>827</v>
      </c>
      <c r="HA7" s="209">
        <v>0</v>
      </c>
      <c r="HB7" s="223">
        <v>0</v>
      </c>
      <c r="HC7" s="223">
        <f t="shared" si="74"/>
        <v>0</v>
      </c>
      <c r="HD7" s="233" t="s">
        <v>827</v>
      </c>
      <c r="HE7" s="209">
        <v>0</v>
      </c>
      <c r="HF7" s="223">
        <v>0</v>
      </c>
      <c r="HG7" s="223">
        <f t="shared" si="75"/>
        <v>0</v>
      </c>
      <c r="HH7" s="230"/>
      <c r="HI7" s="233" t="s">
        <v>827</v>
      </c>
      <c r="HJ7" s="209">
        <v>0</v>
      </c>
      <c r="HK7" s="223">
        <v>0</v>
      </c>
      <c r="HL7" s="223">
        <f t="shared" si="76"/>
        <v>0</v>
      </c>
      <c r="HM7" s="230"/>
      <c r="HN7" s="230"/>
      <c r="HO7" s="233" t="s">
        <v>827</v>
      </c>
      <c r="HP7" s="209">
        <v>0</v>
      </c>
      <c r="HQ7" s="223">
        <v>0</v>
      </c>
      <c r="HR7" s="223">
        <f t="shared" si="77"/>
        <v>0</v>
      </c>
      <c r="HS7" s="230"/>
      <c r="HT7" s="230"/>
      <c r="HU7" s="230"/>
      <c r="HV7" s="230"/>
      <c r="HW7" s="230"/>
      <c r="HX7" s="230"/>
      <c r="HY7" s="230"/>
      <c r="HZ7" s="230"/>
      <c r="IA7" s="230"/>
      <c r="IB7" s="230"/>
      <c r="IC7" s="230"/>
      <c r="ID7" s="230"/>
      <c r="IE7" s="230"/>
      <c r="IF7" s="230"/>
    </row>
    <row r="8" spans="1:303" x14ac:dyDescent="0.2">
      <c r="A8" s="209" t="s">
        <v>755</v>
      </c>
      <c r="B8" s="209" t="s">
        <v>765</v>
      </c>
      <c r="C8" s="209" t="s">
        <v>779</v>
      </c>
      <c r="D8" s="211">
        <v>94</v>
      </c>
      <c r="E8" s="210">
        <v>4395216</v>
      </c>
      <c r="F8" s="212">
        <f t="shared" si="31"/>
        <v>46757.617021276594</v>
      </c>
      <c r="G8" s="209">
        <f>5*13</f>
        <v>65</v>
      </c>
      <c r="H8" s="209">
        <v>13</v>
      </c>
      <c r="I8" s="212">
        <f>((3500000+(1200000*10)+1400000+1600000)/30)/8</f>
        <v>77083.333333333328</v>
      </c>
      <c r="J8" s="212">
        <f t="shared" si="32"/>
        <v>65135416.666666664</v>
      </c>
      <c r="K8" s="211">
        <v>8</v>
      </c>
      <c r="L8" s="217">
        <f t="shared" si="33"/>
        <v>5844.7021276595742</v>
      </c>
      <c r="M8" s="217">
        <f t="shared" si="34"/>
        <v>46757.617021276594</v>
      </c>
      <c r="N8" s="209">
        <v>5</v>
      </c>
      <c r="O8" s="209">
        <v>5</v>
      </c>
      <c r="P8" s="217">
        <f>((1200000*5)/30)/8</f>
        <v>25000</v>
      </c>
      <c r="Q8" s="217">
        <f t="shared" si="0"/>
        <v>625000</v>
      </c>
      <c r="R8" s="209">
        <f>8*20</f>
        <v>160</v>
      </c>
      <c r="S8" s="209">
        <v>1</v>
      </c>
      <c r="T8" s="212">
        <f t="shared" si="1"/>
        <v>5844.7021276595742</v>
      </c>
      <c r="U8" s="212">
        <f t="shared" si="2"/>
        <v>935152.34042553185</v>
      </c>
      <c r="V8" s="230"/>
      <c r="W8" s="209">
        <v>5</v>
      </c>
      <c r="X8" s="209">
        <v>12</v>
      </c>
      <c r="Y8" s="223">
        <f>(((1400000*8)+3900000+6000000+2500000)/30)/8</f>
        <v>98333.333333333328</v>
      </c>
      <c r="Z8" s="223">
        <f t="shared" si="35"/>
        <v>5900000</v>
      </c>
      <c r="AA8" s="209">
        <v>5</v>
      </c>
      <c r="AB8" s="209">
        <v>17</v>
      </c>
      <c r="AC8" s="223">
        <f>(((1200000*3)+(1000000*3)+(1400000*6)+(900000*5))/30)/8</f>
        <v>81250</v>
      </c>
      <c r="AD8" s="223">
        <f t="shared" si="3"/>
        <v>6906250</v>
      </c>
      <c r="AE8" s="209">
        <v>5</v>
      </c>
      <c r="AF8" s="209">
        <v>16</v>
      </c>
      <c r="AG8" s="223">
        <f>((15000000+9000000+9000000+9000000+6000000+6000000+6000000+9000000+6000000+3500000+3500000+2500000+9000000+3500000+1200000+1200000)/30)/8</f>
        <v>414166.66666666669</v>
      </c>
      <c r="AH8" s="223">
        <f t="shared" si="36"/>
        <v>33133333.333333336</v>
      </c>
      <c r="AI8" s="209">
        <v>24</v>
      </c>
      <c r="AJ8" s="209">
        <v>5</v>
      </c>
      <c r="AK8" s="223">
        <f>((1200000*5)/30)/8</f>
        <v>25000</v>
      </c>
      <c r="AL8" s="223">
        <f t="shared" si="78"/>
        <v>3000000</v>
      </c>
      <c r="AM8" s="209">
        <v>1</v>
      </c>
      <c r="AN8" s="209">
        <v>1</v>
      </c>
      <c r="AO8" s="226">
        <f t="shared" si="83"/>
        <v>7500</v>
      </c>
      <c r="AP8" s="223">
        <f t="shared" si="4"/>
        <v>7500</v>
      </c>
      <c r="AQ8" s="209">
        <v>2</v>
      </c>
      <c r="AR8" s="209">
        <v>2</v>
      </c>
      <c r="AS8" s="223">
        <f>((3500000+3500000)/30)/8</f>
        <v>29166.666666666668</v>
      </c>
      <c r="AT8" s="223">
        <f t="shared" si="38"/>
        <v>116666.66666666667</v>
      </c>
      <c r="AU8" s="209">
        <v>2</v>
      </c>
      <c r="AV8" s="209">
        <v>4</v>
      </c>
      <c r="AW8" s="223">
        <f>((6000000+3500000+1200000+1200000)/30)/8</f>
        <v>49583.333333333336</v>
      </c>
      <c r="AX8" s="223">
        <f t="shared" si="39"/>
        <v>396666.66666666669</v>
      </c>
      <c r="AY8" s="209">
        <v>4</v>
      </c>
      <c r="AZ8" s="209">
        <v>9</v>
      </c>
      <c r="BA8" s="223">
        <f>((3500000+3500000+6000000+2500000+9000000+6000000+9000000+1400000+5000000)/30)/8</f>
        <v>191250</v>
      </c>
      <c r="BB8" s="223">
        <f t="shared" si="40"/>
        <v>6885000</v>
      </c>
      <c r="BC8" s="209">
        <v>1</v>
      </c>
      <c r="BD8" s="209">
        <v>4</v>
      </c>
      <c r="BE8" s="223">
        <f>((6000000+3500000+3500000+1400000)/30)/8</f>
        <v>60000</v>
      </c>
      <c r="BF8" s="223">
        <f t="shared" si="41"/>
        <v>240000</v>
      </c>
      <c r="BG8" s="209">
        <v>24</v>
      </c>
      <c r="BH8" s="209">
        <v>1</v>
      </c>
      <c r="BI8" s="223">
        <f>(3500000/30)/8</f>
        <v>14583.333333333334</v>
      </c>
      <c r="BJ8" s="223">
        <f t="shared" si="42"/>
        <v>350000</v>
      </c>
      <c r="BK8" s="209">
        <v>1</v>
      </c>
      <c r="BL8" s="209">
        <v>1</v>
      </c>
      <c r="BM8" s="223">
        <f t="shared" si="43"/>
        <v>20833.333333333332</v>
      </c>
      <c r="BN8" s="223">
        <f t="shared" si="44"/>
        <v>20833.333333333332</v>
      </c>
      <c r="BO8" s="209">
        <v>4</v>
      </c>
      <c r="BP8" s="209">
        <v>1</v>
      </c>
      <c r="BQ8" s="223">
        <f>((1400000+3500000)/30)/8</f>
        <v>20416.666666666668</v>
      </c>
      <c r="BR8" s="223">
        <f t="shared" si="46"/>
        <v>81666.666666666672</v>
      </c>
      <c r="BS8" s="209">
        <v>1</v>
      </c>
      <c r="BT8" s="209">
        <v>4</v>
      </c>
      <c r="BU8" s="223">
        <f>((1400000+3500000+3500000+3500000)/30)/8</f>
        <v>49583.333333333336</v>
      </c>
      <c r="BV8" s="223">
        <f t="shared" si="47"/>
        <v>198333.33333333334</v>
      </c>
      <c r="BW8" s="209">
        <v>1</v>
      </c>
      <c r="BX8" s="209">
        <v>3</v>
      </c>
      <c r="BY8" s="223">
        <f>((3500000+3500000+1400000)/30)/8</f>
        <v>35000</v>
      </c>
      <c r="BZ8" s="223">
        <f t="shared" si="81"/>
        <v>105000</v>
      </c>
      <c r="CA8" s="209">
        <v>12</v>
      </c>
      <c r="CB8" s="209">
        <v>6</v>
      </c>
      <c r="CC8" s="223">
        <f>((1400000+3500000+1000000+1000000+1000000+1000000+3500000)/30)/8</f>
        <v>51666.666666666664</v>
      </c>
      <c r="CD8" s="223">
        <f t="shared" si="49"/>
        <v>3720000</v>
      </c>
      <c r="CE8" s="209">
        <v>1</v>
      </c>
      <c r="CF8" s="209">
        <v>5</v>
      </c>
      <c r="CG8" s="223">
        <f>((1400000*5)/30)/8</f>
        <v>29166.666666666668</v>
      </c>
      <c r="CH8" s="223">
        <f t="shared" si="50"/>
        <v>145833.33333333334</v>
      </c>
      <c r="CI8" s="209">
        <v>1</v>
      </c>
      <c r="CJ8" s="209">
        <v>2</v>
      </c>
      <c r="CK8" s="223">
        <f>((3500000+35000)/30)/8</f>
        <v>14729.166666666666</v>
      </c>
      <c r="CL8" s="223">
        <f t="shared" si="84"/>
        <v>29458.333333333332</v>
      </c>
      <c r="CM8" s="209">
        <f>3*4*48</f>
        <v>576</v>
      </c>
      <c r="CN8" s="209">
        <v>3</v>
      </c>
      <c r="CO8" s="226">
        <f>((3500000+3500000+3500000)/30)/8</f>
        <v>43750</v>
      </c>
      <c r="CP8" s="226">
        <f t="shared" si="52"/>
        <v>75600000</v>
      </c>
      <c r="CQ8" s="209">
        <v>24</v>
      </c>
      <c r="CR8" s="209">
        <v>2</v>
      </c>
      <c r="CS8" s="226">
        <f>((2500000+1400000)/30)/8</f>
        <v>16250</v>
      </c>
      <c r="CT8" s="226">
        <f t="shared" si="53"/>
        <v>780000</v>
      </c>
      <c r="CU8" s="209" t="s">
        <v>827</v>
      </c>
      <c r="CV8" s="209">
        <v>0</v>
      </c>
      <c r="CW8" s="226">
        <v>0</v>
      </c>
      <c r="CX8" s="226">
        <f t="shared" si="54"/>
        <v>0</v>
      </c>
      <c r="CY8" s="209" t="s">
        <v>827</v>
      </c>
      <c r="CZ8" s="209">
        <v>0</v>
      </c>
      <c r="DA8" s="226">
        <v>0</v>
      </c>
      <c r="DB8" s="226">
        <f t="shared" si="55"/>
        <v>0</v>
      </c>
      <c r="DC8" s="209" t="s">
        <v>827</v>
      </c>
      <c r="DD8" s="209">
        <v>0</v>
      </c>
      <c r="DE8" s="226">
        <v>0</v>
      </c>
      <c r="DF8" s="226">
        <f t="shared" si="56"/>
        <v>0</v>
      </c>
      <c r="DG8" s="209" t="s">
        <v>827</v>
      </c>
      <c r="DH8" s="209">
        <v>0</v>
      </c>
      <c r="DI8" s="226">
        <v>0</v>
      </c>
      <c r="DJ8" s="226">
        <f t="shared" si="57"/>
        <v>0</v>
      </c>
      <c r="DK8" s="209" t="s">
        <v>946</v>
      </c>
      <c r="DL8" s="209">
        <v>1</v>
      </c>
      <c r="DM8" s="226">
        <v>200000</v>
      </c>
      <c r="DN8" s="226">
        <f t="shared" si="58"/>
        <v>200000</v>
      </c>
      <c r="DO8" s="209" t="s">
        <v>827</v>
      </c>
      <c r="DP8" s="209">
        <v>0</v>
      </c>
      <c r="DQ8" s="226">
        <v>0</v>
      </c>
      <c r="DR8" s="226">
        <f t="shared" si="59"/>
        <v>0</v>
      </c>
      <c r="DS8" s="209" t="s">
        <v>827</v>
      </c>
      <c r="DT8" s="209">
        <v>0</v>
      </c>
      <c r="DU8" s="226">
        <v>0</v>
      </c>
      <c r="DV8" s="226">
        <f t="shared" si="60"/>
        <v>0</v>
      </c>
      <c r="DW8" s="209" t="s">
        <v>827</v>
      </c>
      <c r="DX8" s="209">
        <v>0</v>
      </c>
      <c r="DY8" s="226">
        <v>0</v>
      </c>
      <c r="DZ8" s="226">
        <f t="shared" si="61"/>
        <v>0</v>
      </c>
      <c r="EA8" s="209" t="s">
        <v>827</v>
      </c>
      <c r="EB8" s="209">
        <v>0</v>
      </c>
      <c r="EC8" s="226">
        <v>0</v>
      </c>
      <c r="ED8" s="226">
        <f t="shared" si="62"/>
        <v>0</v>
      </c>
      <c r="EE8" s="209" t="s">
        <v>952</v>
      </c>
      <c r="EF8" s="209">
        <v>1</v>
      </c>
      <c r="EG8" s="226">
        <v>350000</v>
      </c>
      <c r="EH8" s="226">
        <f t="shared" si="63"/>
        <v>350000</v>
      </c>
      <c r="EI8" s="209" t="s">
        <v>827</v>
      </c>
      <c r="EJ8" s="209">
        <v>0</v>
      </c>
      <c r="EK8" s="226">
        <v>0</v>
      </c>
      <c r="EL8" s="226">
        <f t="shared" si="64"/>
        <v>0</v>
      </c>
      <c r="EM8" s="209" t="s">
        <v>827</v>
      </c>
      <c r="EN8" s="209">
        <v>0</v>
      </c>
      <c r="EO8" s="226">
        <v>0</v>
      </c>
      <c r="EP8" s="226">
        <f t="shared" si="65"/>
        <v>0</v>
      </c>
      <c r="EQ8" s="209" t="s">
        <v>954</v>
      </c>
      <c r="ER8" s="211" t="s">
        <v>167</v>
      </c>
      <c r="ES8" s="226">
        <f>84635*24</f>
        <v>2031240</v>
      </c>
      <c r="ET8" s="209" t="s">
        <v>827</v>
      </c>
      <c r="EU8" s="211" t="s">
        <v>167</v>
      </c>
      <c r="EV8" s="226">
        <v>0</v>
      </c>
      <c r="EW8" s="209" t="s">
        <v>827</v>
      </c>
      <c r="EX8" s="211" t="s">
        <v>167</v>
      </c>
      <c r="EY8" s="226">
        <v>0</v>
      </c>
      <c r="EZ8" s="209" t="s">
        <v>827</v>
      </c>
      <c r="FA8" s="226">
        <v>0</v>
      </c>
      <c r="FB8" s="209" t="s">
        <v>827</v>
      </c>
      <c r="FC8" s="226">
        <v>0</v>
      </c>
      <c r="FD8" s="209" t="s">
        <v>827</v>
      </c>
      <c r="FE8" s="226">
        <v>0</v>
      </c>
      <c r="FF8" s="209" t="s">
        <v>827</v>
      </c>
      <c r="FG8" s="226">
        <v>0</v>
      </c>
      <c r="FH8" s="209" t="s">
        <v>827</v>
      </c>
      <c r="FI8" s="226">
        <v>0</v>
      </c>
      <c r="FJ8" s="230"/>
      <c r="FK8" s="230"/>
      <c r="FL8" s="233" t="s">
        <v>827</v>
      </c>
      <c r="FM8" s="209">
        <v>1</v>
      </c>
      <c r="FN8" s="223">
        <f>F8*D8</f>
        <v>4395216</v>
      </c>
      <c r="FO8" s="223">
        <f t="shared" si="66"/>
        <v>4395216</v>
      </c>
      <c r="FP8" s="233" t="s">
        <v>960</v>
      </c>
      <c r="FQ8" s="209">
        <v>1</v>
      </c>
      <c r="FR8" s="223">
        <v>500000</v>
      </c>
      <c r="FS8" s="223">
        <f t="shared" si="67"/>
        <v>500000</v>
      </c>
      <c r="FT8" s="230"/>
      <c r="FU8" s="230"/>
      <c r="FV8" s="233" t="s">
        <v>961</v>
      </c>
      <c r="FW8" s="209">
        <v>1</v>
      </c>
      <c r="FX8" s="223">
        <v>300000</v>
      </c>
      <c r="FY8" s="223">
        <f t="shared" si="20"/>
        <v>300000</v>
      </c>
      <c r="FZ8" s="230"/>
      <c r="GA8" s="233" t="s">
        <v>963</v>
      </c>
      <c r="GB8" s="209">
        <v>1</v>
      </c>
      <c r="GC8" s="223">
        <f>30*(F8/2)</f>
        <v>701364.25531914888</v>
      </c>
      <c r="GD8" s="223">
        <f t="shared" si="68"/>
        <v>701364.25531914888</v>
      </c>
      <c r="GE8" s="233" t="s">
        <v>966</v>
      </c>
      <c r="GF8" s="209">
        <v>2</v>
      </c>
      <c r="GG8" s="223">
        <v>120000</v>
      </c>
      <c r="GH8" s="223">
        <f t="shared" si="69"/>
        <v>240000</v>
      </c>
      <c r="GI8" s="233" t="s">
        <v>967</v>
      </c>
      <c r="GJ8" s="209">
        <v>3</v>
      </c>
      <c r="GK8" s="223">
        <v>50000</v>
      </c>
      <c r="GL8" s="223">
        <f t="shared" si="70"/>
        <v>150000</v>
      </c>
      <c r="GM8" s="233" t="s">
        <v>827</v>
      </c>
      <c r="GN8" s="209">
        <v>4</v>
      </c>
      <c r="GO8" s="223">
        <f>(1800000+2500000)/30/8</f>
        <v>17916.666666666668</v>
      </c>
      <c r="GP8" s="223">
        <f t="shared" si="71"/>
        <v>71666.666666666672</v>
      </c>
      <c r="GQ8" s="233" t="s">
        <v>827</v>
      </c>
      <c r="GR8" s="209">
        <v>0</v>
      </c>
      <c r="GS8" s="223">
        <v>0</v>
      </c>
      <c r="GT8" s="223">
        <f t="shared" si="72"/>
        <v>0</v>
      </c>
      <c r="GU8" s="233" t="s">
        <v>969</v>
      </c>
      <c r="GV8" s="209">
        <v>1</v>
      </c>
      <c r="GW8" s="223">
        <v>300000</v>
      </c>
      <c r="GX8" s="223">
        <f t="shared" si="73"/>
        <v>300000</v>
      </c>
      <c r="GY8" s="230"/>
      <c r="GZ8" s="233" t="s">
        <v>827</v>
      </c>
      <c r="HA8" s="209">
        <v>1</v>
      </c>
      <c r="HB8" s="223">
        <f>(2500000/30)</f>
        <v>83333.333333333328</v>
      </c>
      <c r="HC8" s="223">
        <f t="shared" si="74"/>
        <v>83333.333333333328</v>
      </c>
      <c r="HD8" s="233" t="s">
        <v>827</v>
      </c>
      <c r="HE8" s="209">
        <v>0</v>
      </c>
      <c r="HF8" s="223">
        <v>0</v>
      </c>
      <c r="HG8" s="223">
        <f t="shared" si="75"/>
        <v>0</v>
      </c>
      <c r="HH8" s="230"/>
      <c r="HI8" s="233" t="s">
        <v>972</v>
      </c>
      <c r="HJ8" s="209">
        <v>6</v>
      </c>
      <c r="HK8" s="223">
        <v>35000</v>
      </c>
      <c r="HL8" s="223">
        <f t="shared" si="76"/>
        <v>210000</v>
      </c>
      <c r="HM8" s="230"/>
      <c r="HN8" s="230"/>
      <c r="HO8" s="233" t="s">
        <v>827</v>
      </c>
      <c r="HP8" s="209">
        <v>0</v>
      </c>
      <c r="HQ8" s="223">
        <v>0</v>
      </c>
      <c r="HR8" s="223">
        <f t="shared" si="77"/>
        <v>0</v>
      </c>
      <c r="HS8" s="230"/>
      <c r="HT8" s="230"/>
      <c r="HU8" s="230"/>
      <c r="HV8" s="230"/>
      <c r="HW8" s="230"/>
      <c r="HX8" s="230"/>
      <c r="HY8" s="230"/>
      <c r="HZ8" s="230"/>
      <c r="IA8" s="230"/>
      <c r="IB8" s="230"/>
      <c r="IC8" s="230"/>
      <c r="ID8" s="230"/>
      <c r="IE8" s="230"/>
      <c r="IF8" s="230"/>
    </row>
    <row r="9" spans="1:303" x14ac:dyDescent="0.2">
      <c r="A9" s="209" t="s">
        <v>766</v>
      </c>
      <c r="B9" s="209" t="s">
        <v>767</v>
      </c>
      <c r="C9" s="209" t="s">
        <v>779</v>
      </c>
      <c r="D9" s="211">
        <v>3</v>
      </c>
      <c r="E9" s="210">
        <v>125577.5</v>
      </c>
      <c r="F9" s="212">
        <f t="shared" si="31"/>
        <v>41859.166666666664</v>
      </c>
      <c r="G9" s="209">
        <f>1+1+1</f>
        <v>3</v>
      </c>
      <c r="H9" s="209">
        <v>3</v>
      </c>
      <c r="I9" s="212">
        <f>((3500000+1000000+900000)/30)/8</f>
        <v>22500</v>
      </c>
      <c r="J9" s="212">
        <f t="shared" si="32"/>
        <v>202500</v>
      </c>
      <c r="K9" s="211">
        <v>8</v>
      </c>
      <c r="L9" s="217">
        <f t="shared" si="33"/>
        <v>5232.395833333333</v>
      </c>
      <c r="M9" s="217">
        <f t="shared" si="34"/>
        <v>41859.166666666664</v>
      </c>
      <c r="N9" s="209">
        <v>1</v>
      </c>
      <c r="O9" s="209">
        <v>1</v>
      </c>
      <c r="P9" s="217">
        <f>((9000000/30)/8)</f>
        <v>37500</v>
      </c>
      <c r="Q9" s="217">
        <f t="shared" si="0"/>
        <v>37500</v>
      </c>
      <c r="R9" s="209">
        <f t="shared" ref="R9:R19" si="88">8*D9</f>
        <v>24</v>
      </c>
      <c r="S9" s="209">
        <v>1</v>
      </c>
      <c r="T9" s="212">
        <f t="shared" si="1"/>
        <v>5232.395833333333</v>
      </c>
      <c r="U9" s="212">
        <f t="shared" si="2"/>
        <v>125577.5</v>
      </c>
      <c r="V9" s="230"/>
      <c r="W9" s="209">
        <v>1</v>
      </c>
      <c r="X9" s="209">
        <v>1</v>
      </c>
      <c r="Y9" s="223">
        <f>((1400000)/30)/8</f>
        <v>5833.333333333333</v>
      </c>
      <c r="Z9" s="223">
        <f t="shared" si="35"/>
        <v>5833.333333333333</v>
      </c>
      <c r="AA9" s="209">
        <v>1</v>
      </c>
      <c r="AB9" s="209">
        <v>1</v>
      </c>
      <c r="AC9" s="223">
        <f>((900000*2)/30)/8</f>
        <v>7500</v>
      </c>
      <c r="AD9" s="223">
        <f t="shared" si="3"/>
        <v>7500</v>
      </c>
      <c r="AE9" s="209">
        <v>1</v>
      </c>
      <c r="AF9" s="209">
        <v>1</v>
      </c>
      <c r="AG9" s="223">
        <f>(3500000/30)/8</f>
        <v>14583.333333333334</v>
      </c>
      <c r="AH9" s="223">
        <f t="shared" si="36"/>
        <v>14583.333333333334</v>
      </c>
      <c r="AI9" s="209">
        <v>2</v>
      </c>
      <c r="AJ9" s="209">
        <v>1</v>
      </c>
      <c r="AK9" s="223">
        <f>(900000/30)/8</f>
        <v>3750</v>
      </c>
      <c r="AL9" s="223">
        <f t="shared" si="78"/>
        <v>7500</v>
      </c>
      <c r="AM9" s="209">
        <v>1</v>
      </c>
      <c r="AN9" s="209">
        <v>1</v>
      </c>
      <c r="AO9" s="226">
        <f t="shared" si="83"/>
        <v>7500</v>
      </c>
      <c r="AP9" s="223">
        <f t="shared" si="4"/>
        <v>7500</v>
      </c>
      <c r="AQ9" s="209">
        <v>0</v>
      </c>
      <c r="AR9" s="209">
        <v>0</v>
      </c>
      <c r="AS9" s="223">
        <v>0</v>
      </c>
      <c r="AT9" s="223">
        <f t="shared" si="38"/>
        <v>0</v>
      </c>
      <c r="AU9" s="209">
        <v>1</v>
      </c>
      <c r="AV9" s="209">
        <v>1</v>
      </c>
      <c r="AW9" s="223">
        <f>(3500000/30)/8</f>
        <v>14583.333333333334</v>
      </c>
      <c r="AX9" s="223">
        <f t="shared" si="39"/>
        <v>14583.333333333334</v>
      </c>
      <c r="AY9" s="209">
        <v>1</v>
      </c>
      <c r="AZ9" s="209">
        <v>5</v>
      </c>
      <c r="BA9" s="223">
        <f>((6000000+2500000+3500000+3500000+3500000)/30)/8</f>
        <v>79166.666666666672</v>
      </c>
      <c r="BB9" s="223">
        <f t="shared" si="40"/>
        <v>395833.33333333337</v>
      </c>
      <c r="BC9" s="209">
        <v>1</v>
      </c>
      <c r="BD9" s="209">
        <v>2</v>
      </c>
      <c r="BE9" s="223">
        <f>((35000000+1400000)/30)/8</f>
        <v>151666.66666666666</v>
      </c>
      <c r="BF9" s="223">
        <f t="shared" si="41"/>
        <v>303333.33333333331</v>
      </c>
      <c r="BG9" s="209">
        <v>0</v>
      </c>
      <c r="BH9" s="209">
        <v>0</v>
      </c>
      <c r="BI9" s="223">
        <v>0</v>
      </c>
      <c r="BJ9" s="223">
        <f t="shared" si="42"/>
        <v>0</v>
      </c>
      <c r="BK9" s="209">
        <v>1</v>
      </c>
      <c r="BL9" s="209">
        <v>1</v>
      </c>
      <c r="BM9" s="223">
        <f t="shared" si="43"/>
        <v>20833.333333333332</v>
      </c>
      <c r="BN9" s="223">
        <f t="shared" si="44"/>
        <v>20833.333333333332</v>
      </c>
      <c r="BO9" s="209">
        <v>1</v>
      </c>
      <c r="BP9" s="209">
        <v>1</v>
      </c>
      <c r="BQ9" s="223">
        <f t="shared" si="45"/>
        <v>5833.333333333333</v>
      </c>
      <c r="BR9" s="223">
        <f t="shared" si="46"/>
        <v>5833.333333333333</v>
      </c>
      <c r="BS9" s="209">
        <v>0</v>
      </c>
      <c r="BT9" s="209">
        <v>0</v>
      </c>
      <c r="BU9" s="223">
        <v>0</v>
      </c>
      <c r="BV9" s="223">
        <f t="shared" si="47"/>
        <v>0</v>
      </c>
      <c r="BW9" s="209">
        <v>0</v>
      </c>
      <c r="BX9" s="209">
        <v>0</v>
      </c>
      <c r="BY9" s="223">
        <v>0</v>
      </c>
      <c r="BZ9" s="223">
        <f t="shared" si="81"/>
        <v>0</v>
      </c>
      <c r="CA9" s="209">
        <v>0</v>
      </c>
      <c r="CB9" s="209">
        <v>0</v>
      </c>
      <c r="CC9" s="223">
        <v>0</v>
      </c>
      <c r="CD9" s="223">
        <f t="shared" si="49"/>
        <v>0</v>
      </c>
      <c r="CE9" s="209">
        <v>0</v>
      </c>
      <c r="CF9" s="209">
        <v>0</v>
      </c>
      <c r="CG9" s="223">
        <v>0</v>
      </c>
      <c r="CH9" s="223">
        <f t="shared" si="50"/>
        <v>0</v>
      </c>
      <c r="CI9" s="209">
        <v>0</v>
      </c>
      <c r="CJ9" s="209">
        <v>0</v>
      </c>
      <c r="CK9" s="223">
        <v>0</v>
      </c>
      <c r="CL9" s="223">
        <f t="shared" si="84"/>
        <v>0</v>
      </c>
      <c r="CM9" s="209">
        <v>0</v>
      </c>
      <c r="CN9" s="209">
        <v>0</v>
      </c>
      <c r="CO9" s="226">
        <v>0</v>
      </c>
      <c r="CP9" s="226">
        <f t="shared" si="52"/>
        <v>0</v>
      </c>
      <c r="CQ9" s="209">
        <v>0</v>
      </c>
      <c r="CR9" s="209">
        <v>0</v>
      </c>
      <c r="CS9" s="226">
        <v>0</v>
      </c>
      <c r="CT9" s="226">
        <f t="shared" si="53"/>
        <v>0</v>
      </c>
      <c r="CU9" s="209" t="s">
        <v>827</v>
      </c>
      <c r="CV9" s="209">
        <v>0</v>
      </c>
      <c r="CW9" s="226">
        <v>0</v>
      </c>
      <c r="CX9" s="226">
        <f t="shared" si="54"/>
        <v>0</v>
      </c>
      <c r="CY9" s="209" t="s">
        <v>827</v>
      </c>
      <c r="CZ9" s="209">
        <v>0</v>
      </c>
      <c r="DA9" s="226">
        <v>0</v>
      </c>
      <c r="DB9" s="226">
        <f t="shared" si="55"/>
        <v>0</v>
      </c>
      <c r="DC9" s="209" t="s">
        <v>827</v>
      </c>
      <c r="DD9" s="209">
        <v>0</v>
      </c>
      <c r="DE9" s="226">
        <v>0</v>
      </c>
      <c r="DF9" s="226">
        <f t="shared" si="56"/>
        <v>0</v>
      </c>
      <c r="DG9" s="209" t="s">
        <v>827</v>
      </c>
      <c r="DH9" s="209">
        <v>0</v>
      </c>
      <c r="DI9" s="226">
        <v>0</v>
      </c>
      <c r="DJ9" s="226">
        <f t="shared" si="57"/>
        <v>0</v>
      </c>
      <c r="DK9" s="209" t="s">
        <v>827</v>
      </c>
      <c r="DL9" s="209">
        <v>0</v>
      </c>
      <c r="DM9" s="226">
        <v>0</v>
      </c>
      <c r="DN9" s="226">
        <f t="shared" si="58"/>
        <v>0</v>
      </c>
      <c r="DO9" s="209" t="s">
        <v>827</v>
      </c>
      <c r="DP9" s="209">
        <v>0</v>
      </c>
      <c r="DQ9" s="226">
        <v>0</v>
      </c>
      <c r="DR9" s="226">
        <f t="shared" si="59"/>
        <v>0</v>
      </c>
      <c r="DS9" s="209" t="s">
        <v>827</v>
      </c>
      <c r="DT9" s="209">
        <v>0</v>
      </c>
      <c r="DU9" s="226">
        <v>0</v>
      </c>
      <c r="DV9" s="226">
        <f t="shared" si="60"/>
        <v>0</v>
      </c>
      <c r="DW9" s="209" t="s">
        <v>827</v>
      </c>
      <c r="DX9" s="209">
        <v>0</v>
      </c>
      <c r="DY9" s="226">
        <v>0</v>
      </c>
      <c r="DZ9" s="226">
        <f t="shared" si="61"/>
        <v>0</v>
      </c>
      <c r="EA9" s="209" t="s">
        <v>827</v>
      </c>
      <c r="EB9" s="209">
        <v>0</v>
      </c>
      <c r="EC9" s="226">
        <v>0</v>
      </c>
      <c r="ED9" s="226">
        <f t="shared" si="62"/>
        <v>0</v>
      </c>
      <c r="EE9" s="209" t="s">
        <v>827</v>
      </c>
      <c r="EF9" s="209">
        <v>0</v>
      </c>
      <c r="EG9" s="226">
        <v>0</v>
      </c>
      <c r="EH9" s="226">
        <f t="shared" si="63"/>
        <v>0</v>
      </c>
      <c r="EI9" s="209" t="s">
        <v>827</v>
      </c>
      <c r="EJ9" s="209">
        <v>0</v>
      </c>
      <c r="EK9" s="226">
        <v>0</v>
      </c>
      <c r="EL9" s="226">
        <f t="shared" si="64"/>
        <v>0</v>
      </c>
      <c r="EM9" s="209" t="s">
        <v>827</v>
      </c>
      <c r="EN9" s="209">
        <v>0</v>
      </c>
      <c r="EO9" s="226">
        <v>0</v>
      </c>
      <c r="EP9" s="226">
        <f t="shared" si="65"/>
        <v>0</v>
      </c>
      <c r="EQ9" s="209" t="s">
        <v>827</v>
      </c>
      <c r="ER9" s="211" t="s">
        <v>167</v>
      </c>
      <c r="ES9" s="226">
        <v>0</v>
      </c>
      <c r="ET9" s="209" t="s">
        <v>827</v>
      </c>
      <c r="EU9" s="211" t="s">
        <v>167</v>
      </c>
      <c r="EV9" s="226">
        <v>0</v>
      </c>
      <c r="EW9" s="209" t="s">
        <v>827</v>
      </c>
      <c r="EX9" s="211" t="s">
        <v>167</v>
      </c>
      <c r="EY9" s="226">
        <v>0</v>
      </c>
      <c r="EZ9" s="209" t="s">
        <v>827</v>
      </c>
      <c r="FA9" s="226">
        <v>0</v>
      </c>
      <c r="FB9" s="209" t="s">
        <v>827</v>
      </c>
      <c r="FC9" s="226">
        <v>0</v>
      </c>
      <c r="FD9" s="209" t="s">
        <v>827</v>
      </c>
      <c r="FE9" s="226">
        <v>0</v>
      </c>
      <c r="FF9" s="209" t="s">
        <v>827</v>
      </c>
      <c r="FG9" s="226">
        <v>0</v>
      </c>
      <c r="FH9" s="209" t="s">
        <v>827</v>
      </c>
      <c r="FI9" s="226">
        <v>0</v>
      </c>
      <c r="FJ9" s="230"/>
      <c r="FK9" s="230"/>
      <c r="FL9" s="233" t="s">
        <v>827</v>
      </c>
      <c r="FM9" s="209">
        <v>0</v>
      </c>
      <c r="FN9" s="223">
        <v>0</v>
      </c>
      <c r="FO9" s="223">
        <f t="shared" si="66"/>
        <v>0</v>
      </c>
      <c r="FP9" s="233" t="s">
        <v>827</v>
      </c>
      <c r="FQ9" s="209">
        <v>0</v>
      </c>
      <c r="FR9" s="223">
        <v>0</v>
      </c>
      <c r="FS9" s="223">
        <f t="shared" si="67"/>
        <v>0</v>
      </c>
      <c r="FT9" s="230"/>
      <c r="FU9" s="230"/>
      <c r="FV9" s="233" t="s">
        <v>827</v>
      </c>
      <c r="FW9" s="209">
        <v>0</v>
      </c>
      <c r="FX9" s="223">
        <v>0</v>
      </c>
      <c r="FY9" s="223">
        <f t="shared" ref="FY9:FY21" si="89">FW9*FX9</f>
        <v>0</v>
      </c>
      <c r="FZ9" s="230"/>
      <c r="GA9" s="233" t="s">
        <v>827</v>
      </c>
      <c r="GB9" s="209">
        <v>0</v>
      </c>
      <c r="GC9" s="223">
        <v>0</v>
      </c>
      <c r="GD9" s="223">
        <f t="shared" si="68"/>
        <v>0</v>
      </c>
      <c r="GE9" s="233" t="s">
        <v>965</v>
      </c>
      <c r="GF9" s="209">
        <v>1</v>
      </c>
      <c r="GG9" s="223">
        <v>10000</v>
      </c>
      <c r="GH9" s="223">
        <f t="shared" si="69"/>
        <v>10000</v>
      </c>
      <c r="GI9" s="233" t="s">
        <v>827</v>
      </c>
      <c r="GJ9" s="209">
        <v>0</v>
      </c>
      <c r="GK9" s="223">
        <v>0</v>
      </c>
      <c r="GL9" s="223">
        <f t="shared" si="70"/>
        <v>0</v>
      </c>
      <c r="GM9" s="233" t="s">
        <v>827</v>
      </c>
      <c r="GN9" s="209">
        <v>0</v>
      </c>
      <c r="GO9" s="223">
        <v>0</v>
      </c>
      <c r="GP9" s="223">
        <f t="shared" si="71"/>
        <v>0</v>
      </c>
      <c r="GQ9" s="233" t="s">
        <v>827</v>
      </c>
      <c r="GR9" s="209">
        <v>0</v>
      </c>
      <c r="GS9" s="223">
        <v>0</v>
      </c>
      <c r="GT9" s="223">
        <f t="shared" si="72"/>
        <v>0</v>
      </c>
      <c r="GU9" s="233" t="s">
        <v>827</v>
      </c>
      <c r="GV9" s="209">
        <v>0</v>
      </c>
      <c r="GW9" s="223">
        <v>0</v>
      </c>
      <c r="GX9" s="223">
        <f t="shared" si="73"/>
        <v>0</v>
      </c>
      <c r="GY9" s="230"/>
      <c r="GZ9" s="233" t="s">
        <v>827</v>
      </c>
      <c r="HA9" s="209">
        <v>0</v>
      </c>
      <c r="HB9" s="223">
        <v>0</v>
      </c>
      <c r="HC9" s="223">
        <f t="shared" si="74"/>
        <v>0</v>
      </c>
      <c r="HD9" s="233" t="s">
        <v>827</v>
      </c>
      <c r="HE9" s="209">
        <v>0</v>
      </c>
      <c r="HF9" s="223">
        <v>0</v>
      </c>
      <c r="HG9" s="223">
        <f t="shared" si="75"/>
        <v>0</v>
      </c>
      <c r="HH9" s="230"/>
      <c r="HI9" s="233" t="s">
        <v>972</v>
      </c>
      <c r="HJ9" s="209">
        <v>1</v>
      </c>
      <c r="HK9" s="223">
        <v>35000</v>
      </c>
      <c r="HL9" s="223">
        <f t="shared" si="76"/>
        <v>35000</v>
      </c>
      <c r="HM9" s="230"/>
      <c r="HN9" s="230"/>
      <c r="HO9" s="233" t="s">
        <v>827</v>
      </c>
      <c r="HP9" s="209">
        <v>0</v>
      </c>
      <c r="HQ9" s="223">
        <v>0</v>
      </c>
      <c r="HR9" s="223">
        <f t="shared" si="77"/>
        <v>0</v>
      </c>
      <c r="HS9" s="230"/>
      <c r="HT9" s="230"/>
      <c r="HU9" s="230"/>
      <c r="HV9" s="230"/>
      <c r="HW9" s="230"/>
      <c r="HX9" s="230"/>
      <c r="HY9" s="230"/>
      <c r="HZ9" s="230"/>
      <c r="IA9" s="230"/>
      <c r="IB9" s="230"/>
      <c r="IC9" s="230"/>
      <c r="ID9" s="230"/>
      <c r="IE9" s="230"/>
      <c r="IF9" s="230"/>
    </row>
    <row r="10" spans="1:303" x14ac:dyDescent="0.2">
      <c r="A10" s="209" t="s">
        <v>766</v>
      </c>
      <c r="B10" s="209" t="s">
        <v>767</v>
      </c>
      <c r="C10" s="209" t="s">
        <v>779</v>
      </c>
      <c r="D10" s="211">
        <v>3</v>
      </c>
      <c r="E10" s="210">
        <v>90876.4</v>
      </c>
      <c r="F10" s="212">
        <f t="shared" si="31"/>
        <v>30292.133333333331</v>
      </c>
      <c r="G10" s="209">
        <v>2</v>
      </c>
      <c r="H10" s="209">
        <v>1</v>
      </c>
      <c r="I10" s="212">
        <f>(2000000/30)/8</f>
        <v>8333.3333333333339</v>
      </c>
      <c r="J10" s="212">
        <f t="shared" si="32"/>
        <v>16666.666666666668</v>
      </c>
      <c r="K10" s="211">
        <v>8</v>
      </c>
      <c r="L10" s="217">
        <f t="shared" si="33"/>
        <v>3786.5166666666664</v>
      </c>
      <c r="M10" s="217">
        <f t="shared" si="34"/>
        <v>30292.133333333331</v>
      </c>
      <c r="N10" s="209">
        <v>1</v>
      </c>
      <c r="O10" s="209">
        <v>1</v>
      </c>
      <c r="P10" s="217">
        <f>(1200000/30)/8</f>
        <v>5000</v>
      </c>
      <c r="Q10" s="217">
        <f t="shared" si="0"/>
        <v>5000</v>
      </c>
      <c r="R10" s="209">
        <f t="shared" si="88"/>
        <v>24</v>
      </c>
      <c r="S10" s="209">
        <v>0</v>
      </c>
      <c r="T10" s="212">
        <f t="shared" si="1"/>
        <v>3786.5166666666664</v>
      </c>
      <c r="U10" s="212">
        <f t="shared" si="2"/>
        <v>0</v>
      </c>
      <c r="V10" s="230"/>
      <c r="W10" s="209">
        <v>1</v>
      </c>
      <c r="X10" s="209">
        <v>2</v>
      </c>
      <c r="Y10" s="223">
        <f t="shared" si="86"/>
        <v>22083.333333333332</v>
      </c>
      <c r="Z10" s="223">
        <f t="shared" si="35"/>
        <v>44166.666666666664</v>
      </c>
      <c r="AA10" s="209">
        <v>0</v>
      </c>
      <c r="AB10" s="209">
        <v>0</v>
      </c>
      <c r="AC10" s="223">
        <v>0</v>
      </c>
      <c r="AD10" s="223">
        <f t="shared" si="3"/>
        <v>0</v>
      </c>
      <c r="AE10" s="209">
        <v>1</v>
      </c>
      <c r="AF10" s="209">
        <v>1</v>
      </c>
      <c r="AG10" s="223">
        <f>(3500000/30)/8</f>
        <v>14583.333333333334</v>
      </c>
      <c r="AH10" s="223">
        <f t="shared" si="36"/>
        <v>14583.333333333334</v>
      </c>
      <c r="AI10" s="209">
        <v>2</v>
      </c>
      <c r="AJ10" s="209">
        <v>1</v>
      </c>
      <c r="AK10" s="223">
        <f>(900000/30)/8</f>
        <v>3750</v>
      </c>
      <c r="AL10" s="223">
        <f t="shared" si="78"/>
        <v>7500</v>
      </c>
      <c r="AM10" s="209">
        <v>1</v>
      </c>
      <c r="AN10" s="209">
        <v>1</v>
      </c>
      <c r="AO10" s="226">
        <f t="shared" si="83"/>
        <v>7500</v>
      </c>
      <c r="AP10" s="223">
        <f t="shared" si="4"/>
        <v>7500</v>
      </c>
      <c r="AQ10" s="209">
        <v>1</v>
      </c>
      <c r="AR10" s="209">
        <v>1</v>
      </c>
      <c r="AS10" s="223">
        <f>(3500000/30)/8</f>
        <v>14583.333333333334</v>
      </c>
      <c r="AT10" s="223">
        <f t="shared" si="38"/>
        <v>14583.333333333334</v>
      </c>
      <c r="AU10" s="209">
        <v>0</v>
      </c>
      <c r="AV10" s="209">
        <v>0</v>
      </c>
      <c r="AW10" s="223">
        <v>0</v>
      </c>
      <c r="AX10" s="223">
        <f t="shared" si="39"/>
        <v>0</v>
      </c>
      <c r="AY10" s="209">
        <v>1</v>
      </c>
      <c r="AZ10" s="209">
        <v>5</v>
      </c>
      <c r="BA10" s="223">
        <f>((1400000+3500000+6000000+2500000+3500000)/30)/8</f>
        <v>70416.666666666672</v>
      </c>
      <c r="BB10" s="223">
        <f t="shared" si="40"/>
        <v>352083.33333333337</v>
      </c>
      <c r="BC10" s="209">
        <v>1</v>
      </c>
      <c r="BD10" s="209">
        <v>2</v>
      </c>
      <c r="BE10" s="223">
        <f>((3500000+1400000)/30)/8</f>
        <v>20416.666666666668</v>
      </c>
      <c r="BF10" s="223">
        <f t="shared" si="41"/>
        <v>40833.333333333336</v>
      </c>
      <c r="BG10" s="209">
        <v>0</v>
      </c>
      <c r="BH10" s="209">
        <v>0</v>
      </c>
      <c r="BI10" s="223">
        <v>0</v>
      </c>
      <c r="BJ10" s="223">
        <f t="shared" si="42"/>
        <v>0</v>
      </c>
      <c r="BK10" s="209">
        <v>1</v>
      </c>
      <c r="BL10" s="209">
        <v>1</v>
      </c>
      <c r="BM10" s="223">
        <f t="shared" si="43"/>
        <v>20833.333333333332</v>
      </c>
      <c r="BN10" s="223">
        <f t="shared" si="44"/>
        <v>20833.333333333332</v>
      </c>
      <c r="BO10" s="209">
        <v>1</v>
      </c>
      <c r="BP10" s="209">
        <v>1</v>
      </c>
      <c r="BQ10" s="223">
        <f t="shared" si="45"/>
        <v>5833.333333333333</v>
      </c>
      <c r="BR10" s="223">
        <f t="shared" si="46"/>
        <v>5833.333333333333</v>
      </c>
      <c r="BS10" s="209">
        <v>0</v>
      </c>
      <c r="BT10" s="209">
        <v>0</v>
      </c>
      <c r="BU10" s="223">
        <v>0</v>
      </c>
      <c r="BV10" s="223">
        <f t="shared" si="47"/>
        <v>0</v>
      </c>
      <c r="BW10" s="209">
        <v>0</v>
      </c>
      <c r="BX10" s="209">
        <v>0</v>
      </c>
      <c r="BY10" s="223">
        <v>0</v>
      </c>
      <c r="BZ10" s="223">
        <f t="shared" si="81"/>
        <v>0</v>
      </c>
      <c r="CA10" s="209">
        <v>0</v>
      </c>
      <c r="CB10" s="209">
        <v>0</v>
      </c>
      <c r="CC10" s="223">
        <v>0</v>
      </c>
      <c r="CD10" s="223">
        <f t="shared" si="49"/>
        <v>0</v>
      </c>
      <c r="CE10" s="209">
        <v>0</v>
      </c>
      <c r="CF10" s="209">
        <v>0</v>
      </c>
      <c r="CG10" s="223">
        <v>0</v>
      </c>
      <c r="CH10" s="223">
        <f t="shared" si="50"/>
        <v>0</v>
      </c>
      <c r="CI10" s="209">
        <v>0</v>
      </c>
      <c r="CJ10" s="209">
        <v>0</v>
      </c>
      <c r="CK10" s="223">
        <v>0</v>
      </c>
      <c r="CL10" s="223">
        <f t="shared" si="84"/>
        <v>0</v>
      </c>
      <c r="CM10" s="209">
        <v>0</v>
      </c>
      <c r="CN10" s="209">
        <v>0</v>
      </c>
      <c r="CO10" s="226">
        <v>0</v>
      </c>
      <c r="CP10" s="226">
        <f t="shared" si="52"/>
        <v>0</v>
      </c>
      <c r="CQ10" s="209">
        <v>0</v>
      </c>
      <c r="CR10" s="209">
        <v>0</v>
      </c>
      <c r="CS10" s="226">
        <v>0</v>
      </c>
      <c r="CT10" s="226">
        <f t="shared" si="53"/>
        <v>0</v>
      </c>
      <c r="CU10" s="209" t="s">
        <v>827</v>
      </c>
      <c r="CV10" s="209">
        <v>0</v>
      </c>
      <c r="CW10" s="226">
        <v>0</v>
      </c>
      <c r="CX10" s="226">
        <f t="shared" si="54"/>
        <v>0</v>
      </c>
      <c r="CY10" s="209" t="s">
        <v>827</v>
      </c>
      <c r="CZ10" s="209">
        <v>0</v>
      </c>
      <c r="DA10" s="226">
        <v>0</v>
      </c>
      <c r="DB10" s="226">
        <f t="shared" si="55"/>
        <v>0</v>
      </c>
      <c r="DC10" s="209" t="s">
        <v>827</v>
      </c>
      <c r="DD10" s="209">
        <v>0</v>
      </c>
      <c r="DE10" s="226">
        <v>0</v>
      </c>
      <c r="DF10" s="226">
        <f t="shared" si="56"/>
        <v>0</v>
      </c>
      <c r="DG10" s="209" t="s">
        <v>827</v>
      </c>
      <c r="DH10" s="209">
        <v>0</v>
      </c>
      <c r="DI10" s="226">
        <v>0</v>
      </c>
      <c r="DJ10" s="226">
        <f t="shared" si="57"/>
        <v>0</v>
      </c>
      <c r="DK10" s="209" t="s">
        <v>827</v>
      </c>
      <c r="DL10" s="209">
        <v>0</v>
      </c>
      <c r="DM10" s="226">
        <v>0</v>
      </c>
      <c r="DN10" s="226">
        <f t="shared" si="58"/>
        <v>0</v>
      </c>
      <c r="DO10" s="209" t="s">
        <v>827</v>
      </c>
      <c r="DP10" s="209">
        <v>0</v>
      </c>
      <c r="DQ10" s="226">
        <v>0</v>
      </c>
      <c r="DR10" s="226">
        <f t="shared" si="59"/>
        <v>0</v>
      </c>
      <c r="DS10" s="209" t="s">
        <v>827</v>
      </c>
      <c r="DT10" s="209">
        <v>0</v>
      </c>
      <c r="DU10" s="226">
        <v>0</v>
      </c>
      <c r="DV10" s="226">
        <f t="shared" si="60"/>
        <v>0</v>
      </c>
      <c r="DW10" s="209" t="s">
        <v>827</v>
      </c>
      <c r="DX10" s="209">
        <v>0</v>
      </c>
      <c r="DY10" s="226">
        <v>0</v>
      </c>
      <c r="DZ10" s="226">
        <f t="shared" si="61"/>
        <v>0</v>
      </c>
      <c r="EA10" s="209" t="s">
        <v>827</v>
      </c>
      <c r="EB10" s="209">
        <v>0</v>
      </c>
      <c r="EC10" s="226">
        <v>0</v>
      </c>
      <c r="ED10" s="226">
        <f t="shared" si="62"/>
        <v>0</v>
      </c>
      <c r="EE10" s="209" t="s">
        <v>827</v>
      </c>
      <c r="EF10" s="209">
        <v>0</v>
      </c>
      <c r="EG10" s="226">
        <v>0</v>
      </c>
      <c r="EH10" s="226">
        <f t="shared" si="63"/>
        <v>0</v>
      </c>
      <c r="EI10" s="209" t="s">
        <v>827</v>
      </c>
      <c r="EJ10" s="209">
        <v>0</v>
      </c>
      <c r="EK10" s="226">
        <v>0</v>
      </c>
      <c r="EL10" s="226">
        <f t="shared" si="64"/>
        <v>0</v>
      </c>
      <c r="EM10" s="209" t="s">
        <v>827</v>
      </c>
      <c r="EN10" s="209">
        <v>0</v>
      </c>
      <c r="EO10" s="226">
        <v>0</v>
      </c>
      <c r="EP10" s="226">
        <f t="shared" si="65"/>
        <v>0</v>
      </c>
      <c r="EQ10" s="209" t="s">
        <v>827</v>
      </c>
      <c r="ER10" s="211" t="s">
        <v>167</v>
      </c>
      <c r="ES10" s="226">
        <v>0</v>
      </c>
      <c r="ET10" s="209" t="s">
        <v>827</v>
      </c>
      <c r="EU10" s="211" t="s">
        <v>167</v>
      </c>
      <c r="EV10" s="226">
        <v>0</v>
      </c>
      <c r="EW10" s="209" t="s">
        <v>827</v>
      </c>
      <c r="EX10" s="211" t="s">
        <v>167</v>
      </c>
      <c r="EY10" s="226">
        <v>0</v>
      </c>
      <c r="EZ10" s="209" t="s">
        <v>827</v>
      </c>
      <c r="FA10" s="226">
        <v>0</v>
      </c>
      <c r="FB10" s="209" t="s">
        <v>827</v>
      </c>
      <c r="FC10" s="226">
        <v>0</v>
      </c>
      <c r="FD10" s="209" t="s">
        <v>827</v>
      </c>
      <c r="FE10" s="226">
        <v>0</v>
      </c>
      <c r="FF10" s="209" t="s">
        <v>827</v>
      </c>
      <c r="FG10" s="226">
        <v>0</v>
      </c>
      <c r="FH10" s="209" t="s">
        <v>827</v>
      </c>
      <c r="FI10" s="226">
        <v>0</v>
      </c>
      <c r="FJ10" s="230"/>
      <c r="FK10" s="230"/>
      <c r="FL10" s="233" t="s">
        <v>827</v>
      </c>
      <c r="FM10" s="209">
        <v>0</v>
      </c>
      <c r="FN10" s="223">
        <v>0</v>
      </c>
      <c r="FO10" s="223">
        <f t="shared" si="66"/>
        <v>0</v>
      </c>
      <c r="FP10" s="233" t="s">
        <v>827</v>
      </c>
      <c r="FQ10" s="209">
        <v>0</v>
      </c>
      <c r="FR10" s="223">
        <v>0</v>
      </c>
      <c r="FS10" s="223">
        <f t="shared" si="67"/>
        <v>0</v>
      </c>
      <c r="FT10" s="230"/>
      <c r="FU10" s="230"/>
      <c r="FV10" s="233" t="s">
        <v>827</v>
      </c>
      <c r="FW10" s="209">
        <v>0</v>
      </c>
      <c r="FX10" s="223">
        <v>0</v>
      </c>
      <c r="FY10" s="223">
        <f t="shared" si="89"/>
        <v>0</v>
      </c>
      <c r="FZ10" s="230"/>
      <c r="GA10" s="233" t="s">
        <v>827</v>
      </c>
      <c r="GB10" s="209">
        <v>0</v>
      </c>
      <c r="GC10" s="223">
        <v>0</v>
      </c>
      <c r="GD10" s="223">
        <f t="shared" si="68"/>
        <v>0</v>
      </c>
      <c r="GE10" s="233" t="s">
        <v>965</v>
      </c>
      <c r="GF10" s="209">
        <v>1</v>
      </c>
      <c r="GG10" s="223">
        <v>10000</v>
      </c>
      <c r="GH10" s="223">
        <f t="shared" si="69"/>
        <v>10000</v>
      </c>
      <c r="GI10" s="233" t="s">
        <v>827</v>
      </c>
      <c r="GJ10" s="209">
        <v>0</v>
      </c>
      <c r="GK10" s="223">
        <v>0</v>
      </c>
      <c r="GL10" s="223">
        <f t="shared" si="70"/>
        <v>0</v>
      </c>
      <c r="GM10" s="233" t="s">
        <v>827</v>
      </c>
      <c r="GN10" s="209">
        <v>0</v>
      </c>
      <c r="GO10" s="223">
        <v>0</v>
      </c>
      <c r="GP10" s="223">
        <f t="shared" si="71"/>
        <v>0</v>
      </c>
      <c r="GQ10" s="233" t="s">
        <v>827</v>
      </c>
      <c r="GR10" s="209">
        <v>0</v>
      </c>
      <c r="GS10" s="223">
        <v>0</v>
      </c>
      <c r="GT10" s="223">
        <f t="shared" si="72"/>
        <v>0</v>
      </c>
      <c r="GU10" s="233" t="s">
        <v>827</v>
      </c>
      <c r="GV10" s="209">
        <v>0</v>
      </c>
      <c r="GW10" s="223">
        <v>0</v>
      </c>
      <c r="GX10" s="223">
        <f t="shared" si="73"/>
        <v>0</v>
      </c>
      <c r="GY10" s="230"/>
      <c r="GZ10" s="233" t="s">
        <v>827</v>
      </c>
      <c r="HA10" s="209">
        <v>0</v>
      </c>
      <c r="HB10" s="223">
        <v>0</v>
      </c>
      <c r="HC10" s="223">
        <f t="shared" si="74"/>
        <v>0</v>
      </c>
      <c r="HD10" s="233" t="s">
        <v>827</v>
      </c>
      <c r="HE10" s="209">
        <v>0</v>
      </c>
      <c r="HF10" s="223">
        <v>0</v>
      </c>
      <c r="HG10" s="223">
        <f t="shared" si="75"/>
        <v>0</v>
      </c>
      <c r="HH10" s="230"/>
      <c r="HI10" s="233" t="s">
        <v>827</v>
      </c>
      <c r="HJ10" s="209">
        <v>0</v>
      </c>
      <c r="HK10" s="223">
        <v>0</v>
      </c>
      <c r="HL10" s="223">
        <f t="shared" si="76"/>
        <v>0</v>
      </c>
      <c r="HM10" s="230"/>
      <c r="HN10" s="230"/>
      <c r="HO10" s="233" t="s">
        <v>827</v>
      </c>
      <c r="HP10" s="209">
        <v>0</v>
      </c>
      <c r="HQ10" s="223">
        <v>0</v>
      </c>
      <c r="HR10" s="223">
        <f t="shared" si="77"/>
        <v>0</v>
      </c>
      <c r="HS10" s="230"/>
      <c r="HT10" s="230"/>
      <c r="HU10" s="230"/>
      <c r="HV10" s="230"/>
      <c r="HW10" s="230"/>
      <c r="HX10" s="230"/>
      <c r="HY10" s="230"/>
      <c r="HZ10" s="230"/>
      <c r="IA10" s="230"/>
      <c r="IB10" s="230"/>
      <c r="IC10" s="230"/>
      <c r="ID10" s="230"/>
      <c r="IE10" s="230"/>
      <c r="IF10" s="230"/>
    </row>
    <row r="11" spans="1:303" x14ac:dyDescent="0.2">
      <c r="A11" s="209" t="s">
        <v>760</v>
      </c>
      <c r="B11" s="209" t="s">
        <v>761</v>
      </c>
      <c r="C11" s="209" t="s">
        <v>779</v>
      </c>
      <c r="D11" s="211">
        <v>5</v>
      </c>
      <c r="E11" s="210">
        <v>163780</v>
      </c>
      <c r="F11" s="212">
        <f t="shared" si="31"/>
        <v>32756</v>
      </c>
      <c r="G11" s="209">
        <v>2</v>
      </c>
      <c r="H11" s="209">
        <f>1+1</f>
        <v>2</v>
      </c>
      <c r="I11" s="212">
        <f>((3900000+2000000)/30)/8</f>
        <v>24583.333333333332</v>
      </c>
      <c r="J11" s="212">
        <f t="shared" si="32"/>
        <v>98333.333333333328</v>
      </c>
      <c r="K11" s="211">
        <v>8</v>
      </c>
      <c r="L11" s="217">
        <f t="shared" si="33"/>
        <v>4094.5</v>
      </c>
      <c r="M11" s="217">
        <f t="shared" si="34"/>
        <v>32756</v>
      </c>
      <c r="N11" s="209">
        <v>1</v>
      </c>
      <c r="O11" s="209">
        <v>1</v>
      </c>
      <c r="P11" s="217">
        <f>(700000/30)/8</f>
        <v>2916.6666666666665</v>
      </c>
      <c r="Q11" s="217">
        <f t="shared" si="0"/>
        <v>2916.6666666666665</v>
      </c>
      <c r="R11" s="209">
        <f t="shared" si="88"/>
        <v>40</v>
      </c>
      <c r="S11" s="209">
        <v>0</v>
      </c>
      <c r="T11" s="212">
        <f t="shared" si="1"/>
        <v>4094.5</v>
      </c>
      <c r="U11" s="212">
        <f t="shared" si="2"/>
        <v>0</v>
      </c>
      <c r="V11" s="230"/>
      <c r="W11" s="209">
        <v>1</v>
      </c>
      <c r="X11" s="209">
        <v>2</v>
      </c>
      <c r="Y11" s="223">
        <f>((1400000+2500000)/30)/8</f>
        <v>16250</v>
      </c>
      <c r="Z11" s="223">
        <f t="shared" si="35"/>
        <v>32500</v>
      </c>
      <c r="AA11" s="209">
        <v>1</v>
      </c>
      <c r="AB11" s="209">
        <v>2</v>
      </c>
      <c r="AC11" s="223">
        <f>((900000*2)/30)/8</f>
        <v>7500</v>
      </c>
      <c r="AD11" s="223">
        <f t="shared" si="3"/>
        <v>15000</v>
      </c>
      <c r="AE11" s="209">
        <v>1</v>
      </c>
      <c r="AF11" s="209">
        <v>1</v>
      </c>
      <c r="AG11" s="223">
        <f>((3900000+1800000)/30)/8</f>
        <v>23750</v>
      </c>
      <c r="AH11" s="223">
        <f t="shared" si="36"/>
        <v>23750</v>
      </c>
      <c r="AI11" s="209">
        <v>2</v>
      </c>
      <c r="AJ11" s="209">
        <v>1</v>
      </c>
      <c r="AK11" s="223">
        <f>(900000/30)/8</f>
        <v>3750</v>
      </c>
      <c r="AL11" s="223">
        <f t="shared" ref="AL11" si="90">AI11*AJ11*AK11</f>
        <v>7500</v>
      </c>
      <c r="AM11" s="209">
        <v>1</v>
      </c>
      <c r="AN11" s="209">
        <v>1</v>
      </c>
      <c r="AO11" s="226">
        <f t="shared" si="83"/>
        <v>7500</v>
      </c>
      <c r="AP11" s="223">
        <f t="shared" si="4"/>
        <v>7500</v>
      </c>
      <c r="AQ11" s="209">
        <v>0</v>
      </c>
      <c r="AR11" s="209">
        <v>0</v>
      </c>
      <c r="AS11" s="223">
        <v>0</v>
      </c>
      <c r="AT11" s="223">
        <f t="shared" si="38"/>
        <v>0</v>
      </c>
      <c r="AU11" s="209">
        <v>1</v>
      </c>
      <c r="AV11" s="209">
        <v>1</v>
      </c>
      <c r="AW11" s="223">
        <f>(1500000/30)/8</f>
        <v>6250</v>
      </c>
      <c r="AX11" s="223">
        <f t="shared" si="39"/>
        <v>6250</v>
      </c>
      <c r="AY11" s="209">
        <v>1</v>
      </c>
      <c r="AZ11" s="209">
        <v>8</v>
      </c>
      <c r="BA11" s="223">
        <f>(2500000+6000000+3500000+1400000+2500000+3500000+3500000+900000/30)/8</f>
        <v>2866250</v>
      </c>
      <c r="BB11" s="223">
        <f t="shared" ref="BB11" si="91">AY11*AZ11*BA11</f>
        <v>22930000</v>
      </c>
      <c r="BC11" s="209">
        <v>1</v>
      </c>
      <c r="BD11" s="209">
        <v>2</v>
      </c>
      <c r="BE11" s="223">
        <f>((2500000+1400000)/30)/8</f>
        <v>16250</v>
      </c>
      <c r="BF11" s="223">
        <f t="shared" ref="BF11" si="92">BC11*BD11*BE11</f>
        <v>32500</v>
      </c>
      <c r="BG11" s="209">
        <v>0</v>
      </c>
      <c r="BH11" s="209">
        <v>0</v>
      </c>
      <c r="BI11" s="223">
        <v>0</v>
      </c>
      <c r="BJ11" s="223">
        <f t="shared" si="42"/>
        <v>0</v>
      </c>
      <c r="BK11" s="209">
        <v>1</v>
      </c>
      <c r="BL11" s="209">
        <v>1</v>
      </c>
      <c r="BM11" s="223">
        <f t="shared" si="43"/>
        <v>20833.333333333332</v>
      </c>
      <c r="BN11" s="223">
        <f t="shared" si="44"/>
        <v>20833.333333333332</v>
      </c>
      <c r="BO11" s="209">
        <v>1</v>
      </c>
      <c r="BP11" s="209">
        <v>1</v>
      </c>
      <c r="BQ11" s="223">
        <f t="shared" si="45"/>
        <v>5833.333333333333</v>
      </c>
      <c r="BR11" s="223">
        <f t="shared" si="46"/>
        <v>5833.333333333333</v>
      </c>
      <c r="BS11" s="209">
        <v>0</v>
      </c>
      <c r="BT11" s="209">
        <v>0</v>
      </c>
      <c r="BU11" s="223">
        <v>0</v>
      </c>
      <c r="BV11" s="223">
        <f t="shared" si="47"/>
        <v>0</v>
      </c>
      <c r="BW11" s="209">
        <v>0</v>
      </c>
      <c r="BX11" s="209">
        <v>0</v>
      </c>
      <c r="BY11" s="223">
        <v>0</v>
      </c>
      <c r="BZ11" s="223">
        <f t="shared" si="81"/>
        <v>0</v>
      </c>
      <c r="CA11" s="209">
        <v>0</v>
      </c>
      <c r="CB11" s="209">
        <v>0</v>
      </c>
      <c r="CC11" s="223">
        <v>0</v>
      </c>
      <c r="CD11" s="223">
        <f t="shared" si="49"/>
        <v>0</v>
      </c>
      <c r="CE11" s="209">
        <v>0</v>
      </c>
      <c r="CF11" s="209">
        <v>0</v>
      </c>
      <c r="CG11" s="223">
        <v>0</v>
      </c>
      <c r="CH11" s="223">
        <f t="shared" si="50"/>
        <v>0</v>
      </c>
      <c r="CI11" s="209">
        <v>0</v>
      </c>
      <c r="CJ11" s="209">
        <v>0</v>
      </c>
      <c r="CK11" s="223">
        <v>0</v>
      </c>
      <c r="CL11" s="223">
        <f t="shared" si="84"/>
        <v>0</v>
      </c>
      <c r="CM11" s="209">
        <v>1</v>
      </c>
      <c r="CN11" s="209">
        <v>1</v>
      </c>
      <c r="CO11" s="226">
        <f>((2500000)/30)/8</f>
        <v>10416.666666666666</v>
      </c>
      <c r="CP11" s="226">
        <f t="shared" si="52"/>
        <v>10416.666666666666</v>
      </c>
      <c r="CQ11" s="209">
        <v>0</v>
      </c>
      <c r="CR11" s="209">
        <v>0</v>
      </c>
      <c r="CS11" s="226">
        <v>0</v>
      </c>
      <c r="CT11" s="226">
        <f t="shared" si="53"/>
        <v>0</v>
      </c>
      <c r="CU11" s="209" t="s">
        <v>827</v>
      </c>
      <c r="CV11" s="209">
        <v>0</v>
      </c>
      <c r="CW11" s="226">
        <v>0</v>
      </c>
      <c r="CX11" s="226">
        <f t="shared" si="54"/>
        <v>0</v>
      </c>
      <c r="CY11" s="209" t="s">
        <v>950</v>
      </c>
      <c r="CZ11" s="209">
        <v>1</v>
      </c>
      <c r="DA11" s="226">
        <v>35000</v>
      </c>
      <c r="DB11" s="226">
        <f t="shared" si="55"/>
        <v>35000</v>
      </c>
      <c r="DC11" s="209" t="s">
        <v>827</v>
      </c>
      <c r="DD11" s="209">
        <v>0</v>
      </c>
      <c r="DE11" s="226">
        <v>0</v>
      </c>
      <c r="DF11" s="226">
        <f t="shared" si="56"/>
        <v>0</v>
      </c>
      <c r="DG11" s="209" t="s">
        <v>827</v>
      </c>
      <c r="DH11" s="209">
        <v>0</v>
      </c>
      <c r="DI11" s="226">
        <v>0</v>
      </c>
      <c r="DJ11" s="226">
        <f t="shared" si="57"/>
        <v>0</v>
      </c>
      <c r="DK11" s="209" t="s">
        <v>827</v>
      </c>
      <c r="DL11" s="209">
        <v>0</v>
      </c>
      <c r="DM11" s="226">
        <v>0</v>
      </c>
      <c r="DN11" s="226">
        <f t="shared" si="58"/>
        <v>0</v>
      </c>
      <c r="DO11" s="209" t="s">
        <v>827</v>
      </c>
      <c r="DP11" s="209">
        <v>0</v>
      </c>
      <c r="DQ11" s="226">
        <v>0</v>
      </c>
      <c r="DR11" s="226">
        <f t="shared" si="59"/>
        <v>0</v>
      </c>
      <c r="DS11" s="209" t="s">
        <v>827</v>
      </c>
      <c r="DT11" s="209">
        <v>0</v>
      </c>
      <c r="DU11" s="226">
        <v>0</v>
      </c>
      <c r="DV11" s="226">
        <f t="shared" si="60"/>
        <v>0</v>
      </c>
      <c r="DW11" s="209" t="s">
        <v>827</v>
      </c>
      <c r="DX11" s="209">
        <v>0</v>
      </c>
      <c r="DY11" s="226">
        <v>0</v>
      </c>
      <c r="DZ11" s="226">
        <f t="shared" si="61"/>
        <v>0</v>
      </c>
      <c r="EA11" s="209" t="s">
        <v>827</v>
      </c>
      <c r="EB11" s="209">
        <v>0</v>
      </c>
      <c r="EC11" s="226">
        <v>0</v>
      </c>
      <c r="ED11" s="226">
        <f t="shared" si="62"/>
        <v>0</v>
      </c>
      <c r="EE11" s="209" t="s">
        <v>827</v>
      </c>
      <c r="EF11" s="209">
        <v>0</v>
      </c>
      <c r="EG11" s="226">
        <v>0</v>
      </c>
      <c r="EH11" s="226">
        <f t="shared" si="63"/>
        <v>0</v>
      </c>
      <c r="EI11" s="209" t="s">
        <v>827</v>
      </c>
      <c r="EJ11" s="209">
        <v>0</v>
      </c>
      <c r="EK11" s="226">
        <v>0</v>
      </c>
      <c r="EL11" s="226">
        <f t="shared" si="64"/>
        <v>0</v>
      </c>
      <c r="EM11" s="209" t="s">
        <v>827</v>
      </c>
      <c r="EN11" s="209">
        <v>0</v>
      </c>
      <c r="EO11" s="226">
        <v>0</v>
      </c>
      <c r="EP11" s="226">
        <f t="shared" si="65"/>
        <v>0</v>
      </c>
      <c r="EQ11" s="209" t="s">
        <v>827</v>
      </c>
      <c r="ER11" s="211" t="s">
        <v>167</v>
      </c>
      <c r="ES11" s="226">
        <f>84635*2</f>
        <v>169270</v>
      </c>
      <c r="ET11" s="209" t="s">
        <v>827</v>
      </c>
      <c r="EU11" s="211" t="s">
        <v>167</v>
      </c>
      <c r="EV11" s="226">
        <v>0</v>
      </c>
      <c r="EW11" s="209" t="s">
        <v>827</v>
      </c>
      <c r="EX11" s="211" t="s">
        <v>167</v>
      </c>
      <c r="EY11" s="226">
        <v>0</v>
      </c>
      <c r="EZ11" s="209" t="s">
        <v>827</v>
      </c>
      <c r="FA11" s="226">
        <v>0</v>
      </c>
      <c r="FB11" s="209" t="s">
        <v>827</v>
      </c>
      <c r="FC11" s="226">
        <v>0</v>
      </c>
      <c r="FD11" s="209" t="s">
        <v>827</v>
      </c>
      <c r="FE11" s="226">
        <v>0</v>
      </c>
      <c r="FF11" s="209" t="s">
        <v>827</v>
      </c>
      <c r="FG11" s="226">
        <v>0</v>
      </c>
      <c r="FH11" s="209" t="s">
        <v>827</v>
      </c>
      <c r="FI11" s="226">
        <v>0</v>
      </c>
      <c r="FJ11" s="230"/>
      <c r="FK11" s="230"/>
      <c r="FL11" s="233" t="s">
        <v>959</v>
      </c>
      <c r="FM11" s="209">
        <v>1</v>
      </c>
      <c r="FN11" s="223">
        <f>F11*D11</f>
        <v>163780</v>
      </c>
      <c r="FO11" s="223">
        <f t="shared" si="66"/>
        <v>163780</v>
      </c>
      <c r="FP11" s="233" t="s">
        <v>827</v>
      </c>
      <c r="FQ11" s="209">
        <v>0</v>
      </c>
      <c r="FR11" s="223">
        <v>0</v>
      </c>
      <c r="FS11" s="223">
        <f t="shared" si="67"/>
        <v>0</v>
      </c>
      <c r="FT11" s="230"/>
      <c r="FU11" s="230"/>
      <c r="FV11" s="233" t="s">
        <v>827</v>
      </c>
      <c r="FW11" s="209">
        <v>0</v>
      </c>
      <c r="FX11" s="223">
        <v>0</v>
      </c>
      <c r="FY11" s="223">
        <f t="shared" si="89"/>
        <v>0</v>
      </c>
      <c r="FZ11" s="230"/>
      <c r="GA11" s="233" t="s">
        <v>827</v>
      </c>
      <c r="GB11" s="209">
        <v>0</v>
      </c>
      <c r="GC11" s="223">
        <v>0</v>
      </c>
      <c r="GD11" s="223">
        <f t="shared" si="68"/>
        <v>0</v>
      </c>
      <c r="GE11" s="233" t="s">
        <v>827</v>
      </c>
      <c r="GF11" s="209">
        <v>0</v>
      </c>
      <c r="GG11" s="223">
        <v>0</v>
      </c>
      <c r="GH11" s="223">
        <f t="shared" si="69"/>
        <v>0</v>
      </c>
      <c r="GI11" s="233" t="s">
        <v>827</v>
      </c>
      <c r="GJ11" s="209">
        <v>0</v>
      </c>
      <c r="GK11" s="223">
        <v>0</v>
      </c>
      <c r="GL11" s="223">
        <f t="shared" si="70"/>
        <v>0</v>
      </c>
      <c r="GM11" s="233" t="s">
        <v>827</v>
      </c>
      <c r="GN11" s="209">
        <v>0</v>
      </c>
      <c r="GO11" s="223">
        <v>0</v>
      </c>
      <c r="GP11" s="223">
        <f t="shared" si="71"/>
        <v>0</v>
      </c>
      <c r="GQ11" s="233" t="s">
        <v>827</v>
      </c>
      <c r="GR11" s="209">
        <v>0</v>
      </c>
      <c r="GS11" s="223">
        <v>0</v>
      </c>
      <c r="GT11" s="223">
        <f t="shared" si="72"/>
        <v>0</v>
      </c>
      <c r="GU11" s="233" t="s">
        <v>827</v>
      </c>
      <c r="GV11" s="209">
        <v>0</v>
      </c>
      <c r="GW11" s="223">
        <v>0</v>
      </c>
      <c r="GX11" s="223">
        <f t="shared" si="73"/>
        <v>0</v>
      </c>
      <c r="GY11" s="230"/>
      <c r="GZ11" s="233" t="s">
        <v>827</v>
      </c>
      <c r="HA11" s="209">
        <v>0</v>
      </c>
      <c r="HB11" s="223">
        <v>0</v>
      </c>
      <c r="HC11" s="223">
        <f t="shared" si="74"/>
        <v>0</v>
      </c>
      <c r="HD11" s="233" t="s">
        <v>827</v>
      </c>
      <c r="HE11" s="209">
        <v>0</v>
      </c>
      <c r="HF11" s="223">
        <v>0</v>
      </c>
      <c r="HG11" s="223">
        <f t="shared" si="75"/>
        <v>0</v>
      </c>
      <c r="HH11" s="230"/>
      <c r="HI11" s="233" t="s">
        <v>827</v>
      </c>
      <c r="HJ11" s="209">
        <v>0</v>
      </c>
      <c r="HK11" s="223">
        <v>0</v>
      </c>
      <c r="HL11" s="223">
        <f t="shared" si="76"/>
        <v>0</v>
      </c>
      <c r="HM11" s="230"/>
      <c r="HN11" s="230"/>
      <c r="HO11" s="233" t="s">
        <v>827</v>
      </c>
      <c r="HP11" s="209">
        <v>0</v>
      </c>
      <c r="HQ11" s="223">
        <v>0</v>
      </c>
      <c r="HR11" s="223">
        <f t="shared" si="77"/>
        <v>0</v>
      </c>
      <c r="HS11" s="230"/>
      <c r="HT11" s="230"/>
      <c r="HU11" s="230"/>
      <c r="HV11" s="230"/>
      <c r="HW11" s="230"/>
      <c r="HX11" s="230"/>
      <c r="HY11" s="230"/>
      <c r="HZ11" s="230"/>
      <c r="IA11" s="230"/>
      <c r="IB11" s="230"/>
      <c r="IC11" s="230"/>
      <c r="ID11" s="230"/>
      <c r="IE11" s="230"/>
      <c r="IF11" s="230"/>
    </row>
    <row r="12" spans="1:303" x14ac:dyDescent="0.2">
      <c r="A12" s="209" t="s">
        <v>760</v>
      </c>
      <c r="B12" s="209" t="s">
        <v>769</v>
      </c>
      <c r="C12" s="209" t="s">
        <v>779</v>
      </c>
      <c r="D12" s="211">
        <v>3</v>
      </c>
      <c r="E12" s="210">
        <v>322732.79999999999</v>
      </c>
      <c r="F12" s="212">
        <f t="shared" si="31"/>
        <v>107577.59999999999</v>
      </c>
      <c r="G12" s="209">
        <v>2</v>
      </c>
      <c r="H12" s="209">
        <f>1+1</f>
        <v>2</v>
      </c>
      <c r="I12" s="212">
        <f>((2500000+8000000)/30)/8</f>
        <v>43750</v>
      </c>
      <c r="J12" s="212">
        <f t="shared" si="32"/>
        <v>175000</v>
      </c>
      <c r="K12" s="211">
        <v>8</v>
      </c>
      <c r="L12" s="217">
        <f t="shared" si="33"/>
        <v>13447.199999999999</v>
      </c>
      <c r="M12" s="217">
        <f t="shared" si="34"/>
        <v>107577.59999999999</v>
      </c>
      <c r="N12" s="209">
        <v>1</v>
      </c>
      <c r="O12" s="209">
        <v>1</v>
      </c>
      <c r="P12" s="217">
        <f>+L12</f>
        <v>13447.199999999999</v>
      </c>
      <c r="Q12" s="217">
        <f t="shared" ref="Q12" si="93">N12*O12*P12</f>
        <v>13447.199999999999</v>
      </c>
      <c r="R12" s="209">
        <f t="shared" si="88"/>
        <v>24</v>
      </c>
      <c r="S12" s="209">
        <v>1</v>
      </c>
      <c r="T12" s="212">
        <f t="shared" si="1"/>
        <v>13447.199999999999</v>
      </c>
      <c r="U12" s="212">
        <f t="shared" si="2"/>
        <v>322732.79999999999</v>
      </c>
      <c r="V12" s="230"/>
      <c r="W12" s="209">
        <v>1</v>
      </c>
      <c r="X12" s="209">
        <v>2</v>
      </c>
      <c r="Y12" s="223">
        <f t="shared" si="86"/>
        <v>22083.333333333332</v>
      </c>
      <c r="Z12" s="223">
        <f t="shared" si="35"/>
        <v>44166.666666666664</v>
      </c>
      <c r="AA12" s="209">
        <v>0</v>
      </c>
      <c r="AB12" s="209">
        <v>0</v>
      </c>
      <c r="AC12" s="223">
        <v>0</v>
      </c>
      <c r="AD12" s="223">
        <f t="shared" si="3"/>
        <v>0</v>
      </c>
      <c r="AE12" s="209">
        <v>1</v>
      </c>
      <c r="AF12" s="209">
        <v>2</v>
      </c>
      <c r="AG12" s="223">
        <f>((2500000+2500000)/30)/8</f>
        <v>20833.333333333332</v>
      </c>
      <c r="AH12" s="223">
        <f t="shared" si="36"/>
        <v>41666.666666666664</v>
      </c>
      <c r="AI12" s="209">
        <v>1</v>
      </c>
      <c r="AJ12" s="209">
        <v>1</v>
      </c>
      <c r="AK12" s="223">
        <f>(2500000/30)/8</f>
        <v>10416.666666666666</v>
      </c>
      <c r="AL12" s="223">
        <f t="shared" si="78"/>
        <v>10416.666666666666</v>
      </c>
      <c r="AM12" s="209">
        <v>1</v>
      </c>
      <c r="AN12" s="209">
        <v>1</v>
      </c>
      <c r="AO12" s="226">
        <f t="shared" si="83"/>
        <v>7500</v>
      </c>
      <c r="AP12" s="223">
        <f t="shared" si="4"/>
        <v>7500</v>
      </c>
      <c r="AQ12" s="209">
        <v>0</v>
      </c>
      <c r="AR12" s="209">
        <v>0</v>
      </c>
      <c r="AS12" s="223">
        <v>0</v>
      </c>
      <c r="AT12" s="223">
        <f t="shared" si="38"/>
        <v>0</v>
      </c>
      <c r="AU12" s="209">
        <v>1</v>
      </c>
      <c r="AV12" s="209">
        <v>1</v>
      </c>
      <c r="AW12" s="223">
        <f>(2500000/30)/8</f>
        <v>10416.666666666666</v>
      </c>
      <c r="AX12" s="223">
        <f t="shared" si="39"/>
        <v>10416.666666666666</v>
      </c>
      <c r="AY12" s="209">
        <v>1</v>
      </c>
      <c r="AZ12" s="209">
        <v>5</v>
      </c>
      <c r="BA12" s="223">
        <f>((6000000+2500000+3500000+1400000+3500000)/30)/8</f>
        <v>70416.666666666672</v>
      </c>
      <c r="BB12" s="223">
        <f t="shared" si="40"/>
        <v>352083.33333333337</v>
      </c>
      <c r="BC12" s="209">
        <v>1</v>
      </c>
      <c r="BD12" s="209">
        <v>2</v>
      </c>
      <c r="BE12" s="223">
        <f>((2500000+1400000)/30)/8</f>
        <v>16250</v>
      </c>
      <c r="BF12" s="223">
        <f t="shared" si="41"/>
        <v>32500</v>
      </c>
      <c r="BG12" s="209">
        <v>0</v>
      </c>
      <c r="BH12" s="209">
        <v>0</v>
      </c>
      <c r="BI12" s="223">
        <v>0</v>
      </c>
      <c r="BJ12" s="223">
        <f t="shared" si="42"/>
        <v>0</v>
      </c>
      <c r="BK12" s="209">
        <v>1</v>
      </c>
      <c r="BL12" s="209">
        <v>1</v>
      </c>
      <c r="BM12" s="223">
        <f t="shared" si="43"/>
        <v>20833.333333333332</v>
      </c>
      <c r="BN12" s="223">
        <f t="shared" si="44"/>
        <v>20833.333333333332</v>
      </c>
      <c r="BO12" s="209">
        <v>1</v>
      </c>
      <c r="BP12" s="209">
        <v>1</v>
      </c>
      <c r="BQ12" s="223">
        <f t="shared" si="45"/>
        <v>5833.333333333333</v>
      </c>
      <c r="BR12" s="223">
        <f t="shared" si="46"/>
        <v>5833.333333333333</v>
      </c>
      <c r="BS12" s="209">
        <v>0</v>
      </c>
      <c r="BT12" s="209">
        <v>0</v>
      </c>
      <c r="BU12" s="223">
        <v>0</v>
      </c>
      <c r="BV12" s="223">
        <f t="shared" si="47"/>
        <v>0</v>
      </c>
      <c r="BW12" s="209">
        <v>0</v>
      </c>
      <c r="BX12" s="209">
        <v>0</v>
      </c>
      <c r="BY12" s="223">
        <v>0</v>
      </c>
      <c r="BZ12" s="223">
        <f t="shared" si="81"/>
        <v>0</v>
      </c>
      <c r="CA12" s="209">
        <v>0</v>
      </c>
      <c r="CB12" s="209">
        <v>0</v>
      </c>
      <c r="CC12" s="223">
        <v>0</v>
      </c>
      <c r="CD12" s="223">
        <f t="shared" si="49"/>
        <v>0</v>
      </c>
      <c r="CE12" s="209">
        <v>0</v>
      </c>
      <c r="CF12" s="209">
        <v>0</v>
      </c>
      <c r="CG12" s="223">
        <v>0</v>
      </c>
      <c r="CH12" s="223">
        <f t="shared" si="50"/>
        <v>0</v>
      </c>
      <c r="CI12" s="209">
        <v>0</v>
      </c>
      <c r="CJ12" s="209">
        <v>0</v>
      </c>
      <c r="CK12" s="223">
        <v>0</v>
      </c>
      <c r="CL12" s="223">
        <f t="shared" si="84"/>
        <v>0</v>
      </c>
      <c r="CM12" s="209">
        <v>0</v>
      </c>
      <c r="CN12" s="209">
        <v>0</v>
      </c>
      <c r="CO12" s="226">
        <v>0</v>
      </c>
      <c r="CP12" s="226">
        <f t="shared" si="52"/>
        <v>0</v>
      </c>
      <c r="CQ12" s="209">
        <v>0</v>
      </c>
      <c r="CR12" s="209">
        <v>0</v>
      </c>
      <c r="CS12" s="226">
        <v>0</v>
      </c>
      <c r="CT12" s="226">
        <f t="shared" si="53"/>
        <v>0</v>
      </c>
      <c r="CU12" s="209" t="s">
        <v>827</v>
      </c>
      <c r="CV12" s="209">
        <v>0</v>
      </c>
      <c r="CW12" s="226">
        <v>0</v>
      </c>
      <c r="CX12" s="226">
        <f t="shared" si="54"/>
        <v>0</v>
      </c>
      <c r="CY12" s="209" t="s">
        <v>827</v>
      </c>
      <c r="CZ12" s="209">
        <v>0</v>
      </c>
      <c r="DA12" s="226">
        <v>0</v>
      </c>
      <c r="DB12" s="226">
        <f t="shared" si="55"/>
        <v>0</v>
      </c>
      <c r="DC12" s="209" t="s">
        <v>827</v>
      </c>
      <c r="DD12" s="209">
        <v>0</v>
      </c>
      <c r="DE12" s="226">
        <v>0</v>
      </c>
      <c r="DF12" s="226">
        <f t="shared" si="56"/>
        <v>0</v>
      </c>
      <c r="DG12" s="209" t="s">
        <v>827</v>
      </c>
      <c r="DH12" s="209">
        <v>0</v>
      </c>
      <c r="DI12" s="226">
        <v>0</v>
      </c>
      <c r="DJ12" s="226">
        <f t="shared" si="57"/>
        <v>0</v>
      </c>
      <c r="DK12" s="209" t="s">
        <v>827</v>
      </c>
      <c r="DL12" s="209">
        <v>0</v>
      </c>
      <c r="DM12" s="226">
        <v>0</v>
      </c>
      <c r="DN12" s="226">
        <f t="shared" si="58"/>
        <v>0</v>
      </c>
      <c r="DO12" s="209" t="s">
        <v>827</v>
      </c>
      <c r="DP12" s="209">
        <v>0</v>
      </c>
      <c r="DQ12" s="226">
        <v>0</v>
      </c>
      <c r="DR12" s="226">
        <f t="shared" si="59"/>
        <v>0</v>
      </c>
      <c r="DS12" s="209" t="s">
        <v>827</v>
      </c>
      <c r="DT12" s="209">
        <v>0</v>
      </c>
      <c r="DU12" s="226">
        <v>0</v>
      </c>
      <c r="DV12" s="226">
        <f t="shared" si="60"/>
        <v>0</v>
      </c>
      <c r="DW12" s="209" t="s">
        <v>827</v>
      </c>
      <c r="DX12" s="209">
        <v>0</v>
      </c>
      <c r="DY12" s="226">
        <v>0</v>
      </c>
      <c r="DZ12" s="226">
        <f t="shared" si="61"/>
        <v>0</v>
      </c>
      <c r="EA12" s="209" t="s">
        <v>827</v>
      </c>
      <c r="EB12" s="209">
        <v>0</v>
      </c>
      <c r="EC12" s="226">
        <v>0</v>
      </c>
      <c r="ED12" s="226">
        <f t="shared" si="62"/>
        <v>0</v>
      </c>
      <c r="EE12" s="209" t="s">
        <v>827</v>
      </c>
      <c r="EF12" s="209">
        <v>0</v>
      </c>
      <c r="EG12" s="226">
        <v>0</v>
      </c>
      <c r="EH12" s="226">
        <f t="shared" si="63"/>
        <v>0</v>
      </c>
      <c r="EI12" s="209" t="s">
        <v>827</v>
      </c>
      <c r="EJ12" s="209">
        <v>0</v>
      </c>
      <c r="EK12" s="226">
        <v>0</v>
      </c>
      <c r="EL12" s="226">
        <f t="shared" si="64"/>
        <v>0</v>
      </c>
      <c r="EM12" s="209" t="s">
        <v>827</v>
      </c>
      <c r="EN12" s="209">
        <v>0</v>
      </c>
      <c r="EO12" s="226">
        <v>0</v>
      </c>
      <c r="EP12" s="226">
        <f t="shared" si="65"/>
        <v>0</v>
      </c>
      <c r="EQ12" s="209" t="s">
        <v>827</v>
      </c>
      <c r="ER12" s="211" t="s">
        <v>167</v>
      </c>
      <c r="ES12" s="226">
        <f t="shared" ref="ES12:ES13" si="94">84635*D12*8</f>
        <v>2031240</v>
      </c>
      <c r="ET12" s="209" t="s">
        <v>827</v>
      </c>
      <c r="EU12" s="211" t="s">
        <v>167</v>
      </c>
      <c r="EV12" s="226">
        <v>0</v>
      </c>
      <c r="EW12" s="209" t="s">
        <v>827</v>
      </c>
      <c r="EX12" s="211" t="s">
        <v>167</v>
      </c>
      <c r="EY12" s="226">
        <v>0</v>
      </c>
      <c r="EZ12" s="209" t="s">
        <v>827</v>
      </c>
      <c r="FA12" s="226">
        <v>0</v>
      </c>
      <c r="FB12" s="209" t="s">
        <v>827</v>
      </c>
      <c r="FC12" s="226">
        <v>0</v>
      </c>
      <c r="FD12" s="209" t="s">
        <v>827</v>
      </c>
      <c r="FE12" s="226">
        <v>0</v>
      </c>
      <c r="FF12" s="209" t="s">
        <v>827</v>
      </c>
      <c r="FG12" s="226">
        <v>0</v>
      </c>
      <c r="FH12" s="209" t="s">
        <v>827</v>
      </c>
      <c r="FI12" s="226">
        <v>0</v>
      </c>
      <c r="FJ12" s="230"/>
      <c r="FK12" s="230"/>
      <c r="FL12" s="233" t="s">
        <v>959</v>
      </c>
      <c r="FM12" s="209">
        <v>1</v>
      </c>
      <c r="FN12" s="223">
        <f>F12*D12</f>
        <v>322732.79999999999</v>
      </c>
      <c r="FO12" s="223">
        <f t="shared" si="66"/>
        <v>322732.79999999999</v>
      </c>
      <c r="FP12" s="233" t="s">
        <v>827</v>
      </c>
      <c r="FQ12" s="209">
        <v>0</v>
      </c>
      <c r="FR12" s="223">
        <v>0</v>
      </c>
      <c r="FS12" s="223">
        <f t="shared" si="67"/>
        <v>0</v>
      </c>
      <c r="FT12" s="230"/>
      <c r="FU12" s="230"/>
      <c r="FV12" s="233" t="s">
        <v>827</v>
      </c>
      <c r="FW12" s="209">
        <v>0</v>
      </c>
      <c r="FX12" s="223">
        <v>0</v>
      </c>
      <c r="FY12" s="223">
        <f t="shared" si="89"/>
        <v>0</v>
      </c>
      <c r="FZ12" s="230"/>
      <c r="GA12" s="233" t="s">
        <v>827</v>
      </c>
      <c r="GB12" s="209">
        <v>0</v>
      </c>
      <c r="GC12" s="223">
        <v>0</v>
      </c>
      <c r="GD12" s="223">
        <f t="shared" si="68"/>
        <v>0</v>
      </c>
      <c r="GE12" s="233" t="s">
        <v>827</v>
      </c>
      <c r="GF12" s="209">
        <v>0</v>
      </c>
      <c r="GG12" s="223">
        <v>0</v>
      </c>
      <c r="GH12" s="223">
        <f t="shared" si="69"/>
        <v>0</v>
      </c>
      <c r="GI12" s="233" t="s">
        <v>827</v>
      </c>
      <c r="GJ12" s="209">
        <v>0</v>
      </c>
      <c r="GK12" s="223">
        <v>0</v>
      </c>
      <c r="GL12" s="223">
        <f t="shared" si="70"/>
        <v>0</v>
      </c>
      <c r="GM12" s="233" t="s">
        <v>827</v>
      </c>
      <c r="GN12" s="209">
        <v>0</v>
      </c>
      <c r="GO12" s="223">
        <v>0</v>
      </c>
      <c r="GP12" s="223">
        <f t="shared" si="71"/>
        <v>0</v>
      </c>
      <c r="GQ12" s="233" t="s">
        <v>827</v>
      </c>
      <c r="GR12" s="209">
        <v>0</v>
      </c>
      <c r="GS12" s="223">
        <v>0</v>
      </c>
      <c r="GT12" s="223">
        <f t="shared" si="72"/>
        <v>0</v>
      </c>
      <c r="GU12" s="233" t="s">
        <v>827</v>
      </c>
      <c r="GV12" s="209">
        <v>0</v>
      </c>
      <c r="GW12" s="223">
        <v>0</v>
      </c>
      <c r="GX12" s="223">
        <f t="shared" si="73"/>
        <v>0</v>
      </c>
      <c r="GY12" s="230"/>
      <c r="GZ12" s="233" t="s">
        <v>827</v>
      </c>
      <c r="HA12" s="209">
        <v>0</v>
      </c>
      <c r="HB12" s="223">
        <v>0</v>
      </c>
      <c r="HC12" s="223">
        <f t="shared" si="74"/>
        <v>0</v>
      </c>
      <c r="HD12" s="233" t="s">
        <v>827</v>
      </c>
      <c r="HE12" s="209">
        <v>0</v>
      </c>
      <c r="HF12" s="223">
        <v>0</v>
      </c>
      <c r="HG12" s="223">
        <f t="shared" si="75"/>
        <v>0</v>
      </c>
      <c r="HH12" s="230"/>
      <c r="HI12" s="233" t="s">
        <v>827</v>
      </c>
      <c r="HJ12" s="209">
        <v>0</v>
      </c>
      <c r="HK12" s="223">
        <v>0</v>
      </c>
      <c r="HL12" s="223">
        <f t="shared" si="76"/>
        <v>0</v>
      </c>
      <c r="HM12" s="230"/>
      <c r="HN12" s="230"/>
      <c r="HO12" s="233" t="s">
        <v>827</v>
      </c>
      <c r="HP12" s="209">
        <v>0</v>
      </c>
      <c r="HQ12" s="223">
        <v>0</v>
      </c>
      <c r="HR12" s="223">
        <f t="shared" si="77"/>
        <v>0</v>
      </c>
      <c r="HS12" s="230"/>
      <c r="HT12" s="230"/>
      <c r="HU12" s="230"/>
      <c r="HV12" s="230"/>
      <c r="HW12" s="230"/>
      <c r="HX12" s="230"/>
      <c r="HY12" s="230"/>
      <c r="HZ12" s="230"/>
      <c r="IA12" s="230"/>
      <c r="IB12" s="230"/>
      <c r="IC12" s="230"/>
      <c r="ID12" s="230"/>
      <c r="IE12" s="230"/>
      <c r="IF12" s="230"/>
    </row>
    <row r="13" spans="1:303" x14ac:dyDescent="0.2">
      <c r="A13" s="209" t="s">
        <v>760</v>
      </c>
      <c r="B13" s="209" t="s">
        <v>769</v>
      </c>
      <c r="C13" s="209" t="s">
        <v>779</v>
      </c>
      <c r="D13" s="211">
        <v>6</v>
      </c>
      <c r="E13" s="210">
        <v>645465.59999999998</v>
      </c>
      <c r="F13" s="212">
        <f t="shared" si="31"/>
        <v>107577.59999999999</v>
      </c>
      <c r="G13" s="209">
        <v>2</v>
      </c>
      <c r="H13" s="209">
        <f>1+1</f>
        <v>2</v>
      </c>
      <c r="I13" s="212">
        <f>((2500000+8000000)/30)/8</f>
        <v>43750</v>
      </c>
      <c r="J13" s="212">
        <f t="shared" si="32"/>
        <v>175000</v>
      </c>
      <c r="K13" s="211">
        <v>8</v>
      </c>
      <c r="L13" s="217">
        <f t="shared" si="33"/>
        <v>13447.199999999999</v>
      </c>
      <c r="M13" s="217">
        <f t="shared" si="34"/>
        <v>107577.59999999999</v>
      </c>
      <c r="N13" s="209">
        <v>1</v>
      </c>
      <c r="O13" s="209">
        <v>1</v>
      </c>
      <c r="P13" s="217">
        <f>+L13</f>
        <v>13447.199999999999</v>
      </c>
      <c r="Q13" s="217">
        <f t="shared" ref="Q13" si="95">N13*O13*P13</f>
        <v>13447.199999999999</v>
      </c>
      <c r="R13" s="209">
        <f t="shared" si="88"/>
        <v>48</v>
      </c>
      <c r="S13" s="209">
        <v>1</v>
      </c>
      <c r="T13" s="212">
        <f t="shared" si="1"/>
        <v>13447.199999999999</v>
      </c>
      <c r="U13" s="212">
        <f t="shared" si="2"/>
        <v>645465.59999999998</v>
      </c>
      <c r="V13" s="230"/>
      <c r="W13" s="209">
        <v>1</v>
      </c>
      <c r="X13" s="209">
        <v>0</v>
      </c>
      <c r="Y13" s="223">
        <f t="shared" si="86"/>
        <v>22083.333333333332</v>
      </c>
      <c r="Z13" s="223">
        <f t="shared" si="35"/>
        <v>0</v>
      </c>
      <c r="AA13" s="209">
        <v>0</v>
      </c>
      <c r="AB13" s="209">
        <v>0</v>
      </c>
      <c r="AC13" s="223">
        <v>0</v>
      </c>
      <c r="AD13" s="223">
        <f t="shared" si="3"/>
        <v>0</v>
      </c>
      <c r="AE13" s="209">
        <v>0</v>
      </c>
      <c r="AF13" s="209">
        <v>0</v>
      </c>
      <c r="AG13" s="223">
        <v>0</v>
      </c>
      <c r="AH13" s="223">
        <f t="shared" si="36"/>
        <v>0</v>
      </c>
      <c r="AI13" s="209">
        <v>1</v>
      </c>
      <c r="AJ13" s="209">
        <v>1</v>
      </c>
      <c r="AK13" s="223">
        <f>(2500000/30)/8</f>
        <v>10416.666666666666</v>
      </c>
      <c r="AL13" s="223">
        <f t="shared" si="78"/>
        <v>10416.666666666666</v>
      </c>
      <c r="AM13" s="209">
        <v>1</v>
      </c>
      <c r="AN13" s="209">
        <v>1</v>
      </c>
      <c r="AO13" s="226">
        <f t="shared" si="83"/>
        <v>7500</v>
      </c>
      <c r="AP13" s="223">
        <f t="shared" si="4"/>
        <v>7500</v>
      </c>
      <c r="AQ13" s="209">
        <v>0</v>
      </c>
      <c r="AR13" s="209">
        <v>0</v>
      </c>
      <c r="AS13" s="223">
        <v>0</v>
      </c>
      <c r="AT13" s="223">
        <f t="shared" si="38"/>
        <v>0</v>
      </c>
      <c r="AU13" s="209">
        <v>0</v>
      </c>
      <c r="AV13" s="209">
        <v>0</v>
      </c>
      <c r="AW13" s="223">
        <v>0</v>
      </c>
      <c r="AX13" s="223">
        <f t="shared" si="39"/>
        <v>0</v>
      </c>
      <c r="AY13" s="209">
        <v>0</v>
      </c>
      <c r="AZ13" s="209">
        <v>0</v>
      </c>
      <c r="BA13" s="223">
        <v>0</v>
      </c>
      <c r="BB13" s="223">
        <f t="shared" si="40"/>
        <v>0</v>
      </c>
      <c r="BC13" s="209">
        <v>0</v>
      </c>
      <c r="BD13" s="209">
        <v>0</v>
      </c>
      <c r="BE13" s="223">
        <v>0</v>
      </c>
      <c r="BF13" s="223">
        <f t="shared" si="41"/>
        <v>0</v>
      </c>
      <c r="BG13" s="209">
        <v>0</v>
      </c>
      <c r="BH13" s="209">
        <v>0</v>
      </c>
      <c r="BI13" s="223">
        <v>0</v>
      </c>
      <c r="BJ13" s="223">
        <f t="shared" si="42"/>
        <v>0</v>
      </c>
      <c r="BK13" s="209">
        <v>1</v>
      </c>
      <c r="BL13" s="209">
        <v>1</v>
      </c>
      <c r="BM13" s="223">
        <f t="shared" si="43"/>
        <v>20833.333333333332</v>
      </c>
      <c r="BN13" s="223">
        <f t="shared" si="44"/>
        <v>20833.333333333332</v>
      </c>
      <c r="BO13" s="209">
        <v>0</v>
      </c>
      <c r="BP13" s="209">
        <v>0</v>
      </c>
      <c r="BQ13" s="223">
        <v>0</v>
      </c>
      <c r="BR13" s="223">
        <f t="shared" si="46"/>
        <v>0</v>
      </c>
      <c r="BS13" s="209">
        <v>0</v>
      </c>
      <c r="BT13" s="209">
        <v>0</v>
      </c>
      <c r="BU13" s="223">
        <v>0</v>
      </c>
      <c r="BV13" s="223">
        <f t="shared" si="47"/>
        <v>0</v>
      </c>
      <c r="BW13" s="209">
        <v>0</v>
      </c>
      <c r="BX13" s="209">
        <v>0</v>
      </c>
      <c r="BY13" s="223">
        <v>0</v>
      </c>
      <c r="BZ13" s="223">
        <f t="shared" si="81"/>
        <v>0</v>
      </c>
      <c r="CA13" s="209">
        <v>0</v>
      </c>
      <c r="CB13" s="209">
        <v>0</v>
      </c>
      <c r="CC13" s="223">
        <v>0</v>
      </c>
      <c r="CD13" s="223">
        <f t="shared" si="49"/>
        <v>0</v>
      </c>
      <c r="CE13" s="209">
        <v>0</v>
      </c>
      <c r="CF13" s="209">
        <v>0</v>
      </c>
      <c r="CG13" s="223">
        <v>0</v>
      </c>
      <c r="CH13" s="223">
        <f t="shared" si="50"/>
        <v>0</v>
      </c>
      <c r="CI13" s="209">
        <v>0</v>
      </c>
      <c r="CJ13" s="209">
        <v>0</v>
      </c>
      <c r="CK13" s="223">
        <v>0</v>
      </c>
      <c r="CL13" s="223">
        <f t="shared" si="84"/>
        <v>0</v>
      </c>
      <c r="CM13" s="209">
        <v>0</v>
      </c>
      <c r="CN13" s="209">
        <v>0</v>
      </c>
      <c r="CO13" s="226">
        <v>0</v>
      </c>
      <c r="CP13" s="226">
        <f t="shared" si="52"/>
        <v>0</v>
      </c>
      <c r="CQ13" s="209">
        <v>0</v>
      </c>
      <c r="CR13" s="209">
        <v>0</v>
      </c>
      <c r="CS13" s="226">
        <v>0</v>
      </c>
      <c r="CT13" s="226">
        <f t="shared" si="53"/>
        <v>0</v>
      </c>
      <c r="CU13" s="209" t="s">
        <v>827</v>
      </c>
      <c r="CV13" s="209">
        <v>0</v>
      </c>
      <c r="CW13" s="226">
        <v>0</v>
      </c>
      <c r="CX13" s="226">
        <f t="shared" si="54"/>
        <v>0</v>
      </c>
      <c r="CY13" s="209" t="s">
        <v>827</v>
      </c>
      <c r="CZ13" s="209">
        <v>0</v>
      </c>
      <c r="DA13" s="226">
        <v>0</v>
      </c>
      <c r="DB13" s="226">
        <f t="shared" si="55"/>
        <v>0</v>
      </c>
      <c r="DC13" s="209" t="s">
        <v>827</v>
      </c>
      <c r="DD13" s="209">
        <v>0</v>
      </c>
      <c r="DE13" s="226">
        <v>0</v>
      </c>
      <c r="DF13" s="226">
        <f t="shared" si="56"/>
        <v>0</v>
      </c>
      <c r="DG13" s="209" t="s">
        <v>827</v>
      </c>
      <c r="DH13" s="209">
        <v>0</v>
      </c>
      <c r="DI13" s="226">
        <v>0</v>
      </c>
      <c r="DJ13" s="226">
        <f t="shared" si="57"/>
        <v>0</v>
      </c>
      <c r="DK13" s="209" t="s">
        <v>827</v>
      </c>
      <c r="DL13" s="209">
        <v>0</v>
      </c>
      <c r="DM13" s="226">
        <v>0</v>
      </c>
      <c r="DN13" s="226">
        <f t="shared" si="58"/>
        <v>0</v>
      </c>
      <c r="DO13" s="209" t="s">
        <v>827</v>
      </c>
      <c r="DP13" s="209">
        <v>0</v>
      </c>
      <c r="DQ13" s="226">
        <v>0</v>
      </c>
      <c r="DR13" s="226">
        <f t="shared" si="59"/>
        <v>0</v>
      </c>
      <c r="DS13" s="209" t="s">
        <v>827</v>
      </c>
      <c r="DT13" s="209">
        <v>0</v>
      </c>
      <c r="DU13" s="226">
        <v>0</v>
      </c>
      <c r="DV13" s="226">
        <f t="shared" si="60"/>
        <v>0</v>
      </c>
      <c r="DW13" s="209" t="s">
        <v>827</v>
      </c>
      <c r="DX13" s="209">
        <v>0</v>
      </c>
      <c r="DY13" s="226">
        <v>0</v>
      </c>
      <c r="DZ13" s="226">
        <f t="shared" si="61"/>
        <v>0</v>
      </c>
      <c r="EA13" s="209" t="s">
        <v>827</v>
      </c>
      <c r="EB13" s="209">
        <v>0</v>
      </c>
      <c r="EC13" s="226">
        <v>0</v>
      </c>
      <c r="ED13" s="226">
        <f t="shared" si="62"/>
        <v>0</v>
      </c>
      <c r="EE13" s="209" t="s">
        <v>827</v>
      </c>
      <c r="EF13" s="209">
        <v>0</v>
      </c>
      <c r="EG13" s="226">
        <v>0</v>
      </c>
      <c r="EH13" s="226">
        <f t="shared" si="63"/>
        <v>0</v>
      </c>
      <c r="EI13" s="209" t="s">
        <v>827</v>
      </c>
      <c r="EJ13" s="209">
        <v>0</v>
      </c>
      <c r="EK13" s="226">
        <v>0</v>
      </c>
      <c r="EL13" s="226">
        <f t="shared" si="64"/>
        <v>0</v>
      </c>
      <c r="EM13" s="209" t="s">
        <v>827</v>
      </c>
      <c r="EN13" s="209">
        <v>0</v>
      </c>
      <c r="EO13" s="226">
        <v>0</v>
      </c>
      <c r="EP13" s="226">
        <f t="shared" si="65"/>
        <v>0</v>
      </c>
      <c r="EQ13" s="209" t="s">
        <v>827</v>
      </c>
      <c r="ER13" s="211" t="s">
        <v>167</v>
      </c>
      <c r="ES13" s="226">
        <f t="shared" si="94"/>
        <v>4062480</v>
      </c>
      <c r="ET13" s="209" t="s">
        <v>827</v>
      </c>
      <c r="EU13" s="211" t="s">
        <v>167</v>
      </c>
      <c r="EV13" s="226">
        <v>0</v>
      </c>
      <c r="EW13" s="209" t="s">
        <v>827</v>
      </c>
      <c r="EX13" s="211" t="s">
        <v>167</v>
      </c>
      <c r="EY13" s="226">
        <v>0</v>
      </c>
      <c r="EZ13" s="209" t="s">
        <v>827</v>
      </c>
      <c r="FA13" s="226">
        <v>0</v>
      </c>
      <c r="FB13" s="209" t="s">
        <v>827</v>
      </c>
      <c r="FC13" s="226">
        <v>0</v>
      </c>
      <c r="FD13" s="209" t="s">
        <v>827</v>
      </c>
      <c r="FE13" s="226">
        <v>0</v>
      </c>
      <c r="FF13" s="209" t="s">
        <v>827</v>
      </c>
      <c r="FG13" s="226">
        <v>0</v>
      </c>
      <c r="FH13" s="209" t="s">
        <v>827</v>
      </c>
      <c r="FI13" s="226">
        <v>0</v>
      </c>
      <c r="FJ13" s="230"/>
      <c r="FK13" s="230"/>
      <c r="FL13" s="233" t="s">
        <v>959</v>
      </c>
      <c r="FM13" s="209">
        <v>1</v>
      </c>
      <c r="FN13" s="223">
        <f>F13*D13</f>
        <v>645465.59999999998</v>
      </c>
      <c r="FO13" s="223">
        <f t="shared" si="66"/>
        <v>645465.59999999998</v>
      </c>
      <c r="FP13" s="233" t="s">
        <v>827</v>
      </c>
      <c r="FQ13" s="209">
        <v>0</v>
      </c>
      <c r="FR13" s="223">
        <v>0</v>
      </c>
      <c r="FS13" s="223">
        <f t="shared" si="67"/>
        <v>0</v>
      </c>
      <c r="FT13" s="230"/>
      <c r="FU13" s="230"/>
      <c r="FV13" s="233" t="s">
        <v>827</v>
      </c>
      <c r="FW13" s="209">
        <v>0</v>
      </c>
      <c r="FX13" s="223">
        <v>0</v>
      </c>
      <c r="FY13" s="223">
        <f t="shared" si="89"/>
        <v>0</v>
      </c>
      <c r="FZ13" s="230"/>
      <c r="GA13" s="233" t="s">
        <v>827</v>
      </c>
      <c r="GB13" s="209">
        <v>0</v>
      </c>
      <c r="GC13" s="223">
        <v>0</v>
      </c>
      <c r="GD13" s="223">
        <f t="shared" si="68"/>
        <v>0</v>
      </c>
      <c r="GE13" s="233" t="s">
        <v>827</v>
      </c>
      <c r="GF13" s="209">
        <v>0</v>
      </c>
      <c r="GG13" s="223">
        <v>0</v>
      </c>
      <c r="GH13" s="223">
        <f t="shared" si="69"/>
        <v>0</v>
      </c>
      <c r="GI13" s="233" t="s">
        <v>827</v>
      </c>
      <c r="GJ13" s="209">
        <v>0</v>
      </c>
      <c r="GK13" s="223">
        <v>0</v>
      </c>
      <c r="GL13" s="223">
        <f t="shared" si="70"/>
        <v>0</v>
      </c>
      <c r="GM13" s="233" t="s">
        <v>827</v>
      </c>
      <c r="GN13" s="209">
        <v>0</v>
      </c>
      <c r="GO13" s="223">
        <v>0</v>
      </c>
      <c r="GP13" s="223">
        <f t="shared" si="71"/>
        <v>0</v>
      </c>
      <c r="GQ13" s="233" t="s">
        <v>827</v>
      </c>
      <c r="GR13" s="209">
        <v>0</v>
      </c>
      <c r="GS13" s="223">
        <v>0</v>
      </c>
      <c r="GT13" s="223">
        <f t="shared" si="72"/>
        <v>0</v>
      </c>
      <c r="GU13" s="233" t="s">
        <v>827</v>
      </c>
      <c r="GV13" s="209">
        <v>0</v>
      </c>
      <c r="GW13" s="223">
        <v>0</v>
      </c>
      <c r="GX13" s="223">
        <f t="shared" si="73"/>
        <v>0</v>
      </c>
      <c r="GY13" s="230"/>
      <c r="GZ13" s="233" t="s">
        <v>827</v>
      </c>
      <c r="HA13" s="209">
        <v>0</v>
      </c>
      <c r="HB13" s="223">
        <v>0</v>
      </c>
      <c r="HC13" s="223">
        <f t="shared" si="74"/>
        <v>0</v>
      </c>
      <c r="HD13" s="233" t="s">
        <v>827</v>
      </c>
      <c r="HE13" s="209">
        <v>0</v>
      </c>
      <c r="HF13" s="223">
        <v>0</v>
      </c>
      <c r="HG13" s="223">
        <f t="shared" si="75"/>
        <v>0</v>
      </c>
      <c r="HH13" s="230"/>
      <c r="HI13" s="233" t="s">
        <v>827</v>
      </c>
      <c r="HJ13" s="209">
        <v>0</v>
      </c>
      <c r="HK13" s="223">
        <v>0</v>
      </c>
      <c r="HL13" s="223">
        <f t="shared" si="76"/>
        <v>0</v>
      </c>
      <c r="HM13" s="230"/>
      <c r="HN13" s="230"/>
      <c r="HO13" s="233" t="s">
        <v>827</v>
      </c>
      <c r="HP13" s="209">
        <v>0</v>
      </c>
      <c r="HQ13" s="223">
        <v>0</v>
      </c>
      <c r="HR13" s="223">
        <f t="shared" si="77"/>
        <v>0</v>
      </c>
      <c r="HS13" s="230"/>
      <c r="HT13" s="230"/>
      <c r="HU13" s="230"/>
      <c r="HV13" s="230"/>
      <c r="HW13" s="230"/>
      <c r="HX13" s="230"/>
      <c r="HY13" s="230"/>
      <c r="HZ13" s="230"/>
      <c r="IA13" s="230"/>
      <c r="IB13" s="230"/>
      <c r="IC13" s="230"/>
      <c r="ID13" s="230"/>
      <c r="IE13" s="230"/>
      <c r="IF13" s="230"/>
    </row>
    <row r="14" spans="1:303" x14ac:dyDescent="0.2">
      <c r="A14" s="209" t="s">
        <v>760</v>
      </c>
      <c r="B14" s="209" t="s">
        <v>761</v>
      </c>
      <c r="C14" s="209" t="s">
        <v>779</v>
      </c>
      <c r="D14" s="211">
        <v>3</v>
      </c>
      <c r="E14" s="210">
        <v>69077.2</v>
      </c>
      <c r="F14" s="212">
        <f t="shared" si="31"/>
        <v>23025.733333333334</v>
      </c>
      <c r="G14" s="209">
        <v>2</v>
      </c>
      <c r="H14" s="209">
        <f>1+1</f>
        <v>2</v>
      </c>
      <c r="I14" s="212">
        <f>((3900000+2000000)/30)/8</f>
        <v>24583.333333333332</v>
      </c>
      <c r="J14" s="212">
        <f t="shared" si="32"/>
        <v>98333.333333333328</v>
      </c>
      <c r="K14" s="211">
        <v>8</v>
      </c>
      <c r="L14" s="217">
        <f t="shared" si="33"/>
        <v>2878.2166666666667</v>
      </c>
      <c r="M14" s="217">
        <f t="shared" si="34"/>
        <v>23025.733333333334</v>
      </c>
      <c r="N14" s="209">
        <v>1</v>
      </c>
      <c r="O14" s="209">
        <v>1</v>
      </c>
      <c r="P14" s="217">
        <f>(700000/30)/8</f>
        <v>2916.6666666666665</v>
      </c>
      <c r="Q14" s="217">
        <f t="shared" ref="Q14:Q25" si="96">N14*O14*P14</f>
        <v>2916.6666666666665</v>
      </c>
      <c r="R14" s="209">
        <f t="shared" si="88"/>
        <v>24</v>
      </c>
      <c r="S14" s="209">
        <v>0</v>
      </c>
      <c r="T14" s="212">
        <f t="shared" si="1"/>
        <v>2878.2166666666667</v>
      </c>
      <c r="U14" s="212">
        <f t="shared" si="2"/>
        <v>0</v>
      </c>
      <c r="V14" s="230"/>
      <c r="W14" s="209">
        <v>1</v>
      </c>
      <c r="X14" s="209">
        <v>2</v>
      </c>
      <c r="Y14" s="223">
        <f>((1400000+2500000)/30)/8</f>
        <v>16250</v>
      </c>
      <c r="Z14" s="223">
        <f t="shared" si="35"/>
        <v>32500</v>
      </c>
      <c r="AA14" s="209">
        <v>1</v>
      </c>
      <c r="AB14" s="209">
        <v>2</v>
      </c>
      <c r="AC14" s="223">
        <f>((900000*2)/30)/8</f>
        <v>7500</v>
      </c>
      <c r="AD14" s="223">
        <f t="shared" si="3"/>
        <v>15000</v>
      </c>
      <c r="AE14" s="209">
        <v>1</v>
      </c>
      <c r="AF14" s="209">
        <v>1</v>
      </c>
      <c r="AG14" s="223">
        <f t="shared" ref="AG14:AG17" si="97">(5000000/30)/8</f>
        <v>20833.333333333332</v>
      </c>
      <c r="AH14" s="223">
        <f t="shared" si="36"/>
        <v>20833.333333333332</v>
      </c>
      <c r="AI14" s="209">
        <v>2</v>
      </c>
      <c r="AJ14" s="209">
        <v>1</v>
      </c>
      <c r="AK14" s="223">
        <f>(900000/30)/8</f>
        <v>3750</v>
      </c>
      <c r="AL14" s="223">
        <f t="shared" ref="AL14" si="98">AI14*AJ14*AK14</f>
        <v>7500</v>
      </c>
      <c r="AM14" s="209">
        <v>1</v>
      </c>
      <c r="AN14" s="209">
        <v>1</v>
      </c>
      <c r="AO14" s="226">
        <f t="shared" si="83"/>
        <v>7500</v>
      </c>
      <c r="AP14" s="223">
        <f t="shared" si="4"/>
        <v>7500</v>
      </c>
      <c r="AQ14" s="209">
        <v>0</v>
      </c>
      <c r="AR14" s="209">
        <v>0</v>
      </c>
      <c r="AS14" s="223">
        <v>0</v>
      </c>
      <c r="AT14" s="223">
        <f t="shared" si="38"/>
        <v>0</v>
      </c>
      <c r="AU14" s="209">
        <v>1</v>
      </c>
      <c r="AV14" s="209">
        <v>1</v>
      </c>
      <c r="AW14" s="223">
        <f>(1500000/30)/8</f>
        <v>6250</v>
      </c>
      <c r="AX14" s="223">
        <f t="shared" si="39"/>
        <v>6250</v>
      </c>
      <c r="AY14" s="209">
        <v>1</v>
      </c>
      <c r="AZ14" s="209">
        <v>8</v>
      </c>
      <c r="BA14" s="223">
        <f>(2500000+6000000+3500000+1400000+2500000+3500000+3500000+900000/30)/8</f>
        <v>2866250</v>
      </c>
      <c r="BB14" s="223">
        <f t="shared" ref="BB14" si="99">AY14*AZ14*BA14</f>
        <v>22930000</v>
      </c>
      <c r="BC14" s="209">
        <v>1</v>
      </c>
      <c r="BD14" s="209">
        <v>2</v>
      </c>
      <c r="BE14" s="223">
        <f>((2500000+1400000)/30)/8</f>
        <v>16250</v>
      </c>
      <c r="BF14" s="223">
        <f t="shared" ref="BF14" si="100">BC14*BD14*BE14</f>
        <v>32500</v>
      </c>
      <c r="BG14" s="209">
        <v>0</v>
      </c>
      <c r="BH14" s="209">
        <v>0</v>
      </c>
      <c r="BI14" s="223">
        <v>0</v>
      </c>
      <c r="BJ14" s="223">
        <f t="shared" si="42"/>
        <v>0</v>
      </c>
      <c r="BK14" s="209">
        <v>1</v>
      </c>
      <c r="BL14" s="209">
        <v>1</v>
      </c>
      <c r="BM14" s="223">
        <f t="shared" si="43"/>
        <v>20833.333333333332</v>
      </c>
      <c r="BN14" s="223">
        <f t="shared" si="44"/>
        <v>20833.333333333332</v>
      </c>
      <c r="BO14" s="209">
        <v>1</v>
      </c>
      <c r="BP14" s="209">
        <v>1</v>
      </c>
      <c r="BQ14" s="223">
        <f t="shared" si="45"/>
        <v>5833.333333333333</v>
      </c>
      <c r="BR14" s="223">
        <f t="shared" si="46"/>
        <v>5833.333333333333</v>
      </c>
      <c r="BS14" s="209">
        <v>0</v>
      </c>
      <c r="BT14" s="209">
        <v>0</v>
      </c>
      <c r="BU14" s="223">
        <v>0</v>
      </c>
      <c r="BV14" s="223">
        <f t="shared" si="47"/>
        <v>0</v>
      </c>
      <c r="BW14" s="209">
        <v>0</v>
      </c>
      <c r="BX14" s="209">
        <v>0</v>
      </c>
      <c r="BY14" s="223">
        <v>0</v>
      </c>
      <c r="BZ14" s="223">
        <f t="shared" si="81"/>
        <v>0</v>
      </c>
      <c r="CA14" s="209">
        <v>0</v>
      </c>
      <c r="CB14" s="209">
        <v>0</v>
      </c>
      <c r="CC14" s="223">
        <v>0</v>
      </c>
      <c r="CD14" s="223">
        <f t="shared" si="49"/>
        <v>0</v>
      </c>
      <c r="CE14" s="209">
        <v>1</v>
      </c>
      <c r="CF14" s="209">
        <v>1</v>
      </c>
      <c r="CG14" s="223">
        <f>(3500000/30)/8</f>
        <v>14583.333333333334</v>
      </c>
      <c r="CH14" s="223">
        <f t="shared" si="50"/>
        <v>14583.333333333334</v>
      </c>
      <c r="CI14" s="209">
        <v>0</v>
      </c>
      <c r="CJ14" s="209">
        <v>0</v>
      </c>
      <c r="CK14" s="223">
        <v>0</v>
      </c>
      <c r="CL14" s="223">
        <f t="shared" si="84"/>
        <v>0</v>
      </c>
      <c r="CM14" s="209">
        <v>2</v>
      </c>
      <c r="CN14" s="209">
        <v>1</v>
      </c>
      <c r="CO14" s="226">
        <f>((2500000)/30)/8</f>
        <v>10416.666666666666</v>
      </c>
      <c r="CP14" s="226">
        <f t="shared" si="52"/>
        <v>20833.333333333332</v>
      </c>
      <c r="CQ14" s="209">
        <v>0</v>
      </c>
      <c r="CR14" s="209">
        <v>0</v>
      </c>
      <c r="CS14" s="226">
        <v>0</v>
      </c>
      <c r="CT14" s="226">
        <f t="shared" si="53"/>
        <v>0</v>
      </c>
      <c r="CU14" s="209" t="s">
        <v>827</v>
      </c>
      <c r="CV14" s="209">
        <v>0</v>
      </c>
      <c r="CW14" s="226">
        <v>0</v>
      </c>
      <c r="CX14" s="226">
        <f t="shared" si="54"/>
        <v>0</v>
      </c>
      <c r="CY14" s="209" t="s">
        <v>950</v>
      </c>
      <c r="CZ14" s="209">
        <v>1</v>
      </c>
      <c r="DA14" s="226">
        <v>10000</v>
      </c>
      <c r="DB14" s="226">
        <f t="shared" si="55"/>
        <v>10000</v>
      </c>
      <c r="DC14" s="209" t="s">
        <v>827</v>
      </c>
      <c r="DD14" s="209">
        <v>0</v>
      </c>
      <c r="DE14" s="226">
        <v>0</v>
      </c>
      <c r="DF14" s="226">
        <f t="shared" si="56"/>
        <v>0</v>
      </c>
      <c r="DG14" s="209" t="s">
        <v>827</v>
      </c>
      <c r="DH14" s="209">
        <v>0</v>
      </c>
      <c r="DI14" s="226">
        <v>0</v>
      </c>
      <c r="DJ14" s="226">
        <f t="shared" si="57"/>
        <v>0</v>
      </c>
      <c r="DK14" s="209" t="s">
        <v>827</v>
      </c>
      <c r="DL14" s="209">
        <v>0</v>
      </c>
      <c r="DM14" s="226">
        <v>0</v>
      </c>
      <c r="DN14" s="226">
        <f t="shared" si="58"/>
        <v>0</v>
      </c>
      <c r="DO14" s="209" t="s">
        <v>827</v>
      </c>
      <c r="DP14" s="209">
        <v>0</v>
      </c>
      <c r="DQ14" s="226">
        <v>0</v>
      </c>
      <c r="DR14" s="226">
        <f t="shared" si="59"/>
        <v>0</v>
      </c>
      <c r="DS14" s="209" t="s">
        <v>827</v>
      </c>
      <c r="DT14" s="209">
        <v>0</v>
      </c>
      <c r="DU14" s="226">
        <v>0</v>
      </c>
      <c r="DV14" s="226">
        <f t="shared" si="60"/>
        <v>0</v>
      </c>
      <c r="DW14" s="209" t="s">
        <v>827</v>
      </c>
      <c r="DX14" s="209">
        <v>0</v>
      </c>
      <c r="DY14" s="226">
        <v>0</v>
      </c>
      <c r="DZ14" s="226">
        <f t="shared" si="61"/>
        <v>0</v>
      </c>
      <c r="EA14" s="209" t="s">
        <v>827</v>
      </c>
      <c r="EB14" s="209">
        <v>0</v>
      </c>
      <c r="EC14" s="226">
        <v>0</v>
      </c>
      <c r="ED14" s="226">
        <f t="shared" si="62"/>
        <v>0</v>
      </c>
      <c r="EE14" s="209" t="s">
        <v>827</v>
      </c>
      <c r="EF14" s="209">
        <v>0</v>
      </c>
      <c r="EG14" s="226">
        <v>0</v>
      </c>
      <c r="EH14" s="226">
        <f t="shared" si="63"/>
        <v>0</v>
      </c>
      <c r="EI14" s="209" t="s">
        <v>827</v>
      </c>
      <c r="EJ14" s="209">
        <v>0</v>
      </c>
      <c r="EK14" s="226">
        <v>0</v>
      </c>
      <c r="EL14" s="226">
        <f t="shared" si="64"/>
        <v>0</v>
      </c>
      <c r="EM14" s="209" t="s">
        <v>827</v>
      </c>
      <c r="EN14" s="209">
        <v>0</v>
      </c>
      <c r="EO14" s="226">
        <v>0</v>
      </c>
      <c r="EP14" s="226">
        <f t="shared" si="65"/>
        <v>0</v>
      </c>
      <c r="EQ14" s="209" t="s">
        <v>827</v>
      </c>
      <c r="ER14" s="211" t="s">
        <v>167</v>
      </c>
      <c r="ES14" s="226">
        <f>84635*2</f>
        <v>169270</v>
      </c>
      <c r="ET14" s="209" t="s">
        <v>827</v>
      </c>
      <c r="EU14" s="211" t="s">
        <v>167</v>
      </c>
      <c r="EV14" s="226">
        <v>0</v>
      </c>
      <c r="EW14" s="209" t="s">
        <v>827</v>
      </c>
      <c r="EX14" s="211" t="s">
        <v>167</v>
      </c>
      <c r="EY14" s="226">
        <v>0</v>
      </c>
      <c r="EZ14" s="209" t="s">
        <v>827</v>
      </c>
      <c r="FA14" s="226">
        <v>0</v>
      </c>
      <c r="FB14" s="209" t="s">
        <v>827</v>
      </c>
      <c r="FC14" s="226">
        <v>0</v>
      </c>
      <c r="FD14" s="209" t="s">
        <v>827</v>
      </c>
      <c r="FE14" s="226">
        <v>0</v>
      </c>
      <c r="FF14" s="209" t="s">
        <v>827</v>
      </c>
      <c r="FG14" s="226">
        <v>0</v>
      </c>
      <c r="FH14" s="209" t="s">
        <v>827</v>
      </c>
      <c r="FI14" s="226">
        <v>0</v>
      </c>
      <c r="FJ14" s="230"/>
      <c r="FK14" s="230"/>
      <c r="FL14" s="233" t="s">
        <v>959</v>
      </c>
      <c r="FM14" s="209">
        <v>1</v>
      </c>
      <c r="FN14" s="223">
        <f>F14*D14</f>
        <v>69077.2</v>
      </c>
      <c r="FO14" s="223">
        <f t="shared" si="66"/>
        <v>69077.2</v>
      </c>
      <c r="FP14" s="233" t="s">
        <v>827</v>
      </c>
      <c r="FQ14" s="209">
        <v>0</v>
      </c>
      <c r="FR14" s="223">
        <v>0</v>
      </c>
      <c r="FS14" s="223">
        <f t="shared" si="67"/>
        <v>0</v>
      </c>
      <c r="FT14" s="230"/>
      <c r="FU14" s="230"/>
      <c r="FV14" s="233" t="s">
        <v>827</v>
      </c>
      <c r="FW14" s="209">
        <v>0</v>
      </c>
      <c r="FX14" s="223">
        <v>0</v>
      </c>
      <c r="FY14" s="223">
        <f t="shared" si="89"/>
        <v>0</v>
      </c>
      <c r="FZ14" s="230"/>
      <c r="GA14" s="233" t="s">
        <v>827</v>
      </c>
      <c r="GB14" s="209">
        <v>0</v>
      </c>
      <c r="GC14" s="223">
        <v>0</v>
      </c>
      <c r="GD14" s="223">
        <f t="shared" si="68"/>
        <v>0</v>
      </c>
      <c r="GE14" s="233" t="s">
        <v>827</v>
      </c>
      <c r="GF14" s="209">
        <v>0</v>
      </c>
      <c r="GG14" s="223">
        <v>0</v>
      </c>
      <c r="GH14" s="223">
        <f t="shared" si="69"/>
        <v>0</v>
      </c>
      <c r="GI14" s="233" t="s">
        <v>827</v>
      </c>
      <c r="GJ14" s="209">
        <v>0</v>
      </c>
      <c r="GK14" s="223">
        <v>0</v>
      </c>
      <c r="GL14" s="223">
        <f t="shared" si="70"/>
        <v>0</v>
      </c>
      <c r="GM14" s="233" t="s">
        <v>827</v>
      </c>
      <c r="GN14" s="209">
        <v>0</v>
      </c>
      <c r="GO14" s="223">
        <v>0</v>
      </c>
      <c r="GP14" s="223">
        <f t="shared" si="71"/>
        <v>0</v>
      </c>
      <c r="GQ14" s="233" t="s">
        <v>827</v>
      </c>
      <c r="GR14" s="209">
        <v>0</v>
      </c>
      <c r="GS14" s="223">
        <v>0</v>
      </c>
      <c r="GT14" s="223">
        <f t="shared" si="72"/>
        <v>0</v>
      </c>
      <c r="GU14" s="233" t="s">
        <v>827</v>
      </c>
      <c r="GV14" s="209">
        <v>0</v>
      </c>
      <c r="GW14" s="223">
        <v>0</v>
      </c>
      <c r="GX14" s="223">
        <f t="shared" si="73"/>
        <v>0</v>
      </c>
      <c r="GY14" s="230"/>
      <c r="GZ14" s="233" t="s">
        <v>827</v>
      </c>
      <c r="HA14" s="209">
        <v>0</v>
      </c>
      <c r="HB14" s="223">
        <v>0</v>
      </c>
      <c r="HC14" s="223">
        <f t="shared" si="74"/>
        <v>0</v>
      </c>
      <c r="HD14" s="233" t="s">
        <v>827</v>
      </c>
      <c r="HE14" s="209">
        <v>0</v>
      </c>
      <c r="HF14" s="223">
        <v>0</v>
      </c>
      <c r="HG14" s="223">
        <f t="shared" si="75"/>
        <v>0</v>
      </c>
      <c r="HH14" s="230"/>
      <c r="HI14" s="233" t="s">
        <v>827</v>
      </c>
      <c r="HJ14" s="209">
        <v>0</v>
      </c>
      <c r="HK14" s="223">
        <v>0</v>
      </c>
      <c r="HL14" s="223">
        <f t="shared" si="76"/>
        <v>0</v>
      </c>
      <c r="HM14" s="230"/>
      <c r="HN14" s="230"/>
      <c r="HO14" s="233" t="s">
        <v>827</v>
      </c>
      <c r="HP14" s="209">
        <v>0</v>
      </c>
      <c r="HQ14" s="223">
        <v>0</v>
      </c>
      <c r="HR14" s="223">
        <f t="shared" si="77"/>
        <v>0</v>
      </c>
      <c r="HS14" s="230"/>
      <c r="HT14" s="230"/>
      <c r="HU14" s="230"/>
      <c r="HV14" s="230"/>
      <c r="HW14" s="230"/>
      <c r="HX14" s="230"/>
      <c r="HY14" s="230"/>
      <c r="HZ14" s="230"/>
      <c r="IA14" s="230"/>
      <c r="IB14" s="230"/>
      <c r="IC14" s="230"/>
      <c r="ID14" s="230"/>
      <c r="IE14" s="230"/>
      <c r="IF14" s="230"/>
    </row>
    <row r="15" spans="1:303" x14ac:dyDescent="0.2">
      <c r="A15" s="209" t="s">
        <v>770</v>
      </c>
      <c r="B15" s="209" t="s">
        <v>771</v>
      </c>
      <c r="C15" s="209" t="s">
        <v>779</v>
      </c>
      <c r="D15" s="211">
        <v>1</v>
      </c>
      <c r="E15" s="210">
        <v>46356.1</v>
      </c>
      <c r="F15" s="212">
        <f t="shared" si="31"/>
        <v>46356.1</v>
      </c>
      <c r="G15" s="209">
        <f>1+1</f>
        <v>2</v>
      </c>
      <c r="H15" s="209">
        <v>2</v>
      </c>
      <c r="I15" s="212">
        <f>((6000000+1200000)/30)/8</f>
        <v>30000</v>
      </c>
      <c r="J15" s="212">
        <f t="shared" si="32"/>
        <v>120000</v>
      </c>
      <c r="K15" s="211">
        <v>8</v>
      </c>
      <c r="L15" s="217">
        <f t="shared" si="33"/>
        <v>5794.5124999999998</v>
      </c>
      <c r="M15" s="217">
        <f t="shared" si="34"/>
        <v>46356.1</v>
      </c>
      <c r="N15" s="209">
        <v>1</v>
      </c>
      <c r="O15" s="209">
        <v>1</v>
      </c>
      <c r="P15" s="217">
        <f>(1200000/30)/8</f>
        <v>5000</v>
      </c>
      <c r="Q15" s="217">
        <f t="shared" si="96"/>
        <v>5000</v>
      </c>
      <c r="R15" s="209">
        <f t="shared" si="88"/>
        <v>8</v>
      </c>
      <c r="S15" s="209">
        <v>1</v>
      </c>
      <c r="T15" s="212">
        <f t="shared" si="1"/>
        <v>5794.5124999999998</v>
      </c>
      <c r="U15" s="212">
        <f t="shared" si="2"/>
        <v>46356.1</v>
      </c>
      <c r="V15" s="230"/>
      <c r="W15" s="209">
        <v>1</v>
      </c>
      <c r="X15" s="209">
        <v>2</v>
      </c>
      <c r="Y15" s="223">
        <f>((1400000+5000000)/30)/8</f>
        <v>26666.666666666668</v>
      </c>
      <c r="Z15" s="223">
        <f t="shared" si="35"/>
        <v>53333.333333333336</v>
      </c>
      <c r="AA15" s="209">
        <v>1</v>
      </c>
      <c r="AB15" s="209">
        <v>1</v>
      </c>
      <c r="AC15" s="223">
        <f>((1200000*2)/30)/8</f>
        <v>10000</v>
      </c>
      <c r="AD15" s="223">
        <f t="shared" si="3"/>
        <v>10000</v>
      </c>
      <c r="AE15" s="209">
        <v>1</v>
      </c>
      <c r="AF15" s="209">
        <v>1</v>
      </c>
      <c r="AG15" s="223">
        <f t="shared" si="97"/>
        <v>20833.333333333332</v>
      </c>
      <c r="AH15" s="223">
        <f t="shared" si="36"/>
        <v>20833.333333333332</v>
      </c>
      <c r="AI15" s="209">
        <v>1</v>
      </c>
      <c r="AJ15" s="209">
        <v>1</v>
      </c>
      <c r="AK15" s="223">
        <f>(6000000/30)/8</f>
        <v>25000</v>
      </c>
      <c r="AL15" s="223">
        <f t="shared" si="78"/>
        <v>25000</v>
      </c>
      <c r="AM15" s="209">
        <v>1</v>
      </c>
      <c r="AN15" s="209">
        <v>1</v>
      </c>
      <c r="AO15" s="226">
        <f t="shared" si="83"/>
        <v>7500</v>
      </c>
      <c r="AP15" s="223">
        <f t="shared" si="4"/>
        <v>7500</v>
      </c>
      <c r="AQ15" s="209">
        <v>0</v>
      </c>
      <c r="AR15" s="209">
        <v>0</v>
      </c>
      <c r="AS15" s="223">
        <v>0</v>
      </c>
      <c r="AT15" s="223">
        <f t="shared" si="38"/>
        <v>0</v>
      </c>
      <c r="AU15" s="209">
        <v>1</v>
      </c>
      <c r="AV15" s="209">
        <v>1</v>
      </c>
      <c r="AW15" s="223">
        <f>(2500000/30)/8</f>
        <v>10416.666666666666</v>
      </c>
      <c r="AX15" s="223">
        <f t="shared" si="39"/>
        <v>10416.666666666666</v>
      </c>
      <c r="AY15" s="209">
        <v>1</v>
      </c>
      <c r="AZ15" s="209">
        <v>5</v>
      </c>
      <c r="BA15" s="223">
        <f>((6000000+2500000+3500000+1400000+3500000)/30)/8</f>
        <v>70416.666666666672</v>
      </c>
      <c r="BB15" s="223">
        <f t="shared" si="40"/>
        <v>352083.33333333337</v>
      </c>
      <c r="BC15" s="209">
        <v>1</v>
      </c>
      <c r="BD15" s="209">
        <v>2</v>
      </c>
      <c r="BE15" s="223">
        <f>((6000000+1400000)/30)/8</f>
        <v>30833.333333333332</v>
      </c>
      <c r="BF15" s="223">
        <f t="shared" si="41"/>
        <v>61666.666666666664</v>
      </c>
      <c r="BG15" s="209">
        <v>0</v>
      </c>
      <c r="BH15" s="209">
        <v>0</v>
      </c>
      <c r="BI15" s="223">
        <v>0</v>
      </c>
      <c r="BJ15" s="223">
        <f t="shared" si="42"/>
        <v>0</v>
      </c>
      <c r="BK15" s="209">
        <v>1</v>
      </c>
      <c r="BL15" s="209">
        <v>1</v>
      </c>
      <c r="BM15" s="223">
        <f t="shared" si="43"/>
        <v>20833.333333333332</v>
      </c>
      <c r="BN15" s="223">
        <f t="shared" si="44"/>
        <v>20833.333333333332</v>
      </c>
      <c r="BO15" s="209">
        <v>1</v>
      </c>
      <c r="BP15" s="209">
        <v>1</v>
      </c>
      <c r="BQ15" s="223">
        <f t="shared" si="45"/>
        <v>5833.333333333333</v>
      </c>
      <c r="BR15" s="223">
        <f t="shared" si="46"/>
        <v>5833.333333333333</v>
      </c>
      <c r="BS15" s="209">
        <v>0</v>
      </c>
      <c r="BT15" s="209">
        <v>0</v>
      </c>
      <c r="BU15" s="223">
        <v>0</v>
      </c>
      <c r="BV15" s="223">
        <f t="shared" si="47"/>
        <v>0</v>
      </c>
      <c r="BW15" s="209">
        <v>0</v>
      </c>
      <c r="BX15" s="209">
        <v>0</v>
      </c>
      <c r="BY15" s="223">
        <v>0</v>
      </c>
      <c r="BZ15" s="223">
        <f t="shared" si="81"/>
        <v>0</v>
      </c>
      <c r="CA15" s="209">
        <v>0</v>
      </c>
      <c r="CB15" s="209">
        <v>0</v>
      </c>
      <c r="CC15" s="223">
        <v>0</v>
      </c>
      <c r="CD15" s="223">
        <f t="shared" si="49"/>
        <v>0</v>
      </c>
      <c r="CE15" s="209">
        <v>0</v>
      </c>
      <c r="CF15" s="209">
        <v>0</v>
      </c>
      <c r="CG15" s="223">
        <v>0</v>
      </c>
      <c r="CH15" s="223">
        <f t="shared" si="50"/>
        <v>0</v>
      </c>
      <c r="CI15" s="209">
        <v>0</v>
      </c>
      <c r="CJ15" s="209">
        <v>0</v>
      </c>
      <c r="CK15" s="223">
        <v>0</v>
      </c>
      <c r="CL15" s="223">
        <f t="shared" si="84"/>
        <v>0</v>
      </c>
      <c r="CM15" s="209">
        <v>0</v>
      </c>
      <c r="CN15" s="209">
        <v>0</v>
      </c>
      <c r="CO15" s="226">
        <v>0</v>
      </c>
      <c r="CP15" s="226">
        <f t="shared" si="52"/>
        <v>0</v>
      </c>
      <c r="CQ15" s="209">
        <v>0</v>
      </c>
      <c r="CR15" s="209">
        <v>0</v>
      </c>
      <c r="CS15" s="226">
        <v>0</v>
      </c>
      <c r="CT15" s="226">
        <f t="shared" si="53"/>
        <v>0</v>
      </c>
      <c r="CU15" s="209" t="s">
        <v>827</v>
      </c>
      <c r="CV15" s="209">
        <v>0</v>
      </c>
      <c r="CW15" s="226">
        <v>0</v>
      </c>
      <c r="CX15" s="226">
        <f t="shared" si="54"/>
        <v>0</v>
      </c>
      <c r="CY15" s="209" t="s">
        <v>827</v>
      </c>
      <c r="CZ15" s="209">
        <v>0</v>
      </c>
      <c r="DA15" s="226">
        <v>0</v>
      </c>
      <c r="DB15" s="226">
        <f t="shared" si="55"/>
        <v>0</v>
      </c>
      <c r="DC15" s="209" t="s">
        <v>827</v>
      </c>
      <c r="DD15" s="209">
        <v>0</v>
      </c>
      <c r="DE15" s="226">
        <v>0</v>
      </c>
      <c r="DF15" s="226">
        <f t="shared" si="56"/>
        <v>0</v>
      </c>
      <c r="DG15" s="209" t="s">
        <v>827</v>
      </c>
      <c r="DH15" s="209">
        <v>0</v>
      </c>
      <c r="DI15" s="226">
        <v>0</v>
      </c>
      <c r="DJ15" s="226">
        <f t="shared" si="57"/>
        <v>0</v>
      </c>
      <c r="DK15" s="209" t="s">
        <v>827</v>
      </c>
      <c r="DL15" s="209">
        <v>0</v>
      </c>
      <c r="DM15" s="226">
        <v>0</v>
      </c>
      <c r="DN15" s="226">
        <f t="shared" si="58"/>
        <v>0</v>
      </c>
      <c r="DO15" s="209" t="s">
        <v>827</v>
      </c>
      <c r="DP15" s="209">
        <v>0</v>
      </c>
      <c r="DQ15" s="226">
        <v>0</v>
      </c>
      <c r="DR15" s="226">
        <f t="shared" si="59"/>
        <v>0</v>
      </c>
      <c r="DS15" s="209" t="s">
        <v>827</v>
      </c>
      <c r="DT15" s="209">
        <v>0</v>
      </c>
      <c r="DU15" s="226">
        <v>0</v>
      </c>
      <c r="DV15" s="226">
        <f t="shared" si="60"/>
        <v>0</v>
      </c>
      <c r="DW15" s="209" t="s">
        <v>827</v>
      </c>
      <c r="DX15" s="209">
        <v>0</v>
      </c>
      <c r="DY15" s="226">
        <v>0</v>
      </c>
      <c r="DZ15" s="226">
        <f t="shared" si="61"/>
        <v>0</v>
      </c>
      <c r="EA15" s="209" t="s">
        <v>827</v>
      </c>
      <c r="EB15" s="209">
        <v>0</v>
      </c>
      <c r="EC15" s="226">
        <v>0</v>
      </c>
      <c r="ED15" s="226">
        <f t="shared" si="62"/>
        <v>0</v>
      </c>
      <c r="EE15" s="209" t="s">
        <v>827</v>
      </c>
      <c r="EF15" s="209">
        <v>0</v>
      </c>
      <c r="EG15" s="226">
        <v>0</v>
      </c>
      <c r="EH15" s="226">
        <f t="shared" si="63"/>
        <v>0</v>
      </c>
      <c r="EI15" s="209" t="s">
        <v>827</v>
      </c>
      <c r="EJ15" s="209">
        <v>0</v>
      </c>
      <c r="EK15" s="226">
        <v>0</v>
      </c>
      <c r="EL15" s="226">
        <f t="shared" si="64"/>
        <v>0</v>
      </c>
      <c r="EM15" s="209" t="s">
        <v>827</v>
      </c>
      <c r="EN15" s="209">
        <v>0</v>
      </c>
      <c r="EO15" s="226">
        <v>0</v>
      </c>
      <c r="EP15" s="226">
        <f t="shared" si="65"/>
        <v>0</v>
      </c>
      <c r="EQ15" s="209" t="s">
        <v>827</v>
      </c>
      <c r="ER15" s="211" t="s">
        <v>167</v>
      </c>
      <c r="ES15" s="226">
        <f>84635*1</f>
        <v>84635</v>
      </c>
      <c r="ET15" s="209" t="s">
        <v>827</v>
      </c>
      <c r="EU15" s="211" t="s">
        <v>167</v>
      </c>
      <c r="EV15" s="226">
        <v>0</v>
      </c>
      <c r="EW15" s="209" t="s">
        <v>827</v>
      </c>
      <c r="EX15" s="211" t="s">
        <v>167</v>
      </c>
      <c r="EY15" s="226">
        <v>0</v>
      </c>
      <c r="EZ15" s="209" t="s">
        <v>827</v>
      </c>
      <c r="FA15" s="226">
        <v>0</v>
      </c>
      <c r="FB15" s="209" t="s">
        <v>827</v>
      </c>
      <c r="FC15" s="226">
        <v>0</v>
      </c>
      <c r="FD15" s="209" t="s">
        <v>827</v>
      </c>
      <c r="FE15" s="226">
        <v>0</v>
      </c>
      <c r="FF15" s="209" t="s">
        <v>827</v>
      </c>
      <c r="FG15" s="226">
        <v>0</v>
      </c>
      <c r="FH15" s="209" t="s">
        <v>827</v>
      </c>
      <c r="FI15" s="226">
        <v>0</v>
      </c>
      <c r="FJ15" s="230"/>
      <c r="FK15" s="230"/>
      <c r="FL15" s="233" t="s">
        <v>827</v>
      </c>
      <c r="FM15" s="209">
        <v>0</v>
      </c>
      <c r="FN15" s="223">
        <v>0</v>
      </c>
      <c r="FO15" s="223">
        <f t="shared" si="66"/>
        <v>0</v>
      </c>
      <c r="FP15" s="233" t="s">
        <v>827</v>
      </c>
      <c r="FQ15" s="209">
        <v>0</v>
      </c>
      <c r="FR15" s="223">
        <v>0</v>
      </c>
      <c r="FS15" s="223">
        <f t="shared" si="67"/>
        <v>0</v>
      </c>
      <c r="FT15" s="230"/>
      <c r="FU15" s="230"/>
      <c r="FV15" s="233" t="s">
        <v>827</v>
      </c>
      <c r="FW15" s="209">
        <v>0</v>
      </c>
      <c r="FX15" s="223">
        <v>0</v>
      </c>
      <c r="FY15" s="223">
        <f t="shared" si="89"/>
        <v>0</v>
      </c>
      <c r="FZ15" s="230"/>
      <c r="GA15" s="233" t="s">
        <v>827</v>
      </c>
      <c r="GB15" s="209">
        <v>0</v>
      </c>
      <c r="GC15" s="223">
        <v>0</v>
      </c>
      <c r="GD15" s="223">
        <f t="shared" si="68"/>
        <v>0</v>
      </c>
      <c r="GE15" s="233" t="s">
        <v>827</v>
      </c>
      <c r="GF15" s="209">
        <v>1</v>
      </c>
      <c r="GG15" s="223">
        <v>10000</v>
      </c>
      <c r="GH15" s="223">
        <f t="shared" si="69"/>
        <v>10000</v>
      </c>
      <c r="GI15" s="233" t="s">
        <v>827</v>
      </c>
      <c r="GJ15" s="209">
        <v>0</v>
      </c>
      <c r="GK15" s="223">
        <v>0</v>
      </c>
      <c r="GL15" s="223">
        <f t="shared" si="70"/>
        <v>0</v>
      </c>
      <c r="GM15" s="233" t="s">
        <v>827</v>
      </c>
      <c r="GN15" s="209">
        <v>0</v>
      </c>
      <c r="GO15" s="223">
        <v>0</v>
      </c>
      <c r="GP15" s="223">
        <f t="shared" si="71"/>
        <v>0</v>
      </c>
      <c r="GQ15" s="233" t="s">
        <v>827</v>
      </c>
      <c r="GR15" s="209">
        <v>0</v>
      </c>
      <c r="GS15" s="223">
        <v>0</v>
      </c>
      <c r="GT15" s="223">
        <f t="shared" si="72"/>
        <v>0</v>
      </c>
      <c r="GU15" s="233" t="s">
        <v>827</v>
      </c>
      <c r="GV15" s="209">
        <v>0</v>
      </c>
      <c r="GW15" s="223">
        <v>0</v>
      </c>
      <c r="GX15" s="223">
        <f t="shared" si="73"/>
        <v>0</v>
      </c>
      <c r="GY15" s="230"/>
      <c r="GZ15" s="233" t="s">
        <v>827</v>
      </c>
      <c r="HA15" s="209">
        <v>0</v>
      </c>
      <c r="HB15" s="223">
        <v>2000</v>
      </c>
      <c r="HC15" s="223">
        <f t="shared" si="74"/>
        <v>0</v>
      </c>
      <c r="HD15" s="233" t="s">
        <v>827</v>
      </c>
      <c r="HE15" s="209">
        <v>0</v>
      </c>
      <c r="HF15" s="223">
        <v>0</v>
      </c>
      <c r="HG15" s="223">
        <f t="shared" si="75"/>
        <v>0</v>
      </c>
      <c r="HH15" s="230"/>
      <c r="HI15" s="233" t="s">
        <v>827</v>
      </c>
      <c r="HJ15" s="209">
        <v>0</v>
      </c>
      <c r="HK15" s="223">
        <v>0</v>
      </c>
      <c r="HL15" s="223">
        <f t="shared" si="76"/>
        <v>0</v>
      </c>
      <c r="HM15" s="230"/>
      <c r="HN15" s="230"/>
      <c r="HO15" s="233" t="s">
        <v>827</v>
      </c>
      <c r="HP15" s="209">
        <v>0</v>
      </c>
      <c r="HQ15" s="223">
        <v>0</v>
      </c>
      <c r="HR15" s="223">
        <f t="shared" si="77"/>
        <v>0</v>
      </c>
      <c r="HS15" s="230"/>
      <c r="HT15" s="230"/>
      <c r="HU15" s="230"/>
      <c r="HV15" s="230"/>
      <c r="HW15" s="230"/>
      <c r="HX15" s="230"/>
      <c r="HY15" s="230"/>
      <c r="HZ15" s="230"/>
      <c r="IA15" s="230"/>
      <c r="IB15" s="230"/>
      <c r="IC15" s="230"/>
      <c r="ID15" s="230"/>
      <c r="IE15" s="230"/>
      <c r="IF15" s="230"/>
    </row>
    <row r="16" spans="1:303" x14ac:dyDescent="0.2">
      <c r="A16" s="209" t="s">
        <v>772</v>
      </c>
      <c r="B16" s="209" t="s">
        <v>773</v>
      </c>
      <c r="C16" s="209" t="s">
        <v>779</v>
      </c>
      <c r="D16" s="211">
        <v>5</v>
      </c>
      <c r="E16" s="210">
        <v>73687.5</v>
      </c>
      <c r="F16" s="212">
        <f t="shared" si="31"/>
        <v>14737.5</v>
      </c>
      <c r="G16" s="209">
        <f>1+1</f>
        <v>2</v>
      </c>
      <c r="H16" s="209">
        <f>1+1</f>
        <v>2</v>
      </c>
      <c r="I16" s="212">
        <f>((6000000+1200000)/30)/8</f>
        <v>30000</v>
      </c>
      <c r="J16" s="212">
        <f t="shared" si="32"/>
        <v>120000</v>
      </c>
      <c r="K16" s="211">
        <v>8</v>
      </c>
      <c r="L16" s="217">
        <f t="shared" si="33"/>
        <v>1842.1875</v>
      </c>
      <c r="M16" s="217">
        <f t="shared" si="34"/>
        <v>14737.5</v>
      </c>
      <c r="N16" s="209">
        <v>1</v>
      </c>
      <c r="O16" s="209">
        <v>1</v>
      </c>
      <c r="P16" s="217">
        <f>(1200000/30)/8</f>
        <v>5000</v>
      </c>
      <c r="Q16" s="217">
        <f t="shared" si="96"/>
        <v>5000</v>
      </c>
      <c r="R16" s="209">
        <f t="shared" si="88"/>
        <v>40</v>
      </c>
      <c r="S16" s="209">
        <v>1</v>
      </c>
      <c r="T16" s="212">
        <f t="shared" si="1"/>
        <v>1842.1875</v>
      </c>
      <c r="U16" s="212">
        <f t="shared" si="2"/>
        <v>73687.5</v>
      </c>
      <c r="V16" s="230"/>
      <c r="W16" s="209">
        <v>1</v>
      </c>
      <c r="X16" s="209">
        <v>2</v>
      </c>
      <c r="Y16" s="223">
        <f>((1400000+5000000)/30)/8</f>
        <v>26666.666666666668</v>
      </c>
      <c r="Z16" s="223">
        <f t="shared" si="35"/>
        <v>53333.333333333336</v>
      </c>
      <c r="AA16" s="209">
        <v>1</v>
      </c>
      <c r="AB16" s="209">
        <v>1</v>
      </c>
      <c r="AC16" s="223">
        <f>((1200000*2)/30)/8</f>
        <v>10000</v>
      </c>
      <c r="AD16" s="223">
        <f t="shared" si="3"/>
        <v>10000</v>
      </c>
      <c r="AE16" s="209">
        <v>1</v>
      </c>
      <c r="AF16" s="209">
        <v>1</v>
      </c>
      <c r="AG16" s="223">
        <f t="shared" si="97"/>
        <v>20833.333333333332</v>
      </c>
      <c r="AH16" s="223">
        <f t="shared" si="36"/>
        <v>20833.333333333332</v>
      </c>
      <c r="AI16" s="209">
        <v>1</v>
      </c>
      <c r="AJ16" s="209">
        <v>1</v>
      </c>
      <c r="AK16" s="223">
        <f t="shared" ref="AK16:AK31" si="101">(5000000/30)/8</f>
        <v>20833.333333333332</v>
      </c>
      <c r="AL16" s="223">
        <f t="shared" si="78"/>
        <v>20833.333333333332</v>
      </c>
      <c r="AM16" s="209">
        <v>1</v>
      </c>
      <c r="AN16" s="209">
        <v>1</v>
      </c>
      <c r="AO16" s="226">
        <f t="shared" si="83"/>
        <v>7500</v>
      </c>
      <c r="AP16" s="223">
        <f t="shared" si="4"/>
        <v>7500</v>
      </c>
      <c r="AQ16" s="209">
        <v>0</v>
      </c>
      <c r="AR16" s="209">
        <v>0</v>
      </c>
      <c r="AS16" s="223">
        <v>0</v>
      </c>
      <c r="AT16" s="223">
        <f t="shared" si="38"/>
        <v>0</v>
      </c>
      <c r="AU16" s="209">
        <v>1</v>
      </c>
      <c r="AV16" s="209">
        <v>1</v>
      </c>
      <c r="AW16" s="223">
        <f>(1500000/30)/8</f>
        <v>6250</v>
      </c>
      <c r="AX16" s="223">
        <f t="shared" si="39"/>
        <v>6250</v>
      </c>
      <c r="AY16" s="209">
        <v>1</v>
      </c>
      <c r="AZ16" s="209">
        <v>5</v>
      </c>
      <c r="BA16" s="223">
        <f>((6000000+2500000+3500000+1400000+3500000)/30)/8</f>
        <v>70416.666666666672</v>
      </c>
      <c r="BB16" s="223">
        <f t="shared" si="40"/>
        <v>352083.33333333337</v>
      </c>
      <c r="BC16" s="209">
        <v>1</v>
      </c>
      <c r="BD16" s="209">
        <v>2</v>
      </c>
      <c r="BE16" s="223">
        <f>((6000000+1400000)/30)/8</f>
        <v>30833.333333333332</v>
      </c>
      <c r="BF16" s="223">
        <f t="shared" si="41"/>
        <v>61666.666666666664</v>
      </c>
      <c r="BG16" s="209">
        <v>0</v>
      </c>
      <c r="BH16" s="209">
        <v>0</v>
      </c>
      <c r="BI16" s="223">
        <v>0</v>
      </c>
      <c r="BJ16" s="223">
        <f t="shared" si="42"/>
        <v>0</v>
      </c>
      <c r="BK16" s="209">
        <v>1</v>
      </c>
      <c r="BL16" s="209">
        <v>1</v>
      </c>
      <c r="BM16" s="223">
        <f t="shared" si="43"/>
        <v>20833.333333333332</v>
      </c>
      <c r="BN16" s="223">
        <f t="shared" si="44"/>
        <v>20833.333333333332</v>
      </c>
      <c r="BO16" s="209">
        <v>1</v>
      </c>
      <c r="BP16" s="209">
        <v>1</v>
      </c>
      <c r="BQ16" s="223">
        <f t="shared" si="45"/>
        <v>5833.333333333333</v>
      </c>
      <c r="BR16" s="223">
        <f t="shared" si="46"/>
        <v>5833.333333333333</v>
      </c>
      <c r="BS16" s="209">
        <v>0</v>
      </c>
      <c r="BT16" s="209">
        <v>0</v>
      </c>
      <c r="BU16" s="223">
        <v>0</v>
      </c>
      <c r="BV16" s="223">
        <f t="shared" si="47"/>
        <v>0</v>
      </c>
      <c r="BW16" s="209">
        <v>0</v>
      </c>
      <c r="BX16" s="209">
        <v>0</v>
      </c>
      <c r="BY16" s="223">
        <v>0</v>
      </c>
      <c r="BZ16" s="223">
        <f t="shared" si="81"/>
        <v>0</v>
      </c>
      <c r="CA16" s="209">
        <v>0</v>
      </c>
      <c r="CB16" s="209">
        <v>0</v>
      </c>
      <c r="CC16" s="223">
        <v>0</v>
      </c>
      <c r="CD16" s="223">
        <f t="shared" si="49"/>
        <v>0</v>
      </c>
      <c r="CE16" s="209">
        <v>0</v>
      </c>
      <c r="CF16" s="209">
        <v>0</v>
      </c>
      <c r="CG16" s="223">
        <v>0</v>
      </c>
      <c r="CH16" s="223">
        <f t="shared" si="50"/>
        <v>0</v>
      </c>
      <c r="CI16" s="209">
        <v>0</v>
      </c>
      <c r="CJ16" s="209">
        <v>0</v>
      </c>
      <c r="CK16" s="223">
        <v>0</v>
      </c>
      <c r="CL16" s="223">
        <f t="shared" si="84"/>
        <v>0</v>
      </c>
      <c r="CM16" s="209">
        <v>0</v>
      </c>
      <c r="CN16" s="209">
        <v>0</v>
      </c>
      <c r="CO16" s="226">
        <v>0</v>
      </c>
      <c r="CP16" s="226">
        <f t="shared" si="52"/>
        <v>0</v>
      </c>
      <c r="CQ16" s="209">
        <v>0</v>
      </c>
      <c r="CR16" s="209">
        <v>0</v>
      </c>
      <c r="CS16" s="226">
        <v>0</v>
      </c>
      <c r="CT16" s="226">
        <f t="shared" si="53"/>
        <v>0</v>
      </c>
      <c r="CU16" s="209" t="s">
        <v>827</v>
      </c>
      <c r="CV16" s="209">
        <v>0</v>
      </c>
      <c r="CW16" s="226">
        <v>0</v>
      </c>
      <c r="CX16" s="226">
        <f t="shared" si="54"/>
        <v>0</v>
      </c>
      <c r="CY16" s="209" t="s">
        <v>827</v>
      </c>
      <c r="CZ16" s="209">
        <v>0</v>
      </c>
      <c r="DA16" s="226">
        <v>0</v>
      </c>
      <c r="DB16" s="226">
        <f t="shared" si="55"/>
        <v>0</v>
      </c>
      <c r="DC16" s="209" t="s">
        <v>827</v>
      </c>
      <c r="DD16" s="209">
        <v>0</v>
      </c>
      <c r="DE16" s="226">
        <v>0</v>
      </c>
      <c r="DF16" s="226">
        <f t="shared" si="56"/>
        <v>0</v>
      </c>
      <c r="DG16" s="209" t="s">
        <v>827</v>
      </c>
      <c r="DH16" s="209">
        <v>0</v>
      </c>
      <c r="DI16" s="226">
        <v>0</v>
      </c>
      <c r="DJ16" s="226">
        <f t="shared" si="57"/>
        <v>0</v>
      </c>
      <c r="DK16" s="209" t="s">
        <v>827</v>
      </c>
      <c r="DL16" s="209">
        <v>0</v>
      </c>
      <c r="DM16" s="226">
        <v>0</v>
      </c>
      <c r="DN16" s="226">
        <f t="shared" si="58"/>
        <v>0</v>
      </c>
      <c r="DO16" s="209" t="s">
        <v>827</v>
      </c>
      <c r="DP16" s="209">
        <v>0</v>
      </c>
      <c r="DQ16" s="226">
        <v>0</v>
      </c>
      <c r="DR16" s="226">
        <f t="shared" si="59"/>
        <v>0</v>
      </c>
      <c r="DS16" s="209" t="s">
        <v>827</v>
      </c>
      <c r="DT16" s="209">
        <v>0</v>
      </c>
      <c r="DU16" s="226">
        <v>0</v>
      </c>
      <c r="DV16" s="226">
        <f t="shared" si="60"/>
        <v>0</v>
      </c>
      <c r="DW16" s="209" t="s">
        <v>827</v>
      </c>
      <c r="DX16" s="209">
        <v>0</v>
      </c>
      <c r="DY16" s="226">
        <v>0</v>
      </c>
      <c r="DZ16" s="226">
        <f t="shared" si="61"/>
        <v>0</v>
      </c>
      <c r="EA16" s="209" t="s">
        <v>827</v>
      </c>
      <c r="EB16" s="209">
        <v>0</v>
      </c>
      <c r="EC16" s="226">
        <v>0</v>
      </c>
      <c r="ED16" s="226">
        <f t="shared" si="62"/>
        <v>0</v>
      </c>
      <c r="EE16" s="209" t="s">
        <v>827</v>
      </c>
      <c r="EF16" s="209">
        <v>0</v>
      </c>
      <c r="EG16" s="226">
        <v>0</v>
      </c>
      <c r="EH16" s="226">
        <f t="shared" si="63"/>
        <v>0</v>
      </c>
      <c r="EI16" s="209" t="s">
        <v>827</v>
      </c>
      <c r="EJ16" s="209">
        <v>0</v>
      </c>
      <c r="EK16" s="226">
        <v>0</v>
      </c>
      <c r="EL16" s="226">
        <f t="shared" si="64"/>
        <v>0</v>
      </c>
      <c r="EM16" s="209" t="s">
        <v>827</v>
      </c>
      <c r="EN16" s="209">
        <v>0</v>
      </c>
      <c r="EO16" s="226">
        <v>0</v>
      </c>
      <c r="EP16" s="226">
        <f t="shared" si="65"/>
        <v>0</v>
      </c>
      <c r="EQ16" s="209" t="s">
        <v>827</v>
      </c>
      <c r="ER16" s="211" t="s">
        <v>167</v>
      </c>
      <c r="ES16" s="226">
        <f>84635*1</f>
        <v>84635</v>
      </c>
      <c r="ET16" s="209" t="s">
        <v>827</v>
      </c>
      <c r="EU16" s="211" t="s">
        <v>167</v>
      </c>
      <c r="EV16" s="226">
        <v>0</v>
      </c>
      <c r="EW16" s="209" t="s">
        <v>827</v>
      </c>
      <c r="EX16" s="211" t="s">
        <v>167</v>
      </c>
      <c r="EY16" s="226">
        <v>0</v>
      </c>
      <c r="EZ16" s="209" t="s">
        <v>827</v>
      </c>
      <c r="FA16" s="226">
        <v>0</v>
      </c>
      <c r="FB16" s="209" t="s">
        <v>827</v>
      </c>
      <c r="FC16" s="226">
        <v>0</v>
      </c>
      <c r="FD16" s="209" t="s">
        <v>827</v>
      </c>
      <c r="FE16" s="226">
        <v>0</v>
      </c>
      <c r="FF16" s="209" t="s">
        <v>827</v>
      </c>
      <c r="FG16" s="226">
        <v>0</v>
      </c>
      <c r="FH16" s="209" t="s">
        <v>827</v>
      </c>
      <c r="FI16" s="226">
        <v>0</v>
      </c>
      <c r="FJ16" s="230"/>
      <c r="FK16" s="230"/>
      <c r="FL16" s="233" t="s">
        <v>827</v>
      </c>
      <c r="FM16" s="209">
        <v>0</v>
      </c>
      <c r="FN16" s="223">
        <v>0</v>
      </c>
      <c r="FO16" s="223">
        <f t="shared" si="66"/>
        <v>0</v>
      </c>
      <c r="FP16" s="233" t="s">
        <v>827</v>
      </c>
      <c r="FQ16" s="209">
        <v>0</v>
      </c>
      <c r="FR16" s="223">
        <v>0</v>
      </c>
      <c r="FS16" s="223">
        <f t="shared" si="67"/>
        <v>0</v>
      </c>
      <c r="FT16" s="230"/>
      <c r="FU16" s="230"/>
      <c r="FV16" s="233" t="s">
        <v>827</v>
      </c>
      <c r="FW16" s="209">
        <v>0</v>
      </c>
      <c r="FX16" s="223">
        <v>0</v>
      </c>
      <c r="FY16" s="223">
        <f t="shared" si="89"/>
        <v>0</v>
      </c>
      <c r="FZ16" s="230"/>
      <c r="GA16" s="233" t="s">
        <v>827</v>
      </c>
      <c r="GB16" s="209">
        <v>0</v>
      </c>
      <c r="GC16" s="223">
        <v>0</v>
      </c>
      <c r="GD16" s="223">
        <f t="shared" si="68"/>
        <v>0</v>
      </c>
      <c r="GE16" s="233" t="s">
        <v>827</v>
      </c>
      <c r="GF16" s="209">
        <v>0</v>
      </c>
      <c r="GG16" s="223">
        <v>0</v>
      </c>
      <c r="GH16" s="223">
        <f t="shared" si="69"/>
        <v>0</v>
      </c>
      <c r="GI16" s="233" t="s">
        <v>827</v>
      </c>
      <c r="GJ16" s="209">
        <v>0</v>
      </c>
      <c r="GK16" s="223">
        <v>0</v>
      </c>
      <c r="GL16" s="223">
        <f t="shared" si="70"/>
        <v>0</v>
      </c>
      <c r="GM16" s="233" t="s">
        <v>827</v>
      </c>
      <c r="GN16" s="209">
        <v>0</v>
      </c>
      <c r="GO16" s="223">
        <v>0</v>
      </c>
      <c r="GP16" s="223">
        <f t="shared" si="71"/>
        <v>0</v>
      </c>
      <c r="GQ16" s="233" t="s">
        <v>827</v>
      </c>
      <c r="GR16" s="209">
        <v>0</v>
      </c>
      <c r="GS16" s="223">
        <v>0</v>
      </c>
      <c r="GT16" s="223">
        <f t="shared" si="72"/>
        <v>0</v>
      </c>
      <c r="GU16" s="233" t="s">
        <v>827</v>
      </c>
      <c r="GV16" s="209">
        <v>0</v>
      </c>
      <c r="GW16" s="223">
        <v>0</v>
      </c>
      <c r="GX16" s="223">
        <f t="shared" si="73"/>
        <v>0</v>
      </c>
      <c r="GY16" s="230"/>
      <c r="GZ16" s="233" t="s">
        <v>827</v>
      </c>
      <c r="HA16" s="209">
        <v>0</v>
      </c>
      <c r="HB16" s="223">
        <v>0</v>
      </c>
      <c r="HC16" s="223">
        <f t="shared" si="74"/>
        <v>0</v>
      </c>
      <c r="HD16" s="233" t="s">
        <v>827</v>
      </c>
      <c r="HE16" s="209">
        <v>0</v>
      </c>
      <c r="HF16" s="223">
        <v>0</v>
      </c>
      <c r="HG16" s="223">
        <f t="shared" si="75"/>
        <v>0</v>
      </c>
      <c r="HH16" s="230"/>
      <c r="HI16" s="233" t="s">
        <v>827</v>
      </c>
      <c r="HJ16" s="209">
        <v>0</v>
      </c>
      <c r="HK16" s="223">
        <v>0</v>
      </c>
      <c r="HL16" s="223">
        <f t="shared" si="76"/>
        <v>0</v>
      </c>
      <c r="HM16" s="230"/>
      <c r="HN16" s="230"/>
      <c r="HO16" s="233" t="s">
        <v>827</v>
      </c>
      <c r="HP16" s="209">
        <v>0</v>
      </c>
      <c r="HQ16" s="223">
        <v>0</v>
      </c>
      <c r="HR16" s="223">
        <f t="shared" si="77"/>
        <v>0</v>
      </c>
      <c r="HS16" s="230"/>
      <c r="HT16" s="230"/>
      <c r="HU16" s="230"/>
      <c r="HV16" s="230"/>
      <c r="HW16" s="230"/>
      <c r="HX16" s="230"/>
      <c r="HY16" s="230"/>
      <c r="HZ16" s="230"/>
      <c r="IA16" s="230"/>
      <c r="IB16" s="230"/>
      <c r="IC16" s="230"/>
      <c r="ID16" s="230"/>
      <c r="IE16" s="230"/>
      <c r="IF16" s="230"/>
    </row>
    <row r="17" spans="1:240" x14ac:dyDescent="0.2">
      <c r="A17" s="209" t="s">
        <v>759</v>
      </c>
      <c r="B17" s="209" t="s">
        <v>758</v>
      </c>
      <c r="C17" s="209" t="s">
        <v>779</v>
      </c>
      <c r="D17" s="211">
        <v>5</v>
      </c>
      <c r="E17" s="210">
        <v>339574</v>
      </c>
      <c r="F17" s="212">
        <f t="shared" si="31"/>
        <v>67914.8</v>
      </c>
      <c r="G17" s="209">
        <f>1+1+1</f>
        <v>3</v>
      </c>
      <c r="H17" s="209">
        <f>1+1+1</f>
        <v>3</v>
      </c>
      <c r="I17" s="212">
        <f>((3500000+1200000+1200000)/30)/8</f>
        <v>24583.333333333332</v>
      </c>
      <c r="J17" s="212">
        <f t="shared" si="32"/>
        <v>221250</v>
      </c>
      <c r="K17" s="211">
        <v>8</v>
      </c>
      <c r="L17" s="217">
        <f t="shared" si="33"/>
        <v>8489.35</v>
      </c>
      <c r="M17" s="217">
        <f t="shared" si="34"/>
        <v>67914.8</v>
      </c>
      <c r="N17" s="209">
        <v>1</v>
      </c>
      <c r="O17" s="209">
        <v>1</v>
      </c>
      <c r="P17" s="217">
        <f>(1200000/30)/8</f>
        <v>5000</v>
      </c>
      <c r="Q17" s="217">
        <f t="shared" si="96"/>
        <v>5000</v>
      </c>
      <c r="R17" s="209">
        <f t="shared" si="88"/>
        <v>40</v>
      </c>
      <c r="S17" s="209">
        <v>1</v>
      </c>
      <c r="T17" s="212">
        <f t="shared" si="1"/>
        <v>8489.35</v>
      </c>
      <c r="U17" s="212">
        <f t="shared" si="2"/>
        <v>339574</v>
      </c>
      <c r="V17" s="230"/>
      <c r="W17" s="209">
        <v>1</v>
      </c>
      <c r="X17" s="209">
        <v>2</v>
      </c>
      <c r="Y17" s="223">
        <f t="shared" si="86"/>
        <v>22083.333333333332</v>
      </c>
      <c r="Z17" s="223">
        <f t="shared" si="35"/>
        <v>44166.666666666664</v>
      </c>
      <c r="AA17" s="209">
        <v>0</v>
      </c>
      <c r="AB17" s="209">
        <v>0</v>
      </c>
      <c r="AC17" s="223">
        <v>0</v>
      </c>
      <c r="AD17" s="223">
        <f t="shared" si="3"/>
        <v>0</v>
      </c>
      <c r="AE17" s="209">
        <v>1</v>
      </c>
      <c r="AF17" s="209">
        <v>1</v>
      </c>
      <c r="AG17" s="223">
        <f t="shared" si="97"/>
        <v>20833.333333333332</v>
      </c>
      <c r="AH17" s="223">
        <f t="shared" si="36"/>
        <v>20833.333333333332</v>
      </c>
      <c r="AI17" s="209">
        <v>1</v>
      </c>
      <c r="AJ17" s="209">
        <v>1</v>
      </c>
      <c r="AK17" s="223">
        <f t="shared" si="101"/>
        <v>20833.333333333332</v>
      </c>
      <c r="AL17" s="223">
        <f t="shared" si="78"/>
        <v>20833.333333333332</v>
      </c>
      <c r="AM17" s="209">
        <v>1</v>
      </c>
      <c r="AN17" s="209">
        <v>1</v>
      </c>
      <c r="AO17" s="226">
        <f t="shared" si="83"/>
        <v>7500</v>
      </c>
      <c r="AP17" s="223">
        <f t="shared" si="4"/>
        <v>7500</v>
      </c>
      <c r="AQ17" s="209">
        <v>0</v>
      </c>
      <c r="AR17" s="209">
        <v>0</v>
      </c>
      <c r="AS17" s="223">
        <v>0</v>
      </c>
      <c r="AT17" s="223">
        <f t="shared" si="38"/>
        <v>0</v>
      </c>
      <c r="AU17" s="209">
        <v>1</v>
      </c>
      <c r="AV17" s="209">
        <v>1</v>
      </c>
      <c r="AW17" s="223">
        <f>(1500000/30)/8</f>
        <v>6250</v>
      </c>
      <c r="AX17" s="223">
        <f t="shared" si="39"/>
        <v>6250</v>
      </c>
      <c r="AY17" s="209">
        <v>1</v>
      </c>
      <c r="AZ17" s="209">
        <v>5</v>
      </c>
      <c r="BA17" s="223">
        <f>((6000000+2500000+3500000+1400000+3500000)/30)/8</f>
        <v>70416.666666666672</v>
      </c>
      <c r="BB17" s="223">
        <f t="shared" si="40"/>
        <v>352083.33333333337</v>
      </c>
      <c r="BC17" s="209">
        <v>1</v>
      </c>
      <c r="BD17" s="209">
        <v>2</v>
      </c>
      <c r="BE17" s="223">
        <f>((3500000+1400000)/30)/8</f>
        <v>20416.666666666668</v>
      </c>
      <c r="BF17" s="223">
        <f t="shared" si="41"/>
        <v>40833.333333333336</v>
      </c>
      <c r="BG17" s="209">
        <v>0</v>
      </c>
      <c r="BH17" s="209">
        <v>0</v>
      </c>
      <c r="BI17" s="223">
        <v>0</v>
      </c>
      <c r="BJ17" s="223">
        <f t="shared" si="42"/>
        <v>0</v>
      </c>
      <c r="BK17" s="209">
        <v>1</v>
      </c>
      <c r="BL17" s="209">
        <v>1</v>
      </c>
      <c r="BM17" s="223">
        <f t="shared" si="43"/>
        <v>20833.333333333332</v>
      </c>
      <c r="BN17" s="223">
        <f t="shared" si="44"/>
        <v>20833.333333333332</v>
      </c>
      <c r="BO17" s="209">
        <v>1</v>
      </c>
      <c r="BP17" s="209">
        <v>1</v>
      </c>
      <c r="BQ17" s="223">
        <f t="shared" si="45"/>
        <v>5833.333333333333</v>
      </c>
      <c r="BR17" s="223">
        <f t="shared" si="46"/>
        <v>5833.333333333333</v>
      </c>
      <c r="BS17" s="209">
        <v>0</v>
      </c>
      <c r="BT17" s="209">
        <v>0</v>
      </c>
      <c r="BU17" s="223">
        <v>0</v>
      </c>
      <c r="BV17" s="223">
        <f t="shared" si="47"/>
        <v>0</v>
      </c>
      <c r="BW17" s="209">
        <v>0</v>
      </c>
      <c r="BX17" s="209">
        <v>0</v>
      </c>
      <c r="BY17" s="223">
        <v>0</v>
      </c>
      <c r="BZ17" s="223">
        <f t="shared" si="81"/>
        <v>0</v>
      </c>
      <c r="CA17" s="209">
        <v>0</v>
      </c>
      <c r="CB17" s="209">
        <v>0</v>
      </c>
      <c r="CC17" s="223">
        <v>0</v>
      </c>
      <c r="CD17" s="223">
        <f t="shared" si="49"/>
        <v>0</v>
      </c>
      <c r="CE17" s="209">
        <v>0</v>
      </c>
      <c r="CF17" s="209">
        <v>0</v>
      </c>
      <c r="CG17" s="223">
        <v>0</v>
      </c>
      <c r="CH17" s="223">
        <f t="shared" si="50"/>
        <v>0</v>
      </c>
      <c r="CI17" s="209">
        <v>0</v>
      </c>
      <c r="CJ17" s="209">
        <v>0</v>
      </c>
      <c r="CK17" s="223">
        <v>0</v>
      </c>
      <c r="CL17" s="223">
        <f t="shared" si="84"/>
        <v>0</v>
      </c>
      <c r="CM17" s="209">
        <v>0</v>
      </c>
      <c r="CN17" s="209">
        <v>0</v>
      </c>
      <c r="CO17" s="226">
        <v>0</v>
      </c>
      <c r="CP17" s="226">
        <f t="shared" si="52"/>
        <v>0</v>
      </c>
      <c r="CQ17" s="209">
        <v>0</v>
      </c>
      <c r="CR17" s="209">
        <v>0</v>
      </c>
      <c r="CS17" s="226">
        <v>0</v>
      </c>
      <c r="CT17" s="226">
        <f t="shared" si="53"/>
        <v>0</v>
      </c>
      <c r="CU17" s="209" t="s">
        <v>827</v>
      </c>
      <c r="CV17" s="209">
        <v>0</v>
      </c>
      <c r="CW17" s="226">
        <v>0</v>
      </c>
      <c r="CX17" s="226">
        <f t="shared" si="54"/>
        <v>0</v>
      </c>
      <c r="CY17" s="209" t="s">
        <v>827</v>
      </c>
      <c r="CZ17" s="209">
        <v>0</v>
      </c>
      <c r="DA17" s="226">
        <v>0</v>
      </c>
      <c r="DB17" s="226">
        <f t="shared" si="55"/>
        <v>0</v>
      </c>
      <c r="DC17" s="209" t="s">
        <v>827</v>
      </c>
      <c r="DD17" s="209">
        <v>0</v>
      </c>
      <c r="DE17" s="226">
        <v>0</v>
      </c>
      <c r="DF17" s="226">
        <f t="shared" si="56"/>
        <v>0</v>
      </c>
      <c r="DG17" s="209" t="s">
        <v>827</v>
      </c>
      <c r="DH17" s="209">
        <v>0</v>
      </c>
      <c r="DI17" s="226">
        <v>0</v>
      </c>
      <c r="DJ17" s="226">
        <f t="shared" si="57"/>
        <v>0</v>
      </c>
      <c r="DK17" s="209" t="s">
        <v>827</v>
      </c>
      <c r="DL17" s="209">
        <v>0</v>
      </c>
      <c r="DM17" s="226">
        <v>0</v>
      </c>
      <c r="DN17" s="226">
        <f t="shared" si="58"/>
        <v>0</v>
      </c>
      <c r="DO17" s="209" t="s">
        <v>827</v>
      </c>
      <c r="DP17" s="209">
        <v>0</v>
      </c>
      <c r="DQ17" s="226">
        <v>0</v>
      </c>
      <c r="DR17" s="226">
        <f t="shared" si="59"/>
        <v>0</v>
      </c>
      <c r="DS17" s="209" t="s">
        <v>827</v>
      </c>
      <c r="DT17" s="209">
        <v>0</v>
      </c>
      <c r="DU17" s="226">
        <v>0</v>
      </c>
      <c r="DV17" s="226">
        <f t="shared" si="60"/>
        <v>0</v>
      </c>
      <c r="DW17" s="209" t="s">
        <v>827</v>
      </c>
      <c r="DX17" s="209">
        <v>0</v>
      </c>
      <c r="DY17" s="226">
        <v>0</v>
      </c>
      <c r="DZ17" s="226">
        <f t="shared" si="61"/>
        <v>0</v>
      </c>
      <c r="EA17" s="209" t="s">
        <v>827</v>
      </c>
      <c r="EB17" s="209">
        <v>0</v>
      </c>
      <c r="EC17" s="226">
        <v>0</v>
      </c>
      <c r="ED17" s="226">
        <f t="shared" si="62"/>
        <v>0</v>
      </c>
      <c r="EE17" s="209" t="s">
        <v>827</v>
      </c>
      <c r="EF17" s="209">
        <v>0</v>
      </c>
      <c r="EG17" s="226">
        <v>0</v>
      </c>
      <c r="EH17" s="226">
        <f t="shared" si="63"/>
        <v>0</v>
      </c>
      <c r="EI17" s="209" t="s">
        <v>827</v>
      </c>
      <c r="EJ17" s="209">
        <v>0</v>
      </c>
      <c r="EK17" s="226">
        <v>0</v>
      </c>
      <c r="EL17" s="226">
        <f t="shared" si="64"/>
        <v>0</v>
      </c>
      <c r="EM17" s="209" t="s">
        <v>827</v>
      </c>
      <c r="EN17" s="209">
        <v>0</v>
      </c>
      <c r="EO17" s="226">
        <v>0</v>
      </c>
      <c r="EP17" s="226">
        <f t="shared" si="65"/>
        <v>0</v>
      </c>
      <c r="EQ17" s="209" t="s">
        <v>827</v>
      </c>
      <c r="ER17" s="211" t="s">
        <v>167</v>
      </c>
      <c r="ES17" s="226">
        <v>0</v>
      </c>
      <c r="ET17" s="209" t="s">
        <v>827</v>
      </c>
      <c r="EU17" s="211" t="s">
        <v>167</v>
      </c>
      <c r="EV17" s="226">
        <v>0</v>
      </c>
      <c r="EW17" s="209" t="s">
        <v>827</v>
      </c>
      <c r="EX17" s="211" t="s">
        <v>167</v>
      </c>
      <c r="EY17" s="226">
        <v>0</v>
      </c>
      <c r="EZ17" s="209" t="s">
        <v>827</v>
      </c>
      <c r="FA17" s="226">
        <v>0</v>
      </c>
      <c r="FB17" s="209" t="s">
        <v>827</v>
      </c>
      <c r="FC17" s="226">
        <v>0</v>
      </c>
      <c r="FD17" s="209" t="s">
        <v>827</v>
      </c>
      <c r="FE17" s="226">
        <v>0</v>
      </c>
      <c r="FF17" s="209" t="s">
        <v>827</v>
      </c>
      <c r="FG17" s="226">
        <v>0</v>
      </c>
      <c r="FH17" s="209" t="s">
        <v>827</v>
      </c>
      <c r="FI17" s="226">
        <v>0</v>
      </c>
      <c r="FJ17" s="230"/>
      <c r="FK17" s="230"/>
      <c r="FL17" s="233" t="s">
        <v>827</v>
      </c>
      <c r="FM17" s="209">
        <v>0</v>
      </c>
      <c r="FN17" s="223">
        <v>0</v>
      </c>
      <c r="FO17" s="223">
        <f t="shared" si="66"/>
        <v>0</v>
      </c>
      <c r="FP17" s="233" t="s">
        <v>827</v>
      </c>
      <c r="FQ17" s="209">
        <v>0</v>
      </c>
      <c r="FR17" s="223">
        <v>0</v>
      </c>
      <c r="FS17" s="223">
        <f t="shared" si="67"/>
        <v>0</v>
      </c>
      <c r="FT17" s="230"/>
      <c r="FU17" s="230"/>
      <c r="FV17" s="233" t="s">
        <v>827</v>
      </c>
      <c r="FW17" s="209">
        <v>0</v>
      </c>
      <c r="FX17" s="223">
        <v>0</v>
      </c>
      <c r="FY17" s="223">
        <f t="shared" si="89"/>
        <v>0</v>
      </c>
      <c r="FZ17" s="230"/>
      <c r="GA17" s="233" t="s">
        <v>827</v>
      </c>
      <c r="GB17" s="209">
        <v>0</v>
      </c>
      <c r="GC17" s="223">
        <v>0</v>
      </c>
      <c r="GD17" s="223">
        <f t="shared" si="68"/>
        <v>0</v>
      </c>
      <c r="GE17" s="233" t="s">
        <v>965</v>
      </c>
      <c r="GF17" s="209">
        <v>1</v>
      </c>
      <c r="GG17" s="223">
        <v>10000</v>
      </c>
      <c r="GH17" s="223">
        <f t="shared" si="69"/>
        <v>10000</v>
      </c>
      <c r="GI17" s="233" t="s">
        <v>827</v>
      </c>
      <c r="GJ17" s="209">
        <v>0</v>
      </c>
      <c r="GK17" s="223">
        <v>0</v>
      </c>
      <c r="GL17" s="223">
        <f t="shared" si="70"/>
        <v>0</v>
      </c>
      <c r="GM17" s="233" t="s">
        <v>827</v>
      </c>
      <c r="GN17" s="209">
        <v>0</v>
      </c>
      <c r="GO17" s="223">
        <v>0</v>
      </c>
      <c r="GP17" s="223">
        <f t="shared" si="71"/>
        <v>0</v>
      </c>
      <c r="GQ17" s="233" t="s">
        <v>827</v>
      </c>
      <c r="GR17" s="209">
        <v>0</v>
      </c>
      <c r="GS17" s="223">
        <v>0</v>
      </c>
      <c r="GT17" s="223">
        <f t="shared" si="72"/>
        <v>0</v>
      </c>
      <c r="GU17" s="233" t="s">
        <v>827</v>
      </c>
      <c r="GV17" s="209">
        <v>0</v>
      </c>
      <c r="GW17" s="223">
        <v>0</v>
      </c>
      <c r="GX17" s="223">
        <f t="shared" si="73"/>
        <v>0</v>
      </c>
      <c r="GY17" s="230"/>
      <c r="GZ17" s="233" t="s">
        <v>827</v>
      </c>
      <c r="HA17" s="209">
        <v>0</v>
      </c>
      <c r="HB17" s="223">
        <v>0</v>
      </c>
      <c r="HC17" s="223">
        <f t="shared" si="74"/>
        <v>0</v>
      </c>
      <c r="HD17" s="233" t="s">
        <v>827</v>
      </c>
      <c r="HE17" s="209">
        <v>0</v>
      </c>
      <c r="HF17" s="223">
        <v>0</v>
      </c>
      <c r="HG17" s="223">
        <f t="shared" si="75"/>
        <v>0</v>
      </c>
      <c r="HH17" s="230"/>
      <c r="HI17" s="233" t="s">
        <v>827</v>
      </c>
      <c r="HJ17" s="209">
        <v>0</v>
      </c>
      <c r="HK17" s="223">
        <v>0</v>
      </c>
      <c r="HL17" s="223">
        <f t="shared" si="76"/>
        <v>0</v>
      </c>
      <c r="HM17" s="230"/>
      <c r="HN17" s="230"/>
      <c r="HO17" s="233" t="s">
        <v>827</v>
      </c>
      <c r="HP17" s="209">
        <v>0</v>
      </c>
      <c r="HQ17" s="223">
        <v>0</v>
      </c>
      <c r="HR17" s="223">
        <f t="shared" si="77"/>
        <v>0</v>
      </c>
      <c r="HS17" s="230"/>
      <c r="HT17" s="230"/>
      <c r="HU17" s="230"/>
      <c r="HV17" s="230"/>
      <c r="HW17" s="230"/>
      <c r="HX17" s="230"/>
      <c r="HY17" s="230"/>
      <c r="HZ17" s="230"/>
      <c r="IA17" s="230"/>
      <c r="IB17" s="230"/>
      <c r="IC17" s="230"/>
      <c r="ID17" s="230"/>
      <c r="IE17" s="230"/>
      <c r="IF17" s="230"/>
    </row>
    <row r="18" spans="1:240" x14ac:dyDescent="0.2">
      <c r="A18" s="209" t="s">
        <v>760</v>
      </c>
      <c r="B18" s="209" t="s">
        <v>761</v>
      </c>
      <c r="C18" s="209" t="s">
        <v>779</v>
      </c>
      <c r="D18" s="211">
        <v>3</v>
      </c>
      <c r="E18" s="210">
        <v>322732.79999999999</v>
      </c>
      <c r="F18" s="212">
        <f t="shared" si="31"/>
        <v>107577.59999999999</v>
      </c>
      <c r="G18" s="209">
        <v>2</v>
      </c>
      <c r="H18" s="209">
        <f>1+1</f>
        <v>2</v>
      </c>
      <c r="I18" s="212">
        <f>((3900000+2000000)/30)/8</f>
        <v>24583.333333333332</v>
      </c>
      <c r="J18" s="212">
        <f t="shared" ref="J18:J19" si="102">G18*H18*I18</f>
        <v>98333.333333333328</v>
      </c>
      <c r="K18" s="211">
        <v>8</v>
      </c>
      <c r="L18" s="217">
        <f t="shared" si="33"/>
        <v>13447.199999999999</v>
      </c>
      <c r="M18" s="217">
        <f t="shared" si="34"/>
        <v>107577.59999999999</v>
      </c>
      <c r="N18" s="209">
        <v>1</v>
      </c>
      <c r="O18" s="209">
        <v>1</v>
      </c>
      <c r="P18" s="217">
        <f>(700000/30)/8</f>
        <v>2916.6666666666665</v>
      </c>
      <c r="Q18" s="217">
        <f t="shared" si="96"/>
        <v>2916.6666666666665</v>
      </c>
      <c r="R18" s="209">
        <f t="shared" si="88"/>
        <v>24</v>
      </c>
      <c r="S18" s="209">
        <v>0</v>
      </c>
      <c r="T18" s="212">
        <f t="shared" si="1"/>
        <v>13447.199999999999</v>
      </c>
      <c r="U18" s="212">
        <f t="shared" si="2"/>
        <v>0</v>
      </c>
      <c r="V18" s="230"/>
      <c r="W18" s="209">
        <v>1</v>
      </c>
      <c r="X18" s="209">
        <v>2</v>
      </c>
      <c r="Y18" s="223">
        <f>((1400000+2000000)/30)/8</f>
        <v>14166.666666666666</v>
      </c>
      <c r="Z18" s="223">
        <f t="shared" si="35"/>
        <v>28333.333333333332</v>
      </c>
      <c r="AA18" s="209">
        <v>1</v>
      </c>
      <c r="AB18" s="209">
        <v>2</v>
      </c>
      <c r="AC18" s="223">
        <f>((900000*2)/30)/8</f>
        <v>7500</v>
      </c>
      <c r="AD18" s="223">
        <f t="shared" si="3"/>
        <v>15000</v>
      </c>
      <c r="AE18" s="209">
        <v>1</v>
      </c>
      <c r="AF18" s="209">
        <v>1</v>
      </c>
      <c r="AG18" s="223">
        <f>((3900000+1800000)/30)/8</f>
        <v>23750</v>
      </c>
      <c r="AH18" s="223">
        <f t="shared" si="36"/>
        <v>23750</v>
      </c>
      <c r="AI18" s="209">
        <v>2</v>
      </c>
      <c r="AJ18" s="209">
        <v>1</v>
      </c>
      <c r="AK18" s="223">
        <f>(900000/30)/8</f>
        <v>3750</v>
      </c>
      <c r="AL18" s="223">
        <f t="shared" ref="AL18" si="103">AI18*AJ18*AK18</f>
        <v>7500</v>
      </c>
      <c r="AM18" s="209">
        <v>1</v>
      </c>
      <c r="AN18" s="209">
        <v>1</v>
      </c>
      <c r="AO18" s="226">
        <f t="shared" si="83"/>
        <v>7500</v>
      </c>
      <c r="AP18" s="223">
        <f t="shared" si="4"/>
        <v>7500</v>
      </c>
      <c r="AQ18" s="209">
        <v>1</v>
      </c>
      <c r="AR18" s="209">
        <v>2</v>
      </c>
      <c r="AS18" s="223">
        <f>((2500000+25000)/30)/8</f>
        <v>10520.833333333334</v>
      </c>
      <c r="AT18" s="223">
        <f t="shared" si="38"/>
        <v>21041.666666666668</v>
      </c>
      <c r="AU18" s="209">
        <v>1</v>
      </c>
      <c r="AV18" s="209">
        <v>1</v>
      </c>
      <c r="AW18" s="223">
        <f>(1500000/30)/8</f>
        <v>6250</v>
      </c>
      <c r="AX18" s="223">
        <f t="shared" si="39"/>
        <v>6250</v>
      </c>
      <c r="AY18" s="209">
        <v>1</v>
      </c>
      <c r="AZ18" s="209">
        <v>8</v>
      </c>
      <c r="BA18" s="223">
        <f>(2500000+6000000+3500000+1400000+2500000+3500000+3500000+900000/30)/8</f>
        <v>2866250</v>
      </c>
      <c r="BB18" s="223">
        <f t="shared" ref="BB18" si="104">AY18*AZ18*BA18</f>
        <v>22930000</v>
      </c>
      <c r="BC18" s="209">
        <v>1</v>
      </c>
      <c r="BD18" s="209">
        <v>2</v>
      </c>
      <c r="BE18" s="223">
        <f>((2500000+1400000)/30)/8</f>
        <v>16250</v>
      </c>
      <c r="BF18" s="223">
        <f t="shared" ref="BF18" si="105">BC18*BD18*BE18</f>
        <v>32500</v>
      </c>
      <c r="BG18" s="209">
        <v>0</v>
      </c>
      <c r="BH18" s="209">
        <v>0</v>
      </c>
      <c r="BI18" s="223">
        <v>0</v>
      </c>
      <c r="BJ18" s="223">
        <f t="shared" si="42"/>
        <v>0</v>
      </c>
      <c r="BK18" s="209">
        <v>1</v>
      </c>
      <c r="BL18" s="209">
        <v>1</v>
      </c>
      <c r="BM18" s="223">
        <f t="shared" si="43"/>
        <v>20833.333333333332</v>
      </c>
      <c r="BN18" s="223">
        <f t="shared" si="44"/>
        <v>20833.333333333332</v>
      </c>
      <c r="BO18" s="209">
        <v>1</v>
      </c>
      <c r="BP18" s="209">
        <v>1</v>
      </c>
      <c r="BQ18" s="223">
        <f t="shared" si="45"/>
        <v>5833.333333333333</v>
      </c>
      <c r="BR18" s="223">
        <f t="shared" si="46"/>
        <v>5833.333333333333</v>
      </c>
      <c r="BS18" s="209">
        <v>1</v>
      </c>
      <c r="BT18" s="209">
        <v>1</v>
      </c>
      <c r="BU18" s="223">
        <f t="shared" si="79"/>
        <v>5833.333333333333</v>
      </c>
      <c r="BV18" s="223">
        <f t="shared" si="47"/>
        <v>5833.333333333333</v>
      </c>
      <c r="BW18" s="209">
        <v>1</v>
      </c>
      <c r="BX18" s="209">
        <v>1</v>
      </c>
      <c r="BY18" s="223">
        <f t="shared" si="80"/>
        <v>5833.333333333333</v>
      </c>
      <c r="BZ18" s="223">
        <f t="shared" si="81"/>
        <v>5833.333333333333</v>
      </c>
      <c r="CA18" s="209">
        <v>0</v>
      </c>
      <c r="CB18" s="209">
        <v>0</v>
      </c>
      <c r="CC18" s="223">
        <v>0</v>
      </c>
      <c r="CD18" s="223">
        <f t="shared" si="49"/>
        <v>0</v>
      </c>
      <c r="CE18" s="209">
        <v>0</v>
      </c>
      <c r="CF18" s="209">
        <v>0</v>
      </c>
      <c r="CG18" s="223">
        <v>0</v>
      </c>
      <c r="CH18" s="223">
        <f t="shared" si="50"/>
        <v>0</v>
      </c>
      <c r="CI18" s="209">
        <v>0</v>
      </c>
      <c r="CJ18" s="209">
        <v>0</v>
      </c>
      <c r="CK18" s="223">
        <v>0</v>
      </c>
      <c r="CL18" s="223">
        <f t="shared" si="84"/>
        <v>0</v>
      </c>
      <c r="CM18" s="209">
        <v>2</v>
      </c>
      <c r="CN18" s="209">
        <v>1</v>
      </c>
      <c r="CO18" s="226">
        <f>((2500000+1400000)/30)/8</f>
        <v>16250</v>
      </c>
      <c r="CP18" s="226">
        <f t="shared" si="52"/>
        <v>32500</v>
      </c>
      <c r="CQ18" s="209">
        <v>0</v>
      </c>
      <c r="CR18" s="209">
        <v>0</v>
      </c>
      <c r="CS18" s="226">
        <v>0</v>
      </c>
      <c r="CT18" s="226">
        <f t="shared" si="53"/>
        <v>0</v>
      </c>
      <c r="CU18" s="209" t="s">
        <v>827</v>
      </c>
      <c r="CV18" s="209">
        <v>0</v>
      </c>
      <c r="CW18" s="226">
        <v>0</v>
      </c>
      <c r="CX18" s="226">
        <f t="shared" si="54"/>
        <v>0</v>
      </c>
      <c r="CY18" s="209" t="s">
        <v>827</v>
      </c>
      <c r="CZ18" s="209">
        <v>0</v>
      </c>
      <c r="DA18" s="226">
        <v>0</v>
      </c>
      <c r="DB18" s="226">
        <f t="shared" si="55"/>
        <v>0</v>
      </c>
      <c r="DC18" s="209" t="s">
        <v>827</v>
      </c>
      <c r="DD18" s="209">
        <v>0</v>
      </c>
      <c r="DE18" s="226">
        <v>0</v>
      </c>
      <c r="DF18" s="226">
        <f t="shared" si="56"/>
        <v>0</v>
      </c>
      <c r="DG18" s="209" t="s">
        <v>827</v>
      </c>
      <c r="DH18" s="209">
        <v>0</v>
      </c>
      <c r="DI18" s="226">
        <v>0</v>
      </c>
      <c r="DJ18" s="226">
        <f t="shared" si="57"/>
        <v>0</v>
      </c>
      <c r="DK18" s="209" t="s">
        <v>827</v>
      </c>
      <c r="DL18" s="209">
        <v>0</v>
      </c>
      <c r="DM18" s="226">
        <v>0</v>
      </c>
      <c r="DN18" s="226">
        <f t="shared" si="58"/>
        <v>0</v>
      </c>
      <c r="DO18" s="209" t="s">
        <v>827</v>
      </c>
      <c r="DP18" s="209">
        <v>0</v>
      </c>
      <c r="DQ18" s="226">
        <v>0</v>
      </c>
      <c r="DR18" s="226">
        <f t="shared" si="59"/>
        <v>0</v>
      </c>
      <c r="DS18" s="209" t="s">
        <v>827</v>
      </c>
      <c r="DT18" s="209">
        <v>0</v>
      </c>
      <c r="DU18" s="226">
        <v>0</v>
      </c>
      <c r="DV18" s="226">
        <f t="shared" si="60"/>
        <v>0</v>
      </c>
      <c r="DW18" s="209" t="s">
        <v>827</v>
      </c>
      <c r="DX18" s="209">
        <v>0</v>
      </c>
      <c r="DY18" s="226">
        <v>0</v>
      </c>
      <c r="DZ18" s="226">
        <f t="shared" si="61"/>
        <v>0</v>
      </c>
      <c r="EA18" s="209" t="s">
        <v>827</v>
      </c>
      <c r="EB18" s="209">
        <v>0</v>
      </c>
      <c r="EC18" s="226">
        <v>0</v>
      </c>
      <c r="ED18" s="226">
        <f t="shared" si="62"/>
        <v>0</v>
      </c>
      <c r="EE18" s="209" t="s">
        <v>827</v>
      </c>
      <c r="EF18" s="209">
        <v>0</v>
      </c>
      <c r="EG18" s="226">
        <v>0</v>
      </c>
      <c r="EH18" s="226">
        <f t="shared" si="63"/>
        <v>0</v>
      </c>
      <c r="EI18" s="209" t="s">
        <v>827</v>
      </c>
      <c r="EJ18" s="209">
        <v>0</v>
      </c>
      <c r="EK18" s="226">
        <v>0</v>
      </c>
      <c r="EL18" s="226">
        <f t="shared" si="64"/>
        <v>0</v>
      </c>
      <c r="EM18" s="209" t="s">
        <v>827</v>
      </c>
      <c r="EN18" s="209">
        <v>0</v>
      </c>
      <c r="EO18" s="226">
        <v>0</v>
      </c>
      <c r="EP18" s="226">
        <f t="shared" si="65"/>
        <v>0</v>
      </c>
      <c r="EQ18" s="209" t="s">
        <v>827</v>
      </c>
      <c r="ER18" s="211" t="s">
        <v>167</v>
      </c>
      <c r="ES18" s="226">
        <f>84635*2</f>
        <v>169270</v>
      </c>
      <c r="ET18" s="209" t="s">
        <v>827</v>
      </c>
      <c r="EU18" s="211" t="s">
        <v>167</v>
      </c>
      <c r="EV18" s="226">
        <v>0</v>
      </c>
      <c r="EW18" s="209" t="s">
        <v>827</v>
      </c>
      <c r="EX18" s="211" t="s">
        <v>167</v>
      </c>
      <c r="EY18" s="226">
        <v>0</v>
      </c>
      <c r="EZ18" s="209" t="s">
        <v>827</v>
      </c>
      <c r="FA18" s="226">
        <v>0</v>
      </c>
      <c r="FB18" s="209" t="s">
        <v>827</v>
      </c>
      <c r="FC18" s="226">
        <v>0</v>
      </c>
      <c r="FD18" s="209" t="s">
        <v>827</v>
      </c>
      <c r="FE18" s="226">
        <v>0</v>
      </c>
      <c r="FF18" s="209" t="s">
        <v>827</v>
      </c>
      <c r="FG18" s="226">
        <v>0</v>
      </c>
      <c r="FH18" s="209" t="s">
        <v>827</v>
      </c>
      <c r="FI18" s="226">
        <v>0</v>
      </c>
      <c r="FJ18" s="230"/>
      <c r="FK18" s="230"/>
      <c r="FL18" s="233" t="s">
        <v>959</v>
      </c>
      <c r="FM18" s="209">
        <v>1</v>
      </c>
      <c r="FN18" s="223">
        <f>F18*D18</f>
        <v>322732.79999999999</v>
      </c>
      <c r="FO18" s="223">
        <f t="shared" si="66"/>
        <v>322732.79999999999</v>
      </c>
      <c r="FP18" s="233" t="s">
        <v>827</v>
      </c>
      <c r="FQ18" s="209">
        <v>0</v>
      </c>
      <c r="FR18" s="223">
        <v>0</v>
      </c>
      <c r="FS18" s="223">
        <f t="shared" si="67"/>
        <v>0</v>
      </c>
      <c r="FT18" s="230"/>
      <c r="FU18" s="230"/>
      <c r="FV18" s="233" t="s">
        <v>827</v>
      </c>
      <c r="FW18" s="209">
        <v>0</v>
      </c>
      <c r="FX18" s="223">
        <v>0</v>
      </c>
      <c r="FY18" s="223">
        <f t="shared" si="89"/>
        <v>0</v>
      </c>
      <c r="FZ18" s="230"/>
      <c r="GA18" s="233" t="s">
        <v>827</v>
      </c>
      <c r="GB18" s="209">
        <v>0</v>
      </c>
      <c r="GC18" s="223">
        <v>0</v>
      </c>
      <c r="GD18" s="223">
        <f t="shared" si="68"/>
        <v>0</v>
      </c>
      <c r="GE18" s="233" t="s">
        <v>827</v>
      </c>
      <c r="GF18" s="209">
        <v>0</v>
      </c>
      <c r="GG18" s="223">
        <v>0</v>
      </c>
      <c r="GH18" s="223">
        <f t="shared" si="69"/>
        <v>0</v>
      </c>
      <c r="GI18" s="233" t="s">
        <v>827</v>
      </c>
      <c r="GJ18" s="209">
        <v>0</v>
      </c>
      <c r="GK18" s="223">
        <v>0</v>
      </c>
      <c r="GL18" s="223">
        <f t="shared" si="70"/>
        <v>0</v>
      </c>
      <c r="GM18" s="233" t="s">
        <v>827</v>
      </c>
      <c r="GN18" s="209">
        <v>0</v>
      </c>
      <c r="GO18" s="223">
        <v>0</v>
      </c>
      <c r="GP18" s="223">
        <f t="shared" si="71"/>
        <v>0</v>
      </c>
      <c r="GQ18" s="233" t="s">
        <v>827</v>
      </c>
      <c r="GR18" s="209">
        <v>0</v>
      </c>
      <c r="GS18" s="223">
        <v>0</v>
      </c>
      <c r="GT18" s="223">
        <f t="shared" si="72"/>
        <v>0</v>
      </c>
      <c r="GU18" s="233" t="s">
        <v>827</v>
      </c>
      <c r="GV18" s="209">
        <v>0</v>
      </c>
      <c r="GW18" s="223">
        <v>0</v>
      </c>
      <c r="GX18" s="223">
        <f t="shared" si="73"/>
        <v>0</v>
      </c>
      <c r="GY18" s="230"/>
      <c r="GZ18" s="233" t="s">
        <v>827</v>
      </c>
      <c r="HA18" s="209">
        <v>0</v>
      </c>
      <c r="HB18" s="223">
        <v>0</v>
      </c>
      <c r="HC18" s="223">
        <f t="shared" si="74"/>
        <v>0</v>
      </c>
      <c r="HD18" s="233" t="s">
        <v>827</v>
      </c>
      <c r="HE18" s="209">
        <v>0</v>
      </c>
      <c r="HF18" s="223">
        <v>0</v>
      </c>
      <c r="HG18" s="223">
        <f t="shared" si="75"/>
        <v>0</v>
      </c>
      <c r="HH18" s="230"/>
      <c r="HI18" s="233" t="s">
        <v>827</v>
      </c>
      <c r="HJ18" s="209">
        <v>0</v>
      </c>
      <c r="HK18" s="223">
        <v>0</v>
      </c>
      <c r="HL18" s="223">
        <f t="shared" si="76"/>
        <v>0</v>
      </c>
      <c r="HM18" s="230"/>
      <c r="HN18" s="230"/>
      <c r="HO18" s="233" t="s">
        <v>827</v>
      </c>
      <c r="HP18" s="209">
        <v>0</v>
      </c>
      <c r="HQ18" s="223">
        <v>0</v>
      </c>
      <c r="HR18" s="223">
        <f t="shared" si="77"/>
        <v>0</v>
      </c>
      <c r="HS18" s="230"/>
      <c r="HT18" s="230"/>
      <c r="HU18" s="230"/>
      <c r="HV18" s="230"/>
      <c r="HW18" s="230"/>
      <c r="HX18" s="230"/>
      <c r="HY18" s="230"/>
      <c r="HZ18" s="230"/>
      <c r="IA18" s="230"/>
      <c r="IB18" s="230"/>
      <c r="IC18" s="230"/>
      <c r="ID18" s="230"/>
      <c r="IE18" s="230"/>
      <c r="IF18" s="230"/>
    </row>
    <row r="19" spans="1:240" x14ac:dyDescent="0.2">
      <c r="A19" s="209" t="s">
        <v>759</v>
      </c>
      <c r="B19" s="209" t="s">
        <v>771</v>
      </c>
      <c r="C19" s="209" t="s">
        <v>779</v>
      </c>
      <c r="D19" s="211">
        <v>18</v>
      </c>
      <c r="E19" s="210">
        <v>1468500.6</v>
      </c>
      <c r="F19" s="212">
        <f t="shared" si="31"/>
        <v>81583.366666666669</v>
      </c>
      <c r="G19" s="209">
        <f>1+1</f>
        <v>2</v>
      </c>
      <c r="H19" s="209">
        <f>1+1</f>
        <v>2</v>
      </c>
      <c r="I19" s="212">
        <f>((9000000+1200000)/30)/8</f>
        <v>42500</v>
      </c>
      <c r="J19" s="212">
        <f t="shared" si="102"/>
        <v>170000</v>
      </c>
      <c r="K19" s="211">
        <v>8</v>
      </c>
      <c r="L19" s="217">
        <f t="shared" si="33"/>
        <v>10197.920833333334</v>
      </c>
      <c r="M19" s="217">
        <f t="shared" si="34"/>
        <v>81583.366666666669</v>
      </c>
      <c r="N19" s="209">
        <v>1</v>
      </c>
      <c r="O19" s="209">
        <v>1</v>
      </c>
      <c r="P19" s="217">
        <f>(1200000/30)/8</f>
        <v>5000</v>
      </c>
      <c r="Q19" s="217">
        <f t="shared" si="96"/>
        <v>5000</v>
      </c>
      <c r="R19" s="209">
        <f t="shared" si="88"/>
        <v>144</v>
      </c>
      <c r="S19" s="209">
        <v>1</v>
      </c>
      <c r="T19" s="212">
        <f t="shared" si="1"/>
        <v>10197.920833333334</v>
      </c>
      <c r="U19" s="212">
        <f t="shared" si="2"/>
        <v>1468500.6</v>
      </c>
      <c r="V19" s="230"/>
      <c r="W19" s="209">
        <v>1</v>
      </c>
      <c r="X19" s="209">
        <v>3</v>
      </c>
      <c r="Y19" s="223">
        <f>((1400000+9000000)/30)/8</f>
        <v>43333.333333333336</v>
      </c>
      <c r="Z19" s="223">
        <f t="shared" si="35"/>
        <v>130000</v>
      </c>
      <c r="AA19" s="209">
        <v>0</v>
      </c>
      <c r="AB19" s="209">
        <v>0</v>
      </c>
      <c r="AC19" s="223">
        <v>0</v>
      </c>
      <c r="AD19" s="223">
        <f t="shared" si="3"/>
        <v>0</v>
      </c>
      <c r="AE19" s="209">
        <v>1</v>
      </c>
      <c r="AF19" s="209">
        <v>1</v>
      </c>
      <c r="AG19" s="223">
        <f>(9000000/30)/8</f>
        <v>37500</v>
      </c>
      <c r="AH19" s="223">
        <f t="shared" si="36"/>
        <v>37500</v>
      </c>
      <c r="AI19" s="209">
        <v>1</v>
      </c>
      <c r="AJ19" s="209">
        <v>1</v>
      </c>
      <c r="AK19" s="223">
        <f>(9000000/30)/8</f>
        <v>37500</v>
      </c>
      <c r="AL19" s="223">
        <f t="shared" si="78"/>
        <v>37500</v>
      </c>
      <c r="AM19" s="209">
        <v>1</v>
      </c>
      <c r="AN19" s="209">
        <v>1</v>
      </c>
      <c r="AO19" s="226">
        <f t="shared" si="83"/>
        <v>7500</v>
      </c>
      <c r="AP19" s="223">
        <f t="shared" si="4"/>
        <v>7500</v>
      </c>
      <c r="AQ19" s="209">
        <v>0</v>
      </c>
      <c r="AR19" s="209">
        <v>0</v>
      </c>
      <c r="AS19" s="223">
        <v>0</v>
      </c>
      <c r="AT19" s="223">
        <f t="shared" si="38"/>
        <v>0</v>
      </c>
      <c r="AU19" s="209">
        <v>1</v>
      </c>
      <c r="AV19" s="209">
        <v>1</v>
      </c>
      <c r="AW19" s="223">
        <f>((1500000+35000000)/30)/8</f>
        <v>152083.33333333334</v>
      </c>
      <c r="AX19" s="223">
        <f t="shared" si="39"/>
        <v>152083.33333333334</v>
      </c>
      <c r="AY19" s="209">
        <v>1</v>
      </c>
      <c r="AZ19" s="209">
        <v>6</v>
      </c>
      <c r="BA19" s="223">
        <f>((6000000+2500000+3500000+1400000+3500000+5000000)/30)/8</f>
        <v>91250</v>
      </c>
      <c r="BB19" s="223">
        <f t="shared" si="40"/>
        <v>547500</v>
      </c>
      <c r="BC19" s="209">
        <v>1</v>
      </c>
      <c r="BD19" s="209">
        <v>2</v>
      </c>
      <c r="BE19" s="223">
        <f>((1400000+1400000)/30)/8</f>
        <v>11666.666666666666</v>
      </c>
      <c r="BF19" s="223">
        <f t="shared" si="41"/>
        <v>23333.333333333332</v>
      </c>
      <c r="BG19" s="209">
        <v>0</v>
      </c>
      <c r="BH19" s="209">
        <v>0</v>
      </c>
      <c r="BI19" s="223">
        <v>0</v>
      </c>
      <c r="BJ19" s="223">
        <f t="shared" si="42"/>
        <v>0</v>
      </c>
      <c r="BK19" s="209">
        <v>1</v>
      </c>
      <c r="BL19" s="209">
        <v>1</v>
      </c>
      <c r="BM19" s="223">
        <f t="shared" si="43"/>
        <v>20833.333333333332</v>
      </c>
      <c r="BN19" s="223">
        <f t="shared" si="44"/>
        <v>20833.333333333332</v>
      </c>
      <c r="BO19" s="209">
        <v>1</v>
      </c>
      <c r="BP19" s="209">
        <v>1</v>
      </c>
      <c r="BQ19" s="223">
        <f t="shared" si="45"/>
        <v>5833.333333333333</v>
      </c>
      <c r="BR19" s="223">
        <f t="shared" si="46"/>
        <v>5833.333333333333</v>
      </c>
      <c r="BS19" s="209">
        <v>0</v>
      </c>
      <c r="BT19" s="209">
        <v>0</v>
      </c>
      <c r="BU19" s="223">
        <v>0</v>
      </c>
      <c r="BV19" s="223">
        <f t="shared" si="47"/>
        <v>0</v>
      </c>
      <c r="BW19" s="209">
        <v>0</v>
      </c>
      <c r="BX19" s="209">
        <v>0</v>
      </c>
      <c r="BY19" s="223">
        <v>0</v>
      </c>
      <c r="BZ19" s="223">
        <f t="shared" si="81"/>
        <v>0</v>
      </c>
      <c r="CA19" s="209">
        <v>0</v>
      </c>
      <c r="CB19" s="209">
        <v>0</v>
      </c>
      <c r="CC19" s="223">
        <v>0</v>
      </c>
      <c r="CD19" s="223">
        <f t="shared" si="49"/>
        <v>0</v>
      </c>
      <c r="CE19" s="209">
        <v>0</v>
      </c>
      <c r="CF19" s="209">
        <v>0</v>
      </c>
      <c r="CG19" s="223">
        <v>0</v>
      </c>
      <c r="CH19" s="223">
        <f t="shared" si="50"/>
        <v>0</v>
      </c>
      <c r="CI19" s="209">
        <v>0</v>
      </c>
      <c r="CJ19" s="209">
        <v>0</v>
      </c>
      <c r="CK19" s="223">
        <v>0</v>
      </c>
      <c r="CL19" s="223">
        <f t="shared" si="84"/>
        <v>0</v>
      </c>
      <c r="CM19" s="209">
        <v>0</v>
      </c>
      <c r="CN19" s="209">
        <v>0</v>
      </c>
      <c r="CO19" s="226">
        <v>0</v>
      </c>
      <c r="CP19" s="226">
        <f t="shared" si="52"/>
        <v>0</v>
      </c>
      <c r="CQ19" s="209">
        <v>0</v>
      </c>
      <c r="CR19" s="209">
        <v>0</v>
      </c>
      <c r="CS19" s="226">
        <v>0</v>
      </c>
      <c r="CT19" s="226">
        <f t="shared" si="53"/>
        <v>0</v>
      </c>
      <c r="CU19" s="209" t="s">
        <v>827</v>
      </c>
      <c r="CV19" s="209">
        <v>0</v>
      </c>
      <c r="CW19" s="226">
        <v>0</v>
      </c>
      <c r="CX19" s="226">
        <f t="shared" si="54"/>
        <v>0</v>
      </c>
      <c r="CY19" s="209" t="s">
        <v>827</v>
      </c>
      <c r="CZ19" s="209">
        <v>0</v>
      </c>
      <c r="DA19" s="226">
        <v>0</v>
      </c>
      <c r="DB19" s="226">
        <f t="shared" si="55"/>
        <v>0</v>
      </c>
      <c r="DC19" s="209" t="s">
        <v>827</v>
      </c>
      <c r="DD19" s="209">
        <v>0</v>
      </c>
      <c r="DE19" s="226">
        <v>0</v>
      </c>
      <c r="DF19" s="226">
        <f t="shared" si="56"/>
        <v>0</v>
      </c>
      <c r="DG19" s="209" t="s">
        <v>827</v>
      </c>
      <c r="DH19" s="209">
        <v>0</v>
      </c>
      <c r="DI19" s="226">
        <v>0</v>
      </c>
      <c r="DJ19" s="226">
        <f t="shared" si="57"/>
        <v>0</v>
      </c>
      <c r="DK19" s="209" t="s">
        <v>827</v>
      </c>
      <c r="DL19" s="209">
        <v>0</v>
      </c>
      <c r="DM19" s="226">
        <v>0</v>
      </c>
      <c r="DN19" s="226">
        <f t="shared" si="58"/>
        <v>0</v>
      </c>
      <c r="DO19" s="209" t="s">
        <v>827</v>
      </c>
      <c r="DP19" s="209">
        <v>0</v>
      </c>
      <c r="DQ19" s="226">
        <v>0</v>
      </c>
      <c r="DR19" s="226">
        <f t="shared" si="59"/>
        <v>0</v>
      </c>
      <c r="DS19" s="209" t="s">
        <v>827</v>
      </c>
      <c r="DT19" s="209">
        <v>0</v>
      </c>
      <c r="DU19" s="226">
        <v>0</v>
      </c>
      <c r="DV19" s="226">
        <f t="shared" si="60"/>
        <v>0</v>
      </c>
      <c r="DW19" s="209" t="s">
        <v>827</v>
      </c>
      <c r="DX19" s="209">
        <v>0</v>
      </c>
      <c r="DY19" s="226">
        <v>0</v>
      </c>
      <c r="DZ19" s="226">
        <f t="shared" si="61"/>
        <v>0</v>
      </c>
      <c r="EA19" s="209" t="s">
        <v>827</v>
      </c>
      <c r="EB19" s="209">
        <v>0</v>
      </c>
      <c r="EC19" s="226">
        <v>0</v>
      </c>
      <c r="ED19" s="226">
        <f t="shared" si="62"/>
        <v>0</v>
      </c>
      <c r="EE19" s="209" t="s">
        <v>827</v>
      </c>
      <c r="EF19" s="209">
        <v>0</v>
      </c>
      <c r="EG19" s="226">
        <v>0</v>
      </c>
      <c r="EH19" s="226">
        <f t="shared" si="63"/>
        <v>0</v>
      </c>
      <c r="EI19" s="209" t="s">
        <v>827</v>
      </c>
      <c r="EJ19" s="209">
        <v>0</v>
      </c>
      <c r="EK19" s="226">
        <v>0</v>
      </c>
      <c r="EL19" s="226">
        <f t="shared" si="64"/>
        <v>0</v>
      </c>
      <c r="EM19" s="209" t="s">
        <v>827</v>
      </c>
      <c r="EN19" s="209">
        <v>0</v>
      </c>
      <c r="EO19" s="226">
        <v>0</v>
      </c>
      <c r="EP19" s="226">
        <f t="shared" si="65"/>
        <v>0</v>
      </c>
      <c r="EQ19" s="209" t="s">
        <v>955</v>
      </c>
      <c r="ER19" s="211" t="s">
        <v>167</v>
      </c>
      <c r="ES19" s="226">
        <f t="shared" ref="ES19" si="106">84635*D19*8</f>
        <v>12187440</v>
      </c>
      <c r="ET19" s="209" t="s">
        <v>827</v>
      </c>
      <c r="EU19" s="211" t="s">
        <v>167</v>
      </c>
      <c r="EV19" s="226">
        <v>0</v>
      </c>
      <c r="EW19" s="209" t="s">
        <v>827</v>
      </c>
      <c r="EX19" s="211" t="s">
        <v>167</v>
      </c>
      <c r="EY19" s="226">
        <v>0</v>
      </c>
      <c r="EZ19" s="209" t="s">
        <v>827</v>
      </c>
      <c r="FA19" s="226">
        <v>0</v>
      </c>
      <c r="FB19" s="209" t="s">
        <v>827</v>
      </c>
      <c r="FC19" s="226">
        <v>0</v>
      </c>
      <c r="FD19" s="209" t="s">
        <v>827</v>
      </c>
      <c r="FE19" s="226">
        <v>0</v>
      </c>
      <c r="FF19" s="209" t="s">
        <v>827</v>
      </c>
      <c r="FG19" s="226">
        <v>0</v>
      </c>
      <c r="FH19" s="209" t="s">
        <v>827</v>
      </c>
      <c r="FI19" s="226">
        <v>0</v>
      </c>
      <c r="FJ19" s="230"/>
      <c r="FK19" s="230"/>
      <c r="FL19" s="233" t="s">
        <v>827</v>
      </c>
      <c r="FM19" s="209">
        <v>0</v>
      </c>
      <c r="FN19" s="223">
        <v>0</v>
      </c>
      <c r="FO19" s="223">
        <f t="shared" si="66"/>
        <v>0</v>
      </c>
      <c r="FP19" s="233" t="s">
        <v>827</v>
      </c>
      <c r="FQ19" s="209">
        <v>0</v>
      </c>
      <c r="FR19" s="223">
        <v>0</v>
      </c>
      <c r="FS19" s="223">
        <f t="shared" si="67"/>
        <v>0</v>
      </c>
      <c r="FT19" s="230"/>
      <c r="FU19" s="230"/>
      <c r="FV19" s="233" t="s">
        <v>827</v>
      </c>
      <c r="FW19" s="209">
        <v>0</v>
      </c>
      <c r="FX19" s="223">
        <v>0</v>
      </c>
      <c r="FY19" s="223">
        <f t="shared" si="89"/>
        <v>0</v>
      </c>
      <c r="FZ19" s="230"/>
      <c r="GA19" s="233" t="s">
        <v>827</v>
      </c>
      <c r="GB19" s="209">
        <v>0</v>
      </c>
      <c r="GC19" s="223">
        <v>0</v>
      </c>
      <c r="GD19" s="223">
        <f t="shared" si="68"/>
        <v>0</v>
      </c>
      <c r="GE19" s="233" t="s">
        <v>827</v>
      </c>
      <c r="GF19" s="209">
        <v>0</v>
      </c>
      <c r="GG19" s="223">
        <v>0</v>
      </c>
      <c r="GH19" s="223">
        <f t="shared" si="69"/>
        <v>0</v>
      </c>
      <c r="GI19" s="233" t="s">
        <v>827</v>
      </c>
      <c r="GJ19" s="209">
        <v>0</v>
      </c>
      <c r="GK19" s="223">
        <v>0</v>
      </c>
      <c r="GL19" s="223">
        <f t="shared" si="70"/>
        <v>0</v>
      </c>
      <c r="GM19" s="233" t="s">
        <v>827</v>
      </c>
      <c r="GN19" s="209">
        <v>0</v>
      </c>
      <c r="GO19" s="223">
        <v>0</v>
      </c>
      <c r="GP19" s="223">
        <f t="shared" si="71"/>
        <v>0</v>
      </c>
      <c r="GQ19" s="233" t="s">
        <v>827</v>
      </c>
      <c r="GR19" s="209">
        <v>0</v>
      </c>
      <c r="GS19" s="223">
        <v>0</v>
      </c>
      <c r="GT19" s="223">
        <f t="shared" si="72"/>
        <v>0</v>
      </c>
      <c r="GU19" s="233" t="s">
        <v>827</v>
      </c>
      <c r="GV19" s="209">
        <v>0</v>
      </c>
      <c r="GW19" s="223">
        <v>0</v>
      </c>
      <c r="GX19" s="223">
        <f t="shared" si="73"/>
        <v>0</v>
      </c>
      <c r="GY19" s="230"/>
      <c r="GZ19" s="233" t="s">
        <v>827</v>
      </c>
      <c r="HA19" s="209">
        <v>0</v>
      </c>
      <c r="HB19" s="223">
        <v>0</v>
      </c>
      <c r="HC19" s="223">
        <f t="shared" si="74"/>
        <v>0</v>
      </c>
      <c r="HD19" s="233" t="s">
        <v>827</v>
      </c>
      <c r="HE19" s="209">
        <v>0</v>
      </c>
      <c r="HF19" s="223">
        <v>0</v>
      </c>
      <c r="HG19" s="223">
        <f t="shared" si="75"/>
        <v>0</v>
      </c>
      <c r="HH19" s="230"/>
      <c r="HI19" s="233" t="s">
        <v>827</v>
      </c>
      <c r="HJ19" s="209">
        <v>0</v>
      </c>
      <c r="HK19" s="223">
        <v>0</v>
      </c>
      <c r="HL19" s="223">
        <f t="shared" si="76"/>
        <v>0</v>
      </c>
      <c r="HM19" s="230"/>
      <c r="HN19" s="230"/>
      <c r="HO19" s="233" t="s">
        <v>827</v>
      </c>
      <c r="HP19" s="209">
        <v>0</v>
      </c>
      <c r="HQ19" s="223">
        <v>0</v>
      </c>
      <c r="HR19" s="223">
        <f t="shared" si="77"/>
        <v>0</v>
      </c>
      <c r="HS19" s="230"/>
      <c r="HT19" s="230"/>
      <c r="HU19" s="230"/>
      <c r="HV19" s="230"/>
      <c r="HW19" s="230"/>
      <c r="HX19" s="230"/>
      <c r="HY19" s="230"/>
      <c r="HZ19" s="230"/>
      <c r="IA19" s="230"/>
      <c r="IB19" s="230"/>
      <c r="IC19" s="230"/>
      <c r="ID19" s="230"/>
      <c r="IE19" s="230"/>
      <c r="IF19" s="230"/>
    </row>
    <row r="20" spans="1:240" x14ac:dyDescent="0.2">
      <c r="A20" s="209" t="s">
        <v>760</v>
      </c>
      <c r="B20" s="209" t="s">
        <v>761</v>
      </c>
      <c r="C20" s="209" t="s">
        <v>779</v>
      </c>
      <c r="D20" s="211">
        <v>3</v>
      </c>
      <c r="E20" s="210">
        <v>69077.2</v>
      </c>
      <c r="F20" s="212">
        <f t="shared" si="31"/>
        <v>23025.733333333334</v>
      </c>
      <c r="G20" s="209">
        <v>2</v>
      </c>
      <c r="H20" s="209">
        <f>1+1</f>
        <v>2</v>
      </c>
      <c r="I20" s="212">
        <f>((3900000+2000000)/30)/8</f>
        <v>24583.333333333332</v>
      </c>
      <c r="J20" s="212">
        <f t="shared" ref="J20:J21" si="107">G20*H20*I20</f>
        <v>98333.333333333328</v>
      </c>
      <c r="K20" s="211">
        <v>8</v>
      </c>
      <c r="L20" s="217">
        <f>F20/8</f>
        <v>2878.2166666666667</v>
      </c>
      <c r="M20" s="217">
        <f t="shared" si="34"/>
        <v>23025.733333333334</v>
      </c>
      <c r="N20" s="209">
        <v>1</v>
      </c>
      <c r="O20" s="209">
        <v>1</v>
      </c>
      <c r="P20" s="217">
        <f>(700000/30)/8</f>
        <v>2916.6666666666665</v>
      </c>
      <c r="Q20" s="217">
        <f t="shared" si="96"/>
        <v>2916.6666666666665</v>
      </c>
      <c r="R20" s="209">
        <f t="shared" ref="R20:R32" si="108">8*D20</f>
        <v>24</v>
      </c>
      <c r="S20" s="209">
        <v>0</v>
      </c>
      <c r="T20" s="212">
        <f t="shared" ref="T20:T32" si="109">L20</f>
        <v>2878.2166666666667</v>
      </c>
      <c r="U20" s="212">
        <f t="shared" ref="U20:U32" si="110">R20*S20*T20</f>
        <v>0</v>
      </c>
      <c r="V20" s="230"/>
      <c r="W20" s="209">
        <v>1</v>
      </c>
      <c r="X20" s="209">
        <v>2</v>
      </c>
      <c r="Y20" s="223">
        <f t="shared" si="86"/>
        <v>22083.333333333332</v>
      </c>
      <c r="Z20" s="223">
        <f t="shared" si="35"/>
        <v>44166.666666666664</v>
      </c>
      <c r="AA20" s="209">
        <v>1</v>
      </c>
      <c r="AB20" s="209">
        <v>2</v>
      </c>
      <c r="AC20" s="223">
        <f>((900000*2)/30)/8</f>
        <v>7500</v>
      </c>
      <c r="AD20" s="223">
        <f t="shared" si="3"/>
        <v>15000</v>
      </c>
      <c r="AE20" s="209">
        <v>1</v>
      </c>
      <c r="AF20" s="209">
        <v>1</v>
      </c>
      <c r="AG20" s="223">
        <f>((3900000+1800000)/30)/8</f>
        <v>23750</v>
      </c>
      <c r="AH20" s="223">
        <f t="shared" si="36"/>
        <v>23750</v>
      </c>
      <c r="AI20" s="209">
        <v>2</v>
      </c>
      <c r="AJ20" s="209">
        <v>1</v>
      </c>
      <c r="AK20" s="223">
        <f>(900000/30)/8</f>
        <v>3750</v>
      </c>
      <c r="AL20" s="223">
        <f t="shared" ref="AL20" si="111">AI20*AJ20*AK20</f>
        <v>7500</v>
      </c>
      <c r="AM20" s="209">
        <v>1</v>
      </c>
      <c r="AN20" s="209">
        <v>1</v>
      </c>
      <c r="AO20" s="226">
        <f t="shared" si="83"/>
        <v>7500</v>
      </c>
      <c r="AP20" s="223">
        <f t="shared" si="4"/>
        <v>7500</v>
      </c>
      <c r="AQ20" s="209">
        <v>0</v>
      </c>
      <c r="AR20" s="209">
        <v>0</v>
      </c>
      <c r="AS20" s="223">
        <v>0</v>
      </c>
      <c r="AT20" s="223">
        <f t="shared" si="38"/>
        <v>0</v>
      </c>
      <c r="AU20" s="209">
        <v>1</v>
      </c>
      <c r="AV20" s="209">
        <v>1</v>
      </c>
      <c r="AW20" s="223">
        <f>(1500000/30)/8</f>
        <v>6250</v>
      </c>
      <c r="AX20" s="223">
        <f t="shared" si="39"/>
        <v>6250</v>
      </c>
      <c r="AY20" s="209">
        <v>1</v>
      </c>
      <c r="AZ20" s="209">
        <v>8</v>
      </c>
      <c r="BA20" s="223">
        <f>(2500000+6000000+3500000+1400000+2500000+3500000+3500000+900000/30)/8</f>
        <v>2866250</v>
      </c>
      <c r="BB20" s="223">
        <f t="shared" ref="BB20" si="112">AY20*AZ20*BA20</f>
        <v>22930000</v>
      </c>
      <c r="BC20" s="209">
        <v>1</v>
      </c>
      <c r="BD20" s="209">
        <v>2</v>
      </c>
      <c r="BE20" s="223">
        <f>((2500000+1400000)/30)/8</f>
        <v>16250</v>
      </c>
      <c r="BF20" s="223">
        <f t="shared" ref="BF20" si="113">BC20*BD20*BE20</f>
        <v>32500</v>
      </c>
      <c r="BG20" s="209">
        <v>0</v>
      </c>
      <c r="BH20" s="209">
        <v>0</v>
      </c>
      <c r="BI20" s="223">
        <v>0</v>
      </c>
      <c r="BJ20" s="223">
        <f t="shared" si="42"/>
        <v>0</v>
      </c>
      <c r="BK20" s="209">
        <v>1</v>
      </c>
      <c r="BL20" s="209">
        <v>1</v>
      </c>
      <c r="BM20" s="223">
        <f t="shared" si="43"/>
        <v>20833.333333333332</v>
      </c>
      <c r="BN20" s="223">
        <f t="shared" si="44"/>
        <v>20833.333333333332</v>
      </c>
      <c r="BO20" s="209">
        <v>1</v>
      </c>
      <c r="BP20" s="209">
        <v>1</v>
      </c>
      <c r="BQ20" s="223">
        <f t="shared" si="45"/>
        <v>5833.333333333333</v>
      </c>
      <c r="BR20" s="223">
        <f t="shared" si="46"/>
        <v>5833.333333333333</v>
      </c>
      <c r="BS20" s="209">
        <v>0</v>
      </c>
      <c r="BT20" s="209">
        <v>0</v>
      </c>
      <c r="BU20" s="223">
        <v>0</v>
      </c>
      <c r="BV20" s="223">
        <f t="shared" si="47"/>
        <v>0</v>
      </c>
      <c r="BW20" s="209">
        <v>0</v>
      </c>
      <c r="BX20" s="209">
        <v>0</v>
      </c>
      <c r="BY20" s="223">
        <v>0</v>
      </c>
      <c r="BZ20" s="223">
        <f t="shared" si="81"/>
        <v>0</v>
      </c>
      <c r="CA20" s="209">
        <v>0</v>
      </c>
      <c r="CB20" s="209">
        <v>0</v>
      </c>
      <c r="CC20" s="223">
        <v>0</v>
      </c>
      <c r="CD20" s="223">
        <f t="shared" si="49"/>
        <v>0</v>
      </c>
      <c r="CE20" s="209">
        <v>0</v>
      </c>
      <c r="CF20" s="209">
        <v>0</v>
      </c>
      <c r="CG20" s="223">
        <v>0</v>
      </c>
      <c r="CH20" s="223">
        <f t="shared" si="50"/>
        <v>0</v>
      </c>
      <c r="CI20" s="209">
        <v>0</v>
      </c>
      <c r="CJ20" s="209">
        <v>0</v>
      </c>
      <c r="CK20" s="223">
        <v>0</v>
      </c>
      <c r="CL20" s="223">
        <f t="shared" si="84"/>
        <v>0</v>
      </c>
      <c r="CM20" s="209">
        <v>2</v>
      </c>
      <c r="CN20" s="209">
        <v>1</v>
      </c>
      <c r="CO20" s="226">
        <f>((2500000+1400000)/30)/8</f>
        <v>16250</v>
      </c>
      <c r="CP20" s="226">
        <f t="shared" si="52"/>
        <v>32500</v>
      </c>
      <c r="CQ20" s="209">
        <v>1</v>
      </c>
      <c r="CR20" s="209">
        <v>1</v>
      </c>
      <c r="CS20" s="226">
        <f>((2500000)/30)/8</f>
        <v>10416.666666666666</v>
      </c>
      <c r="CT20" s="226">
        <f t="shared" si="53"/>
        <v>10416.666666666666</v>
      </c>
      <c r="CU20" s="209" t="s">
        <v>827</v>
      </c>
      <c r="CV20" s="209">
        <v>0</v>
      </c>
      <c r="CW20" s="226">
        <v>0</v>
      </c>
      <c r="CX20" s="226">
        <f t="shared" si="54"/>
        <v>0</v>
      </c>
      <c r="CY20" s="209" t="s">
        <v>827</v>
      </c>
      <c r="CZ20" s="209">
        <v>0</v>
      </c>
      <c r="DA20" s="226">
        <v>0</v>
      </c>
      <c r="DB20" s="226">
        <f t="shared" si="55"/>
        <v>0</v>
      </c>
      <c r="DC20" s="209" t="s">
        <v>827</v>
      </c>
      <c r="DD20" s="209">
        <v>0</v>
      </c>
      <c r="DE20" s="226">
        <v>0</v>
      </c>
      <c r="DF20" s="226">
        <f t="shared" si="56"/>
        <v>0</v>
      </c>
      <c r="DG20" s="209" t="s">
        <v>827</v>
      </c>
      <c r="DH20" s="209">
        <v>0</v>
      </c>
      <c r="DI20" s="226">
        <v>0</v>
      </c>
      <c r="DJ20" s="226">
        <f t="shared" si="57"/>
        <v>0</v>
      </c>
      <c r="DK20" s="209" t="s">
        <v>827</v>
      </c>
      <c r="DL20" s="209">
        <v>0</v>
      </c>
      <c r="DM20" s="226">
        <v>0</v>
      </c>
      <c r="DN20" s="226">
        <f t="shared" si="58"/>
        <v>0</v>
      </c>
      <c r="DO20" s="209" t="s">
        <v>827</v>
      </c>
      <c r="DP20" s="209">
        <v>0</v>
      </c>
      <c r="DQ20" s="226">
        <v>0</v>
      </c>
      <c r="DR20" s="226">
        <f t="shared" si="59"/>
        <v>0</v>
      </c>
      <c r="DS20" s="209" t="s">
        <v>827</v>
      </c>
      <c r="DT20" s="209">
        <v>0</v>
      </c>
      <c r="DU20" s="226">
        <v>0</v>
      </c>
      <c r="DV20" s="226">
        <f t="shared" si="60"/>
        <v>0</v>
      </c>
      <c r="DW20" s="209" t="s">
        <v>827</v>
      </c>
      <c r="DX20" s="209">
        <v>0</v>
      </c>
      <c r="DY20" s="226">
        <v>0</v>
      </c>
      <c r="DZ20" s="226">
        <f t="shared" si="61"/>
        <v>0</v>
      </c>
      <c r="EA20" s="209" t="s">
        <v>827</v>
      </c>
      <c r="EB20" s="209">
        <v>0</v>
      </c>
      <c r="EC20" s="226">
        <v>0</v>
      </c>
      <c r="ED20" s="226">
        <f t="shared" si="62"/>
        <v>0</v>
      </c>
      <c r="EE20" s="209" t="s">
        <v>827</v>
      </c>
      <c r="EF20" s="209">
        <v>0</v>
      </c>
      <c r="EG20" s="226">
        <v>0</v>
      </c>
      <c r="EH20" s="226">
        <f t="shared" si="63"/>
        <v>0</v>
      </c>
      <c r="EI20" s="209" t="s">
        <v>827</v>
      </c>
      <c r="EJ20" s="209">
        <v>0</v>
      </c>
      <c r="EK20" s="226">
        <v>0</v>
      </c>
      <c r="EL20" s="226">
        <f t="shared" si="64"/>
        <v>0</v>
      </c>
      <c r="EM20" s="209" t="s">
        <v>827</v>
      </c>
      <c r="EN20" s="209">
        <v>0</v>
      </c>
      <c r="EO20" s="226">
        <v>0</v>
      </c>
      <c r="EP20" s="226">
        <f t="shared" si="65"/>
        <v>0</v>
      </c>
      <c r="EQ20" s="209" t="s">
        <v>827</v>
      </c>
      <c r="ER20" s="211" t="s">
        <v>167</v>
      </c>
      <c r="ES20" s="226">
        <f>84635*2</f>
        <v>169270</v>
      </c>
      <c r="ET20" s="209" t="s">
        <v>827</v>
      </c>
      <c r="EU20" s="211" t="s">
        <v>167</v>
      </c>
      <c r="EV20" s="226">
        <v>0</v>
      </c>
      <c r="EW20" s="209" t="s">
        <v>827</v>
      </c>
      <c r="EX20" s="211" t="s">
        <v>167</v>
      </c>
      <c r="EY20" s="226">
        <v>0</v>
      </c>
      <c r="EZ20" s="209" t="s">
        <v>827</v>
      </c>
      <c r="FA20" s="226">
        <v>0</v>
      </c>
      <c r="FB20" s="209" t="s">
        <v>827</v>
      </c>
      <c r="FC20" s="226">
        <v>0</v>
      </c>
      <c r="FD20" s="209" t="s">
        <v>827</v>
      </c>
      <c r="FE20" s="226">
        <v>0</v>
      </c>
      <c r="FF20" s="209" t="s">
        <v>827</v>
      </c>
      <c r="FG20" s="226">
        <v>0</v>
      </c>
      <c r="FH20" s="209" t="s">
        <v>827</v>
      </c>
      <c r="FI20" s="226">
        <v>0</v>
      </c>
      <c r="FJ20" s="230"/>
      <c r="FK20" s="230"/>
      <c r="FL20" s="233" t="s">
        <v>827</v>
      </c>
      <c r="FM20" s="209">
        <v>1</v>
      </c>
      <c r="FN20" s="223">
        <v>2000</v>
      </c>
      <c r="FO20" s="223">
        <f t="shared" si="66"/>
        <v>2000</v>
      </c>
      <c r="FP20" s="233" t="s">
        <v>827</v>
      </c>
      <c r="FQ20" s="209">
        <v>0</v>
      </c>
      <c r="FR20" s="223">
        <v>0</v>
      </c>
      <c r="FS20" s="223">
        <f t="shared" si="67"/>
        <v>0</v>
      </c>
      <c r="FT20" s="230"/>
      <c r="FU20" s="230"/>
      <c r="FV20" s="233" t="s">
        <v>827</v>
      </c>
      <c r="FW20" s="209">
        <v>0</v>
      </c>
      <c r="FX20" s="223">
        <v>0</v>
      </c>
      <c r="FY20" s="223">
        <f t="shared" si="89"/>
        <v>0</v>
      </c>
      <c r="FZ20" s="230"/>
      <c r="GA20" s="233" t="s">
        <v>827</v>
      </c>
      <c r="GB20" s="209">
        <v>0</v>
      </c>
      <c r="GC20" s="223">
        <v>0</v>
      </c>
      <c r="GD20" s="223">
        <f t="shared" si="68"/>
        <v>0</v>
      </c>
      <c r="GE20" s="233" t="s">
        <v>827</v>
      </c>
      <c r="GF20" s="209">
        <v>0</v>
      </c>
      <c r="GG20" s="223">
        <v>0</v>
      </c>
      <c r="GH20" s="223">
        <f t="shared" si="69"/>
        <v>0</v>
      </c>
      <c r="GI20" s="233" t="s">
        <v>827</v>
      </c>
      <c r="GJ20" s="209">
        <v>0</v>
      </c>
      <c r="GK20" s="223">
        <v>0</v>
      </c>
      <c r="GL20" s="223">
        <f t="shared" si="70"/>
        <v>0</v>
      </c>
      <c r="GM20" s="233" t="s">
        <v>827</v>
      </c>
      <c r="GN20" s="209">
        <v>0</v>
      </c>
      <c r="GO20" s="223">
        <v>0</v>
      </c>
      <c r="GP20" s="223">
        <f t="shared" si="71"/>
        <v>0</v>
      </c>
      <c r="GQ20" s="233" t="s">
        <v>827</v>
      </c>
      <c r="GR20" s="209">
        <v>0</v>
      </c>
      <c r="GS20" s="223">
        <v>0</v>
      </c>
      <c r="GT20" s="223">
        <f t="shared" si="72"/>
        <v>0</v>
      </c>
      <c r="GU20" s="233" t="s">
        <v>827</v>
      </c>
      <c r="GV20" s="209">
        <v>0</v>
      </c>
      <c r="GW20" s="223">
        <v>0</v>
      </c>
      <c r="GX20" s="223">
        <f t="shared" si="73"/>
        <v>0</v>
      </c>
      <c r="GY20" s="230"/>
      <c r="GZ20" s="233" t="s">
        <v>827</v>
      </c>
      <c r="HA20" s="209">
        <v>0</v>
      </c>
      <c r="HB20" s="223">
        <v>0</v>
      </c>
      <c r="HC20" s="223">
        <f t="shared" si="74"/>
        <v>0</v>
      </c>
      <c r="HD20" s="233" t="s">
        <v>827</v>
      </c>
      <c r="HE20" s="209">
        <v>0</v>
      </c>
      <c r="HF20" s="223">
        <v>0</v>
      </c>
      <c r="HG20" s="223">
        <f t="shared" si="75"/>
        <v>0</v>
      </c>
      <c r="HH20" s="230"/>
      <c r="HI20" s="233" t="s">
        <v>827</v>
      </c>
      <c r="HJ20" s="209">
        <v>0</v>
      </c>
      <c r="HK20" s="223">
        <v>0</v>
      </c>
      <c r="HL20" s="223">
        <f t="shared" si="76"/>
        <v>0</v>
      </c>
      <c r="HM20" s="230"/>
      <c r="HN20" s="230"/>
      <c r="HO20" s="233" t="s">
        <v>827</v>
      </c>
      <c r="HP20" s="209">
        <v>0</v>
      </c>
      <c r="HQ20" s="223">
        <v>0</v>
      </c>
      <c r="HR20" s="223">
        <f t="shared" si="77"/>
        <v>0</v>
      </c>
      <c r="HS20" s="230"/>
      <c r="HT20" s="230"/>
      <c r="HU20" s="230"/>
      <c r="HV20" s="230"/>
      <c r="HW20" s="230"/>
      <c r="HX20" s="230"/>
      <c r="HY20" s="230"/>
      <c r="HZ20" s="230"/>
      <c r="IA20" s="230"/>
      <c r="IB20" s="230"/>
      <c r="IC20" s="230"/>
      <c r="ID20" s="230"/>
      <c r="IE20" s="230"/>
      <c r="IF20" s="230"/>
    </row>
    <row r="21" spans="1:240" x14ac:dyDescent="0.2">
      <c r="A21" s="209" t="s">
        <v>757</v>
      </c>
      <c r="B21" s="209" t="s">
        <v>774</v>
      </c>
      <c r="C21" s="209" t="s">
        <v>779</v>
      </c>
      <c r="D21" s="211">
        <v>14</v>
      </c>
      <c r="E21" s="210">
        <v>620519.19999999995</v>
      </c>
      <c r="F21" s="212">
        <f t="shared" si="31"/>
        <v>44322.799999999996</v>
      </c>
      <c r="G21" s="209">
        <v>2</v>
      </c>
      <c r="H21" s="209">
        <f>1+1</f>
        <v>2</v>
      </c>
      <c r="I21" s="212">
        <f>((3500000+2000000)/30)/8</f>
        <v>22916.666666666668</v>
      </c>
      <c r="J21" s="212">
        <f t="shared" si="107"/>
        <v>91666.666666666672</v>
      </c>
      <c r="K21" s="211">
        <v>8</v>
      </c>
      <c r="L21" s="217">
        <f t="shared" si="33"/>
        <v>5540.3499999999995</v>
      </c>
      <c r="M21" s="217">
        <f t="shared" si="34"/>
        <v>44322.799999999996</v>
      </c>
      <c r="N21" s="209">
        <v>1</v>
      </c>
      <c r="O21" s="209">
        <v>1</v>
      </c>
      <c r="P21" s="217">
        <f>+L21</f>
        <v>5540.3499999999995</v>
      </c>
      <c r="Q21" s="217">
        <f t="shared" si="96"/>
        <v>5540.3499999999995</v>
      </c>
      <c r="R21" s="209">
        <f t="shared" si="108"/>
        <v>112</v>
      </c>
      <c r="S21" s="209">
        <v>1</v>
      </c>
      <c r="T21" s="212">
        <f t="shared" si="109"/>
        <v>5540.3499999999995</v>
      </c>
      <c r="U21" s="212">
        <f t="shared" si="110"/>
        <v>620519.19999999995</v>
      </c>
      <c r="V21" s="230"/>
      <c r="W21" s="209">
        <v>1</v>
      </c>
      <c r="X21" s="209">
        <v>2</v>
      </c>
      <c r="Y21" s="223">
        <f>((1400000+5000000)/30)/8</f>
        <v>26666.666666666668</v>
      </c>
      <c r="Z21" s="223">
        <f t="shared" si="35"/>
        <v>53333.333333333336</v>
      </c>
      <c r="AA21" s="209">
        <v>1</v>
      </c>
      <c r="AB21" s="209">
        <v>1</v>
      </c>
      <c r="AC21" s="223">
        <f>(2000000/30)/8</f>
        <v>8333.3333333333339</v>
      </c>
      <c r="AD21" s="223">
        <f t="shared" si="3"/>
        <v>8333.3333333333339</v>
      </c>
      <c r="AE21" s="209">
        <v>1</v>
      </c>
      <c r="AF21" s="209">
        <v>2</v>
      </c>
      <c r="AG21" s="223">
        <f>((3500000+2500000)/30)/8</f>
        <v>25000</v>
      </c>
      <c r="AH21" s="223">
        <f t="shared" si="36"/>
        <v>50000</v>
      </c>
      <c r="AI21" s="209">
        <v>4</v>
      </c>
      <c r="AJ21" s="209">
        <v>1</v>
      </c>
      <c r="AK21" s="223">
        <f>(2000000/30)/8</f>
        <v>8333.3333333333339</v>
      </c>
      <c r="AL21" s="223">
        <f t="shared" si="78"/>
        <v>33333.333333333336</v>
      </c>
      <c r="AM21" s="209">
        <v>1</v>
      </c>
      <c r="AN21" s="209">
        <v>1</v>
      </c>
      <c r="AO21" s="226">
        <f t="shared" si="83"/>
        <v>7500</v>
      </c>
      <c r="AP21" s="223">
        <f t="shared" si="4"/>
        <v>7500</v>
      </c>
      <c r="AQ21" s="209">
        <v>0</v>
      </c>
      <c r="AR21" s="209">
        <v>0</v>
      </c>
      <c r="AS21" s="223">
        <v>0</v>
      </c>
      <c r="AT21" s="223">
        <f t="shared" si="38"/>
        <v>0</v>
      </c>
      <c r="AU21" s="209">
        <v>1</v>
      </c>
      <c r="AV21" s="209">
        <v>2</v>
      </c>
      <c r="AW21" s="223">
        <f>((2500000+3500000)/30)/8</f>
        <v>25000</v>
      </c>
      <c r="AX21" s="223">
        <f t="shared" si="39"/>
        <v>50000</v>
      </c>
      <c r="AY21" s="209">
        <v>1</v>
      </c>
      <c r="AZ21" s="209">
        <v>5</v>
      </c>
      <c r="BA21" s="223">
        <f>((6000000+2500000+3500000+1400000+3500000)/30)/8</f>
        <v>70416.666666666672</v>
      </c>
      <c r="BB21" s="223">
        <f t="shared" si="40"/>
        <v>352083.33333333337</v>
      </c>
      <c r="BC21" s="209">
        <v>1</v>
      </c>
      <c r="BD21" s="209">
        <v>2</v>
      </c>
      <c r="BE21" s="223">
        <f>((2000000+1400000)/30)/8</f>
        <v>14166.666666666666</v>
      </c>
      <c r="BF21" s="223">
        <f t="shared" si="41"/>
        <v>28333.333333333332</v>
      </c>
      <c r="BG21" s="209">
        <v>0</v>
      </c>
      <c r="BH21" s="209">
        <v>0</v>
      </c>
      <c r="BI21" s="223">
        <v>0</v>
      </c>
      <c r="BJ21" s="223">
        <f t="shared" si="42"/>
        <v>0</v>
      </c>
      <c r="BK21" s="209">
        <v>1</v>
      </c>
      <c r="BL21" s="209">
        <v>1</v>
      </c>
      <c r="BM21" s="223">
        <f t="shared" si="43"/>
        <v>20833.333333333332</v>
      </c>
      <c r="BN21" s="223">
        <f t="shared" si="44"/>
        <v>20833.333333333332</v>
      </c>
      <c r="BO21" s="209">
        <v>1</v>
      </c>
      <c r="BP21" s="209">
        <v>1</v>
      </c>
      <c r="BQ21" s="223">
        <f t="shared" si="45"/>
        <v>5833.333333333333</v>
      </c>
      <c r="BR21" s="223">
        <f t="shared" si="46"/>
        <v>5833.333333333333</v>
      </c>
      <c r="BS21" s="209">
        <v>0</v>
      </c>
      <c r="BT21" s="209">
        <v>0</v>
      </c>
      <c r="BU21" s="223">
        <v>0</v>
      </c>
      <c r="BV21" s="223">
        <f t="shared" si="47"/>
        <v>0</v>
      </c>
      <c r="BW21" s="209">
        <v>0</v>
      </c>
      <c r="BX21" s="209">
        <v>0</v>
      </c>
      <c r="BY21" s="223">
        <v>0</v>
      </c>
      <c r="BZ21" s="223">
        <f t="shared" si="81"/>
        <v>0</v>
      </c>
      <c r="CA21" s="209">
        <v>0</v>
      </c>
      <c r="CB21" s="209">
        <v>0</v>
      </c>
      <c r="CC21" s="223">
        <v>0</v>
      </c>
      <c r="CD21" s="223">
        <f t="shared" si="49"/>
        <v>0</v>
      </c>
      <c r="CE21" s="209">
        <v>0</v>
      </c>
      <c r="CF21" s="209">
        <v>0</v>
      </c>
      <c r="CG21" s="223">
        <v>0</v>
      </c>
      <c r="CH21" s="223">
        <f t="shared" si="50"/>
        <v>0</v>
      </c>
      <c r="CI21" s="209">
        <v>0</v>
      </c>
      <c r="CJ21" s="209">
        <v>0</v>
      </c>
      <c r="CK21" s="223">
        <v>0</v>
      </c>
      <c r="CL21" s="223">
        <f t="shared" si="84"/>
        <v>0</v>
      </c>
      <c r="CM21" s="209">
        <v>0</v>
      </c>
      <c r="CN21" s="209">
        <v>0</v>
      </c>
      <c r="CO21" s="226">
        <v>0</v>
      </c>
      <c r="CP21" s="226">
        <f t="shared" si="52"/>
        <v>0</v>
      </c>
      <c r="CQ21" s="209">
        <v>0</v>
      </c>
      <c r="CR21" s="209">
        <v>0</v>
      </c>
      <c r="CS21" s="226">
        <v>0</v>
      </c>
      <c r="CT21" s="226">
        <f t="shared" si="53"/>
        <v>0</v>
      </c>
      <c r="CU21" s="209" t="s">
        <v>827</v>
      </c>
      <c r="CV21" s="209">
        <v>0</v>
      </c>
      <c r="CW21" s="226">
        <v>0</v>
      </c>
      <c r="CX21" s="226">
        <f t="shared" si="54"/>
        <v>0</v>
      </c>
      <c r="CY21" s="209" t="s">
        <v>827</v>
      </c>
      <c r="CZ21" s="209">
        <v>0</v>
      </c>
      <c r="DA21" s="226">
        <v>0</v>
      </c>
      <c r="DB21" s="226">
        <f t="shared" si="55"/>
        <v>0</v>
      </c>
      <c r="DC21" s="209" t="s">
        <v>827</v>
      </c>
      <c r="DD21" s="209">
        <v>0</v>
      </c>
      <c r="DE21" s="226">
        <v>0</v>
      </c>
      <c r="DF21" s="226">
        <f t="shared" si="56"/>
        <v>0</v>
      </c>
      <c r="DG21" s="209" t="s">
        <v>827</v>
      </c>
      <c r="DH21" s="209">
        <v>0</v>
      </c>
      <c r="DI21" s="226">
        <v>0</v>
      </c>
      <c r="DJ21" s="226">
        <f t="shared" si="57"/>
        <v>0</v>
      </c>
      <c r="DK21" s="209" t="s">
        <v>827</v>
      </c>
      <c r="DL21" s="209">
        <v>0</v>
      </c>
      <c r="DM21" s="226">
        <v>0</v>
      </c>
      <c r="DN21" s="226">
        <f t="shared" si="58"/>
        <v>0</v>
      </c>
      <c r="DO21" s="209" t="s">
        <v>827</v>
      </c>
      <c r="DP21" s="209">
        <v>0</v>
      </c>
      <c r="DQ21" s="226">
        <v>0</v>
      </c>
      <c r="DR21" s="226">
        <f t="shared" si="59"/>
        <v>0</v>
      </c>
      <c r="DS21" s="209" t="s">
        <v>827</v>
      </c>
      <c r="DT21" s="209">
        <v>0</v>
      </c>
      <c r="DU21" s="226">
        <v>0</v>
      </c>
      <c r="DV21" s="226">
        <f t="shared" si="60"/>
        <v>0</v>
      </c>
      <c r="DW21" s="209" t="s">
        <v>827</v>
      </c>
      <c r="DX21" s="209">
        <v>0</v>
      </c>
      <c r="DY21" s="226">
        <v>0</v>
      </c>
      <c r="DZ21" s="226">
        <f t="shared" si="61"/>
        <v>0</v>
      </c>
      <c r="EA21" s="209" t="s">
        <v>827</v>
      </c>
      <c r="EB21" s="209">
        <v>0</v>
      </c>
      <c r="EC21" s="226">
        <v>0</v>
      </c>
      <c r="ED21" s="226">
        <f t="shared" si="62"/>
        <v>0</v>
      </c>
      <c r="EE21" s="209" t="s">
        <v>827</v>
      </c>
      <c r="EF21" s="209">
        <v>0</v>
      </c>
      <c r="EG21" s="226">
        <v>0</v>
      </c>
      <c r="EH21" s="226">
        <f t="shared" si="63"/>
        <v>0</v>
      </c>
      <c r="EI21" s="209" t="s">
        <v>827</v>
      </c>
      <c r="EJ21" s="209">
        <v>0</v>
      </c>
      <c r="EK21" s="226">
        <v>0</v>
      </c>
      <c r="EL21" s="226">
        <f t="shared" si="64"/>
        <v>0</v>
      </c>
      <c r="EM21" s="209" t="s">
        <v>827</v>
      </c>
      <c r="EN21" s="209">
        <v>0</v>
      </c>
      <c r="EO21" s="226">
        <v>0</v>
      </c>
      <c r="EP21" s="226">
        <f t="shared" si="65"/>
        <v>0</v>
      </c>
      <c r="EQ21" s="209" t="s">
        <v>827</v>
      </c>
      <c r="ER21" s="211" t="s">
        <v>167</v>
      </c>
      <c r="ES21" s="226">
        <v>0</v>
      </c>
      <c r="ET21" s="209" t="s">
        <v>827</v>
      </c>
      <c r="EU21" s="211" t="s">
        <v>167</v>
      </c>
      <c r="EV21" s="226">
        <v>0</v>
      </c>
      <c r="EW21" s="209" t="s">
        <v>827</v>
      </c>
      <c r="EX21" s="211" t="s">
        <v>167</v>
      </c>
      <c r="EY21" s="226">
        <v>0</v>
      </c>
      <c r="EZ21" s="209" t="s">
        <v>827</v>
      </c>
      <c r="FA21" s="226">
        <v>0</v>
      </c>
      <c r="FB21" s="209" t="s">
        <v>827</v>
      </c>
      <c r="FC21" s="226">
        <v>0</v>
      </c>
      <c r="FD21" s="209" t="s">
        <v>827</v>
      </c>
      <c r="FE21" s="226">
        <v>0</v>
      </c>
      <c r="FF21" s="209" t="s">
        <v>827</v>
      </c>
      <c r="FG21" s="226">
        <v>0</v>
      </c>
      <c r="FH21" s="209" t="s">
        <v>827</v>
      </c>
      <c r="FI21" s="226">
        <v>0</v>
      </c>
      <c r="FJ21" s="230"/>
      <c r="FK21" s="230"/>
      <c r="FL21" s="233" t="s">
        <v>959</v>
      </c>
      <c r="FM21" s="209">
        <v>1</v>
      </c>
      <c r="FN21" s="223">
        <f>F21*D21</f>
        <v>620519.19999999995</v>
      </c>
      <c r="FO21" s="223">
        <f t="shared" si="66"/>
        <v>620519.19999999995</v>
      </c>
      <c r="FP21" s="233" t="s">
        <v>827</v>
      </c>
      <c r="FQ21" s="209">
        <v>0</v>
      </c>
      <c r="FR21" s="223">
        <v>0</v>
      </c>
      <c r="FS21" s="223">
        <f t="shared" si="67"/>
        <v>0</v>
      </c>
      <c r="FT21" s="230"/>
      <c r="FU21" s="230"/>
      <c r="FV21" s="233" t="s">
        <v>827</v>
      </c>
      <c r="FW21" s="209">
        <v>0</v>
      </c>
      <c r="FX21" s="223">
        <v>0</v>
      </c>
      <c r="FY21" s="223">
        <f t="shared" si="89"/>
        <v>0</v>
      </c>
      <c r="FZ21" s="230"/>
      <c r="GA21" s="233" t="s">
        <v>827</v>
      </c>
      <c r="GB21" s="209">
        <v>0</v>
      </c>
      <c r="GC21" s="223">
        <v>0</v>
      </c>
      <c r="GD21" s="223">
        <f t="shared" si="68"/>
        <v>0</v>
      </c>
      <c r="GE21" s="233" t="s">
        <v>827</v>
      </c>
      <c r="GF21" s="209">
        <v>0</v>
      </c>
      <c r="GG21" s="223">
        <v>0</v>
      </c>
      <c r="GH21" s="223">
        <f t="shared" si="69"/>
        <v>0</v>
      </c>
      <c r="GI21" s="233" t="s">
        <v>827</v>
      </c>
      <c r="GJ21" s="209">
        <v>0</v>
      </c>
      <c r="GK21" s="223">
        <v>0</v>
      </c>
      <c r="GL21" s="223">
        <f t="shared" si="70"/>
        <v>0</v>
      </c>
      <c r="GM21" s="233" t="s">
        <v>827</v>
      </c>
      <c r="GN21" s="209">
        <v>0</v>
      </c>
      <c r="GO21" s="223">
        <v>0</v>
      </c>
      <c r="GP21" s="223">
        <f t="shared" si="71"/>
        <v>0</v>
      </c>
      <c r="GQ21" s="233" t="s">
        <v>827</v>
      </c>
      <c r="GR21" s="209">
        <v>0</v>
      </c>
      <c r="GS21" s="223">
        <v>0</v>
      </c>
      <c r="GT21" s="223">
        <f t="shared" si="72"/>
        <v>0</v>
      </c>
      <c r="GU21" s="233" t="s">
        <v>827</v>
      </c>
      <c r="GV21" s="209">
        <v>0</v>
      </c>
      <c r="GW21" s="223">
        <v>0</v>
      </c>
      <c r="GX21" s="223">
        <f t="shared" si="73"/>
        <v>0</v>
      </c>
      <c r="GY21" s="230"/>
      <c r="GZ21" s="233" t="s">
        <v>827</v>
      </c>
      <c r="HA21" s="209">
        <v>0</v>
      </c>
      <c r="HB21" s="223">
        <v>0</v>
      </c>
      <c r="HC21" s="223">
        <f t="shared" si="74"/>
        <v>0</v>
      </c>
      <c r="HD21" s="233" t="s">
        <v>827</v>
      </c>
      <c r="HE21" s="209">
        <v>0</v>
      </c>
      <c r="HF21" s="223">
        <v>0</v>
      </c>
      <c r="HG21" s="223">
        <f t="shared" si="75"/>
        <v>0</v>
      </c>
      <c r="HH21" s="230"/>
      <c r="HI21" s="233" t="s">
        <v>827</v>
      </c>
      <c r="HJ21" s="209">
        <v>0</v>
      </c>
      <c r="HK21" s="223">
        <v>0</v>
      </c>
      <c r="HL21" s="223">
        <f t="shared" si="76"/>
        <v>0</v>
      </c>
      <c r="HM21" s="230"/>
      <c r="HN21" s="230"/>
      <c r="HO21" s="233" t="s">
        <v>827</v>
      </c>
      <c r="HP21" s="209">
        <v>0</v>
      </c>
      <c r="HQ21" s="223">
        <v>0</v>
      </c>
      <c r="HR21" s="223">
        <f t="shared" si="77"/>
        <v>0</v>
      </c>
      <c r="HS21" s="230"/>
      <c r="HT21" s="230"/>
      <c r="HU21" s="230"/>
      <c r="HV21" s="230"/>
      <c r="HW21" s="230"/>
      <c r="HX21" s="230"/>
      <c r="HY21" s="230"/>
      <c r="HZ21" s="230"/>
      <c r="IA21" s="230"/>
      <c r="IB21" s="230"/>
      <c r="IC21" s="230"/>
      <c r="ID21" s="230"/>
      <c r="IE21" s="230"/>
      <c r="IF21" s="230"/>
    </row>
    <row r="22" spans="1:240" x14ac:dyDescent="0.2">
      <c r="A22" s="209" t="s">
        <v>760</v>
      </c>
      <c r="B22" s="209" t="s">
        <v>761</v>
      </c>
      <c r="C22" s="209" t="s">
        <v>779</v>
      </c>
      <c r="D22" s="211">
        <v>6</v>
      </c>
      <c r="E22" s="210">
        <v>138154.4</v>
      </c>
      <c r="F22" s="212">
        <f t="shared" si="31"/>
        <v>23025.733333333334</v>
      </c>
      <c r="G22" s="209">
        <v>2</v>
      </c>
      <c r="H22" s="209">
        <f t="shared" ref="H22:H24" si="114">1+1</f>
        <v>2</v>
      </c>
      <c r="I22" s="212">
        <f t="shared" ref="I22:I24" si="115">((3900000+2000000)/30)/8</f>
        <v>24583.333333333332</v>
      </c>
      <c r="J22" s="212">
        <f t="shared" ref="J22:J23" si="116">G22*H22*I22</f>
        <v>98333.333333333328</v>
      </c>
      <c r="K22" s="211">
        <v>8</v>
      </c>
      <c r="L22" s="217">
        <f t="shared" si="33"/>
        <v>2878.2166666666667</v>
      </c>
      <c r="M22" s="217">
        <f t="shared" si="34"/>
        <v>23025.733333333334</v>
      </c>
      <c r="N22" s="209">
        <v>1</v>
      </c>
      <c r="O22" s="209">
        <v>1</v>
      </c>
      <c r="P22" s="217">
        <f>(700000/30)/8</f>
        <v>2916.6666666666665</v>
      </c>
      <c r="Q22" s="217">
        <f t="shared" si="96"/>
        <v>2916.6666666666665</v>
      </c>
      <c r="R22" s="209">
        <f t="shared" si="108"/>
        <v>48</v>
      </c>
      <c r="S22" s="209">
        <v>0</v>
      </c>
      <c r="T22" s="212">
        <f t="shared" si="109"/>
        <v>2878.2166666666667</v>
      </c>
      <c r="U22" s="212">
        <f t="shared" si="110"/>
        <v>0</v>
      </c>
      <c r="V22" s="230"/>
      <c r="W22" s="209">
        <v>1</v>
      </c>
      <c r="X22" s="209">
        <v>2</v>
      </c>
      <c r="Y22" s="223">
        <f>((1400000+2500000)/30)/8</f>
        <v>16250</v>
      </c>
      <c r="Z22" s="223">
        <f t="shared" si="35"/>
        <v>32500</v>
      </c>
      <c r="AA22" s="209">
        <v>1</v>
      </c>
      <c r="AB22" s="209">
        <v>2</v>
      </c>
      <c r="AC22" s="223">
        <f t="shared" ref="AC22:AC24" si="117">((900000*2)/30)/8</f>
        <v>7500</v>
      </c>
      <c r="AD22" s="223">
        <f t="shared" ref="AD22:AD24" si="118">AA22*AB22*AC22</f>
        <v>15000</v>
      </c>
      <c r="AE22" s="209">
        <v>1</v>
      </c>
      <c r="AF22" s="209">
        <v>1</v>
      </c>
      <c r="AG22" s="223">
        <f>((3900000+1800000)/30)/8</f>
        <v>23750</v>
      </c>
      <c r="AH22" s="223">
        <f t="shared" si="36"/>
        <v>23750</v>
      </c>
      <c r="AI22" s="209">
        <v>2</v>
      </c>
      <c r="AJ22" s="209">
        <v>1</v>
      </c>
      <c r="AK22" s="223">
        <f>(900000/30)/8</f>
        <v>3750</v>
      </c>
      <c r="AL22" s="223">
        <f t="shared" ref="AL22:AL24" si="119">AI22*AJ22*AK22</f>
        <v>7500</v>
      </c>
      <c r="AM22" s="209">
        <v>1</v>
      </c>
      <c r="AN22" s="209">
        <v>1</v>
      </c>
      <c r="AO22" s="226">
        <f t="shared" si="83"/>
        <v>7500</v>
      </c>
      <c r="AP22" s="223">
        <f t="shared" si="4"/>
        <v>7500</v>
      </c>
      <c r="AQ22" s="209">
        <v>0</v>
      </c>
      <c r="AR22" s="209">
        <v>0</v>
      </c>
      <c r="AS22" s="223">
        <v>0</v>
      </c>
      <c r="AT22" s="223">
        <f t="shared" si="38"/>
        <v>0</v>
      </c>
      <c r="AU22" s="209">
        <v>1</v>
      </c>
      <c r="AV22" s="209">
        <v>1</v>
      </c>
      <c r="AW22" s="223">
        <f>(1500000/30)/8</f>
        <v>6250</v>
      </c>
      <c r="AX22" s="223">
        <f t="shared" si="39"/>
        <v>6250</v>
      </c>
      <c r="AY22" s="209">
        <v>1</v>
      </c>
      <c r="AZ22" s="209">
        <v>8</v>
      </c>
      <c r="BA22" s="223">
        <f>(2500000+6000000+3500000+1400000+2500000+3500000+3500000+900000/30)/8</f>
        <v>2866250</v>
      </c>
      <c r="BB22" s="223">
        <f t="shared" ref="BB22" si="120">AY22*AZ22*BA22</f>
        <v>22930000</v>
      </c>
      <c r="BC22" s="209">
        <v>1</v>
      </c>
      <c r="BD22" s="209">
        <v>2</v>
      </c>
      <c r="BE22" s="223">
        <f>((2500000+1400000)/30)/8</f>
        <v>16250</v>
      </c>
      <c r="BF22" s="223">
        <f t="shared" ref="BF22" si="121">BC22*BD22*BE22</f>
        <v>32500</v>
      </c>
      <c r="BG22" s="209">
        <v>0</v>
      </c>
      <c r="BH22" s="209">
        <v>0</v>
      </c>
      <c r="BI22" s="223">
        <v>0</v>
      </c>
      <c r="BJ22" s="223">
        <f t="shared" si="42"/>
        <v>0</v>
      </c>
      <c r="BK22" s="209">
        <v>1</v>
      </c>
      <c r="BL22" s="209">
        <v>1</v>
      </c>
      <c r="BM22" s="223">
        <f t="shared" si="43"/>
        <v>20833.333333333332</v>
      </c>
      <c r="BN22" s="223">
        <f t="shared" si="44"/>
        <v>20833.333333333332</v>
      </c>
      <c r="BO22" s="209">
        <v>1</v>
      </c>
      <c r="BP22" s="209">
        <v>1</v>
      </c>
      <c r="BQ22" s="223">
        <f t="shared" si="45"/>
        <v>5833.333333333333</v>
      </c>
      <c r="BR22" s="223">
        <f t="shared" si="46"/>
        <v>5833.333333333333</v>
      </c>
      <c r="BS22" s="209">
        <v>0</v>
      </c>
      <c r="BT22" s="209">
        <v>0</v>
      </c>
      <c r="BU22" s="223">
        <v>0</v>
      </c>
      <c r="BV22" s="223">
        <f t="shared" si="47"/>
        <v>0</v>
      </c>
      <c r="BW22" s="209">
        <v>0</v>
      </c>
      <c r="BX22" s="209">
        <v>0</v>
      </c>
      <c r="BY22" s="223">
        <v>0</v>
      </c>
      <c r="BZ22" s="223">
        <f t="shared" si="81"/>
        <v>0</v>
      </c>
      <c r="CA22" s="209">
        <v>0</v>
      </c>
      <c r="CB22" s="209">
        <v>0</v>
      </c>
      <c r="CC22" s="223">
        <v>0</v>
      </c>
      <c r="CD22" s="223">
        <f t="shared" si="49"/>
        <v>0</v>
      </c>
      <c r="CE22" s="209">
        <v>0</v>
      </c>
      <c r="CF22" s="209">
        <v>0</v>
      </c>
      <c r="CG22" s="223">
        <v>0</v>
      </c>
      <c r="CH22" s="223">
        <f t="shared" si="50"/>
        <v>0</v>
      </c>
      <c r="CI22" s="209">
        <v>0</v>
      </c>
      <c r="CJ22" s="209">
        <v>0</v>
      </c>
      <c r="CK22" s="223">
        <v>0</v>
      </c>
      <c r="CL22" s="223">
        <f t="shared" si="84"/>
        <v>0</v>
      </c>
      <c r="CM22" s="209">
        <v>2</v>
      </c>
      <c r="CN22" s="209">
        <v>1</v>
      </c>
      <c r="CO22" s="226">
        <f>((2500000+1400000)/30)/8</f>
        <v>16250</v>
      </c>
      <c r="CP22" s="226">
        <f t="shared" si="52"/>
        <v>32500</v>
      </c>
      <c r="CQ22" s="209">
        <v>1</v>
      </c>
      <c r="CR22" s="209">
        <v>1</v>
      </c>
      <c r="CS22" s="226">
        <f>((2500000)/30)/8</f>
        <v>10416.666666666666</v>
      </c>
      <c r="CT22" s="226">
        <f t="shared" si="53"/>
        <v>10416.666666666666</v>
      </c>
      <c r="CU22" s="209" t="s">
        <v>827</v>
      </c>
      <c r="CV22" s="209">
        <v>0</v>
      </c>
      <c r="CW22" s="226">
        <v>0</v>
      </c>
      <c r="CX22" s="226">
        <f t="shared" si="54"/>
        <v>0</v>
      </c>
      <c r="CY22" s="209" t="s">
        <v>827</v>
      </c>
      <c r="CZ22" s="209">
        <v>0</v>
      </c>
      <c r="DA22" s="226">
        <v>0</v>
      </c>
      <c r="DB22" s="226">
        <f t="shared" si="55"/>
        <v>0</v>
      </c>
      <c r="DC22" s="209" t="s">
        <v>827</v>
      </c>
      <c r="DD22" s="209">
        <v>0</v>
      </c>
      <c r="DE22" s="226">
        <v>0</v>
      </c>
      <c r="DF22" s="226">
        <f t="shared" si="56"/>
        <v>0</v>
      </c>
      <c r="DG22" s="209" t="s">
        <v>827</v>
      </c>
      <c r="DH22" s="209">
        <v>0</v>
      </c>
      <c r="DI22" s="226">
        <v>0</v>
      </c>
      <c r="DJ22" s="226">
        <f t="shared" si="57"/>
        <v>0</v>
      </c>
      <c r="DK22" s="209" t="s">
        <v>827</v>
      </c>
      <c r="DL22" s="209">
        <v>0</v>
      </c>
      <c r="DM22" s="226">
        <v>0</v>
      </c>
      <c r="DN22" s="226">
        <f t="shared" si="58"/>
        <v>0</v>
      </c>
      <c r="DO22" s="209" t="s">
        <v>827</v>
      </c>
      <c r="DP22" s="209">
        <v>0</v>
      </c>
      <c r="DQ22" s="226">
        <v>0</v>
      </c>
      <c r="DR22" s="226">
        <f t="shared" si="59"/>
        <v>0</v>
      </c>
      <c r="DS22" s="209" t="s">
        <v>827</v>
      </c>
      <c r="DT22" s="209">
        <v>0</v>
      </c>
      <c r="DU22" s="226">
        <v>0</v>
      </c>
      <c r="DV22" s="226">
        <f t="shared" si="60"/>
        <v>0</v>
      </c>
      <c r="DW22" s="209" t="s">
        <v>827</v>
      </c>
      <c r="DX22" s="209">
        <v>0</v>
      </c>
      <c r="DY22" s="226">
        <v>0</v>
      </c>
      <c r="DZ22" s="226">
        <f t="shared" si="61"/>
        <v>0</v>
      </c>
      <c r="EA22" s="209" t="s">
        <v>827</v>
      </c>
      <c r="EB22" s="209">
        <v>0</v>
      </c>
      <c r="EC22" s="226">
        <v>0</v>
      </c>
      <c r="ED22" s="226">
        <f t="shared" si="62"/>
        <v>0</v>
      </c>
      <c r="EE22" s="209" t="s">
        <v>827</v>
      </c>
      <c r="EF22" s="209">
        <v>0</v>
      </c>
      <c r="EG22" s="226">
        <v>0</v>
      </c>
      <c r="EH22" s="226">
        <f t="shared" si="63"/>
        <v>0</v>
      </c>
      <c r="EI22" s="209" t="s">
        <v>827</v>
      </c>
      <c r="EJ22" s="209">
        <v>0</v>
      </c>
      <c r="EK22" s="226">
        <v>0</v>
      </c>
      <c r="EL22" s="226">
        <f t="shared" si="64"/>
        <v>0</v>
      </c>
      <c r="EM22" s="209" t="s">
        <v>827</v>
      </c>
      <c r="EN22" s="209">
        <v>0</v>
      </c>
      <c r="EO22" s="226">
        <v>0</v>
      </c>
      <c r="EP22" s="226">
        <f t="shared" si="65"/>
        <v>0</v>
      </c>
      <c r="EQ22" s="209" t="s">
        <v>827</v>
      </c>
      <c r="ER22" s="211" t="s">
        <v>167</v>
      </c>
      <c r="ES22" s="226">
        <f>84635*2</f>
        <v>169270</v>
      </c>
      <c r="ET22" s="209" t="s">
        <v>827</v>
      </c>
      <c r="EU22" s="211" t="s">
        <v>167</v>
      </c>
      <c r="EV22" s="226">
        <v>0</v>
      </c>
      <c r="EW22" s="209" t="s">
        <v>827</v>
      </c>
      <c r="EX22" s="211" t="s">
        <v>167</v>
      </c>
      <c r="EY22" s="226">
        <v>0</v>
      </c>
      <c r="EZ22" s="209" t="s">
        <v>827</v>
      </c>
      <c r="FA22" s="226">
        <v>0</v>
      </c>
      <c r="FB22" s="209" t="s">
        <v>827</v>
      </c>
      <c r="FC22" s="226">
        <v>0</v>
      </c>
      <c r="FD22" s="209" t="s">
        <v>827</v>
      </c>
      <c r="FE22" s="226">
        <v>0</v>
      </c>
      <c r="FF22" s="209" t="s">
        <v>827</v>
      </c>
      <c r="FG22" s="226">
        <v>0</v>
      </c>
      <c r="FH22" s="209" t="s">
        <v>827</v>
      </c>
      <c r="FI22" s="226">
        <v>0</v>
      </c>
      <c r="FJ22" s="230"/>
      <c r="FK22" s="230"/>
      <c r="FL22" s="233" t="s">
        <v>959</v>
      </c>
      <c r="FM22" s="209">
        <v>1</v>
      </c>
      <c r="FN22" s="223">
        <f>F22*D22</f>
        <v>138154.4</v>
      </c>
      <c r="FO22" s="223">
        <f t="shared" si="66"/>
        <v>138154.4</v>
      </c>
      <c r="FP22" s="233" t="s">
        <v>827</v>
      </c>
      <c r="FQ22" s="209">
        <v>0</v>
      </c>
      <c r="FR22" s="223">
        <v>0</v>
      </c>
      <c r="FS22" s="223">
        <f t="shared" si="67"/>
        <v>0</v>
      </c>
      <c r="FT22" s="230"/>
      <c r="FU22" s="230"/>
      <c r="FV22" s="233" t="s">
        <v>827</v>
      </c>
      <c r="FW22" s="209">
        <v>0</v>
      </c>
      <c r="FX22" s="223">
        <v>0</v>
      </c>
      <c r="FY22" s="223">
        <f t="shared" ref="FY22" si="122">FW22*FX22</f>
        <v>0</v>
      </c>
      <c r="FZ22" s="230"/>
      <c r="GA22" s="233" t="s">
        <v>827</v>
      </c>
      <c r="GB22" s="209">
        <v>0</v>
      </c>
      <c r="GC22" s="223">
        <v>0</v>
      </c>
      <c r="GD22" s="223">
        <f t="shared" si="68"/>
        <v>0</v>
      </c>
      <c r="GE22" s="233" t="s">
        <v>827</v>
      </c>
      <c r="GF22" s="209">
        <v>0</v>
      </c>
      <c r="GG22" s="223">
        <v>0</v>
      </c>
      <c r="GH22" s="223">
        <f t="shared" ref="GH22" si="123">GF22*GG22</f>
        <v>0</v>
      </c>
      <c r="GI22" s="233" t="s">
        <v>827</v>
      </c>
      <c r="GJ22" s="209">
        <v>0</v>
      </c>
      <c r="GK22" s="223">
        <v>0</v>
      </c>
      <c r="GL22" s="223">
        <f t="shared" si="70"/>
        <v>0</v>
      </c>
      <c r="GM22" s="233" t="s">
        <v>827</v>
      </c>
      <c r="GN22" s="209">
        <v>0</v>
      </c>
      <c r="GO22" s="223">
        <v>0</v>
      </c>
      <c r="GP22" s="223">
        <f t="shared" si="71"/>
        <v>0</v>
      </c>
      <c r="GQ22" s="233" t="s">
        <v>827</v>
      </c>
      <c r="GR22" s="209">
        <v>0</v>
      </c>
      <c r="GS22" s="223">
        <v>0</v>
      </c>
      <c r="GT22" s="223">
        <f t="shared" si="72"/>
        <v>0</v>
      </c>
      <c r="GU22" s="233" t="s">
        <v>827</v>
      </c>
      <c r="GV22" s="209">
        <v>0</v>
      </c>
      <c r="GW22" s="223">
        <v>0</v>
      </c>
      <c r="GX22" s="223">
        <f t="shared" si="73"/>
        <v>0</v>
      </c>
      <c r="GY22" s="230"/>
      <c r="GZ22" s="233" t="s">
        <v>827</v>
      </c>
      <c r="HA22" s="209">
        <v>0</v>
      </c>
      <c r="HB22" s="223">
        <v>0</v>
      </c>
      <c r="HC22" s="223">
        <f t="shared" si="74"/>
        <v>0</v>
      </c>
      <c r="HD22" s="233" t="s">
        <v>827</v>
      </c>
      <c r="HE22" s="209">
        <v>0</v>
      </c>
      <c r="HF22" s="223">
        <v>0</v>
      </c>
      <c r="HG22" s="223">
        <f t="shared" si="75"/>
        <v>0</v>
      </c>
      <c r="HH22" s="230"/>
      <c r="HI22" s="233" t="s">
        <v>827</v>
      </c>
      <c r="HJ22" s="209">
        <v>0</v>
      </c>
      <c r="HK22" s="223">
        <v>0</v>
      </c>
      <c r="HL22" s="223">
        <f t="shared" si="76"/>
        <v>0</v>
      </c>
      <c r="HM22" s="230"/>
      <c r="HN22" s="230"/>
      <c r="HO22" s="233" t="s">
        <v>827</v>
      </c>
      <c r="HP22" s="209">
        <v>0</v>
      </c>
      <c r="HQ22" s="223">
        <v>0</v>
      </c>
      <c r="HR22" s="223">
        <f t="shared" ref="HR22" si="124">HP22*HQ22</f>
        <v>0</v>
      </c>
      <c r="HS22" s="230"/>
      <c r="HT22" s="230"/>
      <c r="HU22" s="230"/>
      <c r="HV22" s="230"/>
      <c r="HW22" s="230"/>
      <c r="HX22" s="230"/>
      <c r="HY22" s="230"/>
      <c r="HZ22" s="230"/>
      <c r="IA22" s="230"/>
      <c r="IB22" s="230"/>
      <c r="IC22" s="230"/>
      <c r="ID22" s="230"/>
      <c r="IE22" s="230"/>
      <c r="IF22" s="230"/>
    </row>
    <row r="23" spans="1:240" x14ac:dyDescent="0.2">
      <c r="A23" s="209" t="s">
        <v>760</v>
      </c>
      <c r="B23" s="209" t="s">
        <v>761</v>
      </c>
      <c r="C23" s="209" t="s">
        <v>779</v>
      </c>
      <c r="D23" s="211">
        <v>8</v>
      </c>
      <c r="E23" s="210">
        <v>184205.86666666699</v>
      </c>
      <c r="F23" s="212">
        <f t="shared" si="31"/>
        <v>23025.733333333374</v>
      </c>
      <c r="G23" s="209">
        <v>2</v>
      </c>
      <c r="H23" s="209">
        <f t="shared" si="114"/>
        <v>2</v>
      </c>
      <c r="I23" s="212">
        <f t="shared" si="115"/>
        <v>24583.333333333332</v>
      </c>
      <c r="J23" s="212">
        <f t="shared" si="116"/>
        <v>98333.333333333328</v>
      </c>
      <c r="K23" s="211">
        <v>8</v>
      </c>
      <c r="L23" s="217">
        <f t="shared" si="33"/>
        <v>2878.2166666666717</v>
      </c>
      <c r="M23" s="217">
        <f t="shared" si="34"/>
        <v>23025.733333333374</v>
      </c>
      <c r="N23" s="209">
        <v>1</v>
      </c>
      <c r="O23" s="209">
        <v>1</v>
      </c>
      <c r="P23" s="217">
        <f>(700000/30)/8</f>
        <v>2916.6666666666665</v>
      </c>
      <c r="Q23" s="217">
        <f t="shared" si="96"/>
        <v>2916.6666666666665</v>
      </c>
      <c r="R23" s="209">
        <f t="shared" si="108"/>
        <v>64</v>
      </c>
      <c r="S23" s="209">
        <v>0</v>
      </c>
      <c r="T23" s="212">
        <f t="shared" si="109"/>
        <v>2878.2166666666717</v>
      </c>
      <c r="U23" s="212">
        <f t="shared" si="110"/>
        <v>0</v>
      </c>
      <c r="V23" s="230"/>
      <c r="W23" s="209">
        <v>1</v>
      </c>
      <c r="X23" s="209">
        <v>0</v>
      </c>
      <c r="Y23" s="223">
        <f>((1400000+2500000)/30)/8</f>
        <v>16250</v>
      </c>
      <c r="Z23" s="223">
        <f t="shared" si="35"/>
        <v>0</v>
      </c>
      <c r="AA23" s="209">
        <v>1</v>
      </c>
      <c r="AB23" s="209">
        <v>2</v>
      </c>
      <c r="AC23" s="223">
        <f t="shared" si="117"/>
        <v>7500</v>
      </c>
      <c r="AD23" s="223">
        <f t="shared" si="118"/>
        <v>15000</v>
      </c>
      <c r="AE23" s="209">
        <v>0</v>
      </c>
      <c r="AF23" s="209">
        <v>0</v>
      </c>
      <c r="AG23" s="223">
        <v>0</v>
      </c>
      <c r="AH23" s="223">
        <f t="shared" si="36"/>
        <v>0</v>
      </c>
      <c r="AI23" s="209">
        <v>2</v>
      </c>
      <c r="AJ23" s="209">
        <v>1</v>
      </c>
      <c r="AK23" s="223">
        <f>(900000/30)/8</f>
        <v>3750</v>
      </c>
      <c r="AL23" s="223">
        <f t="shared" si="119"/>
        <v>7500</v>
      </c>
      <c r="AM23" s="209">
        <v>1</v>
      </c>
      <c r="AN23" s="209">
        <v>1</v>
      </c>
      <c r="AO23" s="226">
        <f t="shared" si="83"/>
        <v>7500</v>
      </c>
      <c r="AP23" s="223">
        <f t="shared" si="4"/>
        <v>7500</v>
      </c>
      <c r="AQ23" s="209">
        <v>0</v>
      </c>
      <c r="AR23" s="209">
        <v>0</v>
      </c>
      <c r="AS23" s="223">
        <v>0</v>
      </c>
      <c r="AT23" s="223">
        <f t="shared" si="38"/>
        <v>0</v>
      </c>
      <c r="AU23" s="209">
        <v>0</v>
      </c>
      <c r="AV23" s="209">
        <v>0</v>
      </c>
      <c r="AW23" s="223">
        <v>0</v>
      </c>
      <c r="AX23" s="223">
        <f t="shared" si="39"/>
        <v>0</v>
      </c>
      <c r="AY23" s="209">
        <v>0</v>
      </c>
      <c r="AZ23" s="209">
        <v>0</v>
      </c>
      <c r="BA23" s="223">
        <v>0</v>
      </c>
      <c r="BB23" s="223">
        <f t="shared" si="40"/>
        <v>0</v>
      </c>
      <c r="BC23" s="209">
        <v>0</v>
      </c>
      <c r="BD23" s="209">
        <v>0</v>
      </c>
      <c r="BE23" s="223">
        <v>0</v>
      </c>
      <c r="BF23" s="223">
        <f t="shared" si="41"/>
        <v>0</v>
      </c>
      <c r="BG23" s="209">
        <v>0</v>
      </c>
      <c r="BH23" s="209">
        <v>0</v>
      </c>
      <c r="BI23" s="223">
        <v>0</v>
      </c>
      <c r="BJ23" s="223">
        <f t="shared" si="42"/>
        <v>0</v>
      </c>
      <c r="BK23" s="209">
        <v>1</v>
      </c>
      <c r="BL23" s="209">
        <v>1</v>
      </c>
      <c r="BM23" s="223">
        <f t="shared" si="43"/>
        <v>20833.333333333332</v>
      </c>
      <c r="BN23" s="223">
        <f t="shared" si="44"/>
        <v>20833.333333333332</v>
      </c>
      <c r="BO23" s="209">
        <v>0</v>
      </c>
      <c r="BP23" s="209">
        <v>0</v>
      </c>
      <c r="BQ23" s="223">
        <v>0</v>
      </c>
      <c r="BR23" s="223">
        <f t="shared" si="46"/>
        <v>0</v>
      </c>
      <c r="BS23" s="209">
        <v>0</v>
      </c>
      <c r="BT23" s="209">
        <v>0</v>
      </c>
      <c r="BU23" s="223">
        <v>0</v>
      </c>
      <c r="BV23" s="223">
        <f t="shared" si="47"/>
        <v>0</v>
      </c>
      <c r="BW23" s="209">
        <v>0</v>
      </c>
      <c r="BX23" s="209">
        <v>0</v>
      </c>
      <c r="BY23" s="223">
        <v>0</v>
      </c>
      <c r="BZ23" s="223">
        <f t="shared" si="81"/>
        <v>0</v>
      </c>
      <c r="CA23" s="209">
        <v>0</v>
      </c>
      <c r="CB23" s="209">
        <v>0</v>
      </c>
      <c r="CC23" s="223">
        <v>0</v>
      </c>
      <c r="CD23" s="223">
        <f t="shared" si="49"/>
        <v>0</v>
      </c>
      <c r="CE23" s="209">
        <v>0</v>
      </c>
      <c r="CF23" s="209">
        <v>0</v>
      </c>
      <c r="CG23" s="223">
        <v>0</v>
      </c>
      <c r="CH23" s="223">
        <f t="shared" si="50"/>
        <v>0</v>
      </c>
      <c r="CI23" s="209">
        <v>0</v>
      </c>
      <c r="CJ23" s="209">
        <v>0</v>
      </c>
      <c r="CK23" s="223">
        <v>0</v>
      </c>
      <c r="CL23" s="223">
        <f t="shared" si="84"/>
        <v>0</v>
      </c>
      <c r="CM23" s="209">
        <v>0</v>
      </c>
      <c r="CN23" s="209">
        <v>0</v>
      </c>
      <c r="CO23" s="226">
        <v>0</v>
      </c>
      <c r="CP23" s="226">
        <f t="shared" si="52"/>
        <v>0</v>
      </c>
      <c r="CQ23" s="209">
        <v>0</v>
      </c>
      <c r="CR23" s="209">
        <v>0</v>
      </c>
      <c r="CS23" s="226">
        <v>0</v>
      </c>
      <c r="CT23" s="226">
        <f t="shared" si="53"/>
        <v>0</v>
      </c>
      <c r="CU23" s="209" t="s">
        <v>827</v>
      </c>
      <c r="CV23" s="209">
        <v>0</v>
      </c>
      <c r="CW23" s="226">
        <v>0</v>
      </c>
      <c r="CX23" s="226">
        <f t="shared" si="54"/>
        <v>0</v>
      </c>
      <c r="CY23" s="209" t="s">
        <v>827</v>
      </c>
      <c r="CZ23" s="209">
        <v>0</v>
      </c>
      <c r="DA23" s="226">
        <v>0</v>
      </c>
      <c r="DB23" s="226">
        <f t="shared" si="55"/>
        <v>0</v>
      </c>
      <c r="DC23" s="209" t="s">
        <v>827</v>
      </c>
      <c r="DD23" s="209">
        <v>0</v>
      </c>
      <c r="DE23" s="226">
        <v>0</v>
      </c>
      <c r="DF23" s="226">
        <f t="shared" si="56"/>
        <v>0</v>
      </c>
      <c r="DG23" s="209" t="s">
        <v>827</v>
      </c>
      <c r="DH23" s="209">
        <v>0</v>
      </c>
      <c r="DI23" s="226">
        <v>0</v>
      </c>
      <c r="DJ23" s="226">
        <f t="shared" si="57"/>
        <v>0</v>
      </c>
      <c r="DK23" s="209" t="s">
        <v>827</v>
      </c>
      <c r="DL23" s="209">
        <v>0</v>
      </c>
      <c r="DM23" s="226">
        <v>0</v>
      </c>
      <c r="DN23" s="226">
        <f t="shared" si="58"/>
        <v>0</v>
      </c>
      <c r="DO23" s="209" t="s">
        <v>827</v>
      </c>
      <c r="DP23" s="209">
        <v>0</v>
      </c>
      <c r="DQ23" s="226">
        <v>0</v>
      </c>
      <c r="DR23" s="226">
        <f t="shared" si="59"/>
        <v>0</v>
      </c>
      <c r="DS23" s="209" t="s">
        <v>827</v>
      </c>
      <c r="DT23" s="209">
        <v>0</v>
      </c>
      <c r="DU23" s="226">
        <v>0</v>
      </c>
      <c r="DV23" s="226">
        <f t="shared" si="60"/>
        <v>0</v>
      </c>
      <c r="DW23" s="209" t="s">
        <v>827</v>
      </c>
      <c r="DX23" s="209">
        <v>0</v>
      </c>
      <c r="DY23" s="226">
        <v>0</v>
      </c>
      <c r="DZ23" s="226">
        <f t="shared" si="61"/>
        <v>0</v>
      </c>
      <c r="EA23" s="209" t="s">
        <v>827</v>
      </c>
      <c r="EB23" s="209">
        <v>0</v>
      </c>
      <c r="EC23" s="226">
        <v>0</v>
      </c>
      <c r="ED23" s="226">
        <f t="shared" si="62"/>
        <v>0</v>
      </c>
      <c r="EE23" s="209" t="s">
        <v>827</v>
      </c>
      <c r="EF23" s="209">
        <v>0</v>
      </c>
      <c r="EG23" s="226">
        <v>0</v>
      </c>
      <c r="EH23" s="226">
        <f t="shared" si="63"/>
        <v>0</v>
      </c>
      <c r="EI23" s="209" t="s">
        <v>827</v>
      </c>
      <c r="EJ23" s="209">
        <v>0</v>
      </c>
      <c r="EK23" s="226">
        <v>0</v>
      </c>
      <c r="EL23" s="226">
        <f t="shared" si="64"/>
        <v>0</v>
      </c>
      <c r="EM23" s="209" t="s">
        <v>827</v>
      </c>
      <c r="EN23" s="209">
        <v>0</v>
      </c>
      <c r="EO23" s="226">
        <v>0</v>
      </c>
      <c r="EP23" s="226">
        <f t="shared" si="65"/>
        <v>0</v>
      </c>
      <c r="EQ23" s="209" t="s">
        <v>827</v>
      </c>
      <c r="ER23" s="211" t="s">
        <v>167</v>
      </c>
      <c r="ES23" s="226">
        <f t="shared" ref="ES23:ES24" si="125">84635*2</f>
        <v>169270</v>
      </c>
      <c r="ET23" s="209" t="s">
        <v>827</v>
      </c>
      <c r="EU23" s="211" t="s">
        <v>167</v>
      </c>
      <c r="EV23" s="226">
        <v>0</v>
      </c>
      <c r="EW23" s="209" t="s">
        <v>827</v>
      </c>
      <c r="EX23" s="211" t="s">
        <v>167</v>
      </c>
      <c r="EY23" s="226">
        <v>0</v>
      </c>
      <c r="EZ23" s="209" t="s">
        <v>827</v>
      </c>
      <c r="FA23" s="226">
        <v>0</v>
      </c>
      <c r="FB23" s="209" t="s">
        <v>827</v>
      </c>
      <c r="FC23" s="226">
        <v>0</v>
      </c>
      <c r="FD23" s="209" t="s">
        <v>827</v>
      </c>
      <c r="FE23" s="226">
        <v>0</v>
      </c>
      <c r="FF23" s="209" t="s">
        <v>827</v>
      </c>
      <c r="FG23" s="226">
        <v>0</v>
      </c>
      <c r="FH23" s="209" t="s">
        <v>827</v>
      </c>
      <c r="FI23" s="226">
        <v>0</v>
      </c>
      <c r="FJ23" s="230"/>
      <c r="FK23" s="230"/>
      <c r="FL23" s="233" t="s">
        <v>959</v>
      </c>
      <c r="FM23" s="209">
        <v>1</v>
      </c>
      <c r="FN23" s="223">
        <f t="shared" ref="FN23:FN24" si="126">F23*D23</f>
        <v>184205.86666666699</v>
      </c>
      <c r="FO23" s="223">
        <f t="shared" si="66"/>
        <v>184205.86666666699</v>
      </c>
      <c r="FP23" s="233" t="s">
        <v>827</v>
      </c>
      <c r="FQ23" s="209">
        <v>0</v>
      </c>
      <c r="FR23" s="223">
        <v>0</v>
      </c>
      <c r="FS23" s="223">
        <f t="shared" si="67"/>
        <v>0</v>
      </c>
      <c r="FT23" s="230"/>
      <c r="FU23" s="230"/>
      <c r="FV23" s="233" t="s">
        <v>827</v>
      </c>
      <c r="FW23" s="209">
        <v>0</v>
      </c>
      <c r="FX23" s="223">
        <v>0</v>
      </c>
      <c r="FY23" s="223">
        <f t="shared" ref="FY23:FY28" si="127">FW23*FX23</f>
        <v>0</v>
      </c>
      <c r="FZ23" s="230"/>
      <c r="GA23" s="233" t="s">
        <v>827</v>
      </c>
      <c r="GB23" s="209">
        <v>0</v>
      </c>
      <c r="GC23" s="223">
        <v>0</v>
      </c>
      <c r="GD23" s="223">
        <f t="shared" si="68"/>
        <v>0</v>
      </c>
      <c r="GE23" s="233" t="s">
        <v>827</v>
      </c>
      <c r="GF23" s="209">
        <v>0</v>
      </c>
      <c r="GG23" s="223">
        <v>0</v>
      </c>
      <c r="GH23" s="223">
        <f t="shared" ref="GH23:GH32" si="128">GF23*GG23</f>
        <v>0</v>
      </c>
      <c r="GI23" s="233" t="s">
        <v>827</v>
      </c>
      <c r="GJ23" s="209">
        <v>0</v>
      </c>
      <c r="GK23" s="223">
        <v>0</v>
      </c>
      <c r="GL23" s="223">
        <f t="shared" ref="GL23" si="129">GJ23*GK23</f>
        <v>0</v>
      </c>
      <c r="GM23" s="233" t="s">
        <v>827</v>
      </c>
      <c r="GN23" s="209">
        <v>0</v>
      </c>
      <c r="GO23" s="223">
        <v>0</v>
      </c>
      <c r="GP23" s="223">
        <f t="shared" si="71"/>
        <v>0</v>
      </c>
      <c r="GQ23" s="233" t="s">
        <v>827</v>
      </c>
      <c r="GR23" s="209">
        <v>0</v>
      </c>
      <c r="GS23" s="223">
        <v>0</v>
      </c>
      <c r="GT23" s="223">
        <f t="shared" si="72"/>
        <v>0</v>
      </c>
      <c r="GU23" s="233" t="s">
        <v>827</v>
      </c>
      <c r="GV23" s="209">
        <v>0</v>
      </c>
      <c r="GW23" s="223">
        <v>0</v>
      </c>
      <c r="GX23" s="223">
        <f t="shared" si="73"/>
        <v>0</v>
      </c>
      <c r="GY23" s="230"/>
      <c r="GZ23" s="233" t="s">
        <v>827</v>
      </c>
      <c r="HA23" s="209">
        <v>0</v>
      </c>
      <c r="HB23" s="223">
        <v>0</v>
      </c>
      <c r="HC23" s="223">
        <f t="shared" si="74"/>
        <v>0</v>
      </c>
      <c r="HD23" s="233" t="s">
        <v>827</v>
      </c>
      <c r="HE23" s="209">
        <v>0</v>
      </c>
      <c r="HF23" s="223">
        <v>0</v>
      </c>
      <c r="HG23" s="223">
        <f t="shared" si="75"/>
        <v>0</v>
      </c>
      <c r="HH23" s="230"/>
      <c r="HI23" s="233" t="s">
        <v>827</v>
      </c>
      <c r="HJ23" s="209">
        <v>0</v>
      </c>
      <c r="HK23" s="223">
        <v>0</v>
      </c>
      <c r="HL23" s="223">
        <f t="shared" si="76"/>
        <v>0</v>
      </c>
      <c r="HM23" s="230"/>
      <c r="HN23" s="230"/>
      <c r="HO23" s="233" t="s">
        <v>827</v>
      </c>
      <c r="HP23" s="209">
        <v>0</v>
      </c>
      <c r="HQ23" s="223">
        <v>0</v>
      </c>
      <c r="HR23" s="223">
        <f t="shared" ref="HR23:HR32" si="130">HP23*HQ23</f>
        <v>0</v>
      </c>
      <c r="HS23" s="230"/>
      <c r="HT23" s="230"/>
      <c r="HU23" s="230"/>
      <c r="HV23" s="230"/>
      <c r="HW23" s="230"/>
      <c r="HX23" s="230"/>
      <c r="HY23" s="230"/>
      <c r="HZ23" s="230"/>
      <c r="IA23" s="230"/>
      <c r="IB23" s="230"/>
      <c r="IC23" s="230"/>
      <c r="ID23" s="230"/>
      <c r="IE23" s="230"/>
      <c r="IF23" s="230"/>
    </row>
    <row r="24" spans="1:240" x14ac:dyDescent="0.2">
      <c r="A24" s="209" t="s">
        <v>760</v>
      </c>
      <c r="B24" s="209" t="s">
        <v>761</v>
      </c>
      <c r="C24" s="209" t="s">
        <v>779</v>
      </c>
      <c r="D24" s="211">
        <v>9</v>
      </c>
      <c r="E24" s="210">
        <v>207231.6</v>
      </c>
      <c r="F24" s="212">
        <f t="shared" si="31"/>
        <v>23025.733333333334</v>
      </c>
      <c r="G24" s="209">
        <v>2</v>
      </c>
      <c r="H24" s="209">
        <f t="shared" si="114"/>
        <v>2</v>
      </c>
      <c r="I24" s="212">
        <f t="shared" si="115"/>
        <v>24583.333333333332</v>
      </c>
      <c r="J24" s="212">
        <f t="shared" ref="J24:J31" si="131">G24*H24*I24</f>
        <v>98333.333333333328</v>
      </c>
      <c r="K24" s="211">
        <v>8</v>
      </c>
      <c r="L24" s="217">
        <f t="shared" si="33"/>
        <v>2878.2166666666667</v>
      </c>
      <c r="M24" s="217">
        <f t="shared" si="34"/>
        <v>23025.733333333334</v>
      </c>
      <c r="N24" s="209">
        <v>1</v>
      </c>
      <c r="O24" s="209">
        <v>1</v>
      </c>
      <c r="P24" s="217">
        <f>(700000/30)/8</f>
        <v>2916.6666666666665</v>
      </c>
      <c r="Q24" s="217">
        <f t="shared" si="96"/>
        <v>2916.6666666666665</v>
      </c>
      <c r="R24" s="209">
        <f t="shared" si="108"/>
        <v>72</v>
      </c>
      <c r="S24" s="209">
        <v>0</v>
      </c>
      <c r="T24" s="212">
        <f t="shared" si="109"/>
        <v>2878.2166666666667</v>
      </c>
      <c r="U24" s="212">
        <f t="shared" si="110"/>
        <v>0</v>
      </c>
      <c r="V24" s="230"/>
      <c r="W24" s="209">
        <v>1</v>
      </c>
      <c r="X24" s="209">
        <v>0</v>
      </c>
      <c r="Y24" s="223">
        <f>((1400000+2500000)/30)/8</f>
        <v>16250</v>
      </c>
      <c r="Z24" s="223">
        <f t="shared" si="35"/>
        <v>0</v>
      </c>
      <c r="AA24" s="209">
        <v>1</v>
      </c>
      <c r="AB24" s="209">
        <v>2</v>
      </c>
      <c r="AC24" s="223">
        <f t="shared" si="117"/>
        <v>7500</v>
      </c>
      <c r="AD24" s="223">
        <f t="shared" si="118"/>
        <v>15000</v>
      </c>
      <c r="AE24" s="209">
        <v>0</v>
      </c>
      <c r="AF24" s="209">
        <v>0</v>
      </c>
      <c r="AG24" s="223">
        <v>0</v>
      </c>
      <c r="AH24" s="223">
        <f t="shared" si="36"/>
        <v>0</v>
      </c>
      <c r="AI24" s="209">
        <v>2</v>
      </c>
      <c r="AJ24" s="209">
        <v>1</v>
      </c>
      <c r="AK24" s="223">
        <f>(900000/30)/8</f>
        <v>3750</v>
      </c>
      <c r="AL24" s="223">
        <f t="shared" si="119"/>
        <v>7500</v>
      </c>
      <c r="AM24" s="209">
        <v>1</v>
      </c>
      <c r="AN24" s="209">
        <v>1</v>
      </c>
      <c r="AO24" s="226">
        <f t="shared" si="83"/>
        <v>7500</v>
      </c>
      <c r="AP24" s="223">
        <f t="shared" si="4"/>
        <v>7500</v>
      </c>
      <c r="AQ24" s="209">
        <v>0</v>
      </c>
      <c r="AR24" s="209">
        <v>0</v>
      </c>
      <c r="AS24" s="223">
        <v>0</v>
      </c>
      <c r="AT24" s="223">
        <f t="shared" si="38"/>
        <v>0</v>
      </c>
      <c r="AU24" s="209">
        <v>0</v>
      </c>
      <c r="AV24" s="209">
        <v>0</v>
      </c>
      <c r="AW24" s="223">
        <v>0</v>
      </c>
      <c r="AX24" s="223">
        <f t="shared" si="39"/>
        <v>0</v>
      </c>
      <c r="AY24" s="209">
        <v>0</v>
      </c>
      <c r="AZ24" s="209">
        <v>0</v>
      </c>
      <c r="BA24" s="223">
        <v>0</v>
      </c>
      <c r="BB24" s="223">
        <f t="shared" si="40"/>
        <v>0</v>
      </c>
      <c r="BC24" s="209">
        <v>0</v>
      </c>
      <c r="BD24" s="209">
        <v>0</v>
      </c>
      <c r="BE24" s="223">
        <v>0</v>
      </c>
      <c r="BF24" s="223">
        <f t="shared" si="41"/>
        <v>0</v>
      </c>
      <c r="BG24" s="209">
        <v>0</v>
      </c>
      <c r="BH24" s="209">
        <v>0</v>
      </c>
      <c r="BI24" s="223">
        <v>0</v>
      </c>
      <c r="BJ24" s="223">
        <f t="shared" si="42"/>
        <v>0</v>
      </c>
      <c r="BK24" s="209">
        <v>1</v>
      </c>
      <c r="BL24" s="209">
        <v>1</v>
      </c>
      <c r="BM24" s="223">
        <f t="shared" si="43"/>
        <v>20833.333333333332</v>
      </c>
      <c r="BN24" s="223">
        <f t="shared" si="44"/>
        <v>20833.333333333332</v>
      </c>
      <c r="BO24" s="209">
        <v>0</v>
      </c>
      <c r="BP24" s="209">
        <v>0</v>
      </c>
      <c r="BQ24" s="223">
        <v>0</v>
      </c>
      <c r="BR24" s="223">
        <f t="shared" si="46"/>
        <v>0</v>
      </c>
      <c r="BS24" s="209">
        <v>0</v>
      </c>
      <c r="BT24" s="209">
        <v>0</v>
      </c>
      <c r="BU24" s="223">
        <v>0</v>
      </c>
      <c r="BV24" s="223">
        <f t="shared" si="47"/>
        <v>0</v>
      </c>
      <c r="BW24" s="209">
        <v>0</v>
      </c>
      <c r="BX24" s="209">
        <v>0</v>
      </c>
      <c r="BY24" s="223">
        <v>0</v>
      </c>
      <c r="BZ24" s="223">
        <f t="shared" si="81"/>
        <v>0</v>
      </c>
      <c r="CA24" s="209">
        <v>0</v>
      </c>
      <c r="CB24" s="209">
        <v>0</v>
      </c>
      <c r="CC24" s="223">
        <v>0</v>
      </c>
      <c r="CD24" s="223">
        <f t="shared" si="49"/>
        <v>0</v>
      </c>
      <c r="CE24" s="209">
        <v>0</v>
      </c>
      <c r="CF24" s="209">
        <v>0</v>
      </c>
      <c r="CG24" s="223">
        <v>0</v>
      </c>
      <c r="CH24" s="223">
        <f t="shared" si="50"/>
        <v>0</v>
      </c>
      <c r="CI24" s="209">
        <v>0</v>
      </c>
      <c r="CJ24" s="209">
        <v>0</v>
      </c>
      <c r="CK24" s="223">
        <v>0</v>
      </c>
      <c r="CL24" s="223">
        <f t="shared" si="84"/>
        <v>0</v>
      </c>
      <c r="CM24" s="209">
        <v>0</v>
      </c>
      <c r="CN24" s="209">
        <v>0</v>
      </c>
      <c r="CO24" s="226">
        <v>0</v>
      </c>
      <c r="CP24" s="226">
        <f t="shared" si="52"/>
        <v>0</v>
      </c>
      <c r="CQ24" s="209">
        <v>0</v>
      </c>
      <c r="CR24" s="209">
        <v>0</v>
      </c>
      <c r="CS24" s="226">
        <v>0</v>
      </c>
      <c r="CT24" s="226">
        <f t="shared" si="53"/>
        <v>0</v>
      </c>
      <c r="CU24" s="209" t="s">
        <v>827</v>
      </c>
      <c r="CV24" s="209">
        <v>0</v>
      </c>
      <c r="CW24" s="226">
        <v>0</v>
      </c>
      <c r="CX24" s="226">
        <f t="shared" si="54"/>
        <v>0</v>
      </c>
      <c r="CY24" s="209" t="s">
        <v>827</v>
      </c>
      <c r="CZ24" s="209">
        <v>0</v>
      </c>
      <c r="DA24" s="226">
        <v>0</v>
      </c>
      <c r="DB24" s="226">
        <f t="shared" si="55"/>
        <v>0</v>
      </c>
      <c r="DC24" s="209" t="s">
        <v>827</v>
      </c>
      <c r="DD24" s="209">
        <v>0</v>
      </c>
      <c r="DE24" s="226">
        <v>0</v>
      </c>
      <c r="DF24" s="226">
        <f t="shared" si="56"/>
        <v>0</v>
      </c>
      <c r="DG24" s="209" t="s">
        <v>827</v>
      </c>
      <c r="DH24" s="209">
        <v>0</v>
      </c>
      <c r="DI24" s="226">
        <v>0</v>
      </c>
      <c r="DJ24" s="226">
        <f t="shared" si="57"/>
        <v>0</v>
      </c>
      <c r="DK24" s="209" t="s">
        <v>827</v>
      </c>
      <c r="DL24" s="209">
        <v>0</v>
      </c>
      <c r="DM24" s="226">
        <v>0</v>
      </c>
      <c r="DN24" s="226">
        <f t="shared" si="58"/>
        <v>0</v>
      </c>
      <c r="DO24" s="209" t="s">
        <v>827</v>
      </c>
      <c r="DP24" s="209">
        <v>0</v>
      </c>
      <c r="DQ24" s="226">
        <v>0</v>
      </c>
      <c r="DR24" s="226">
        <f t="shared" si="59"/>
        <v>0</v>
      </c>
      <c r="DS24" s="209" t="s">
        <v>827</v>
      </c>
      <c r="DT24" s="209">
        <v>0</v>
      </c>
      <c r="DU24" s="226">
        <v>0</v>
      </c>
      <c r="DV24" s="226">
        <f t="shared" si="60"/>
        <v>0</v>
      </c>
      <c r="DW24" s="209" t="s">
        <v>827</v>
      </c>
      <c r="DX24" s="209">
        <v>0</v>
      </c>
      <c r="DY24" s="226">
        <v>0</v>
      </c>
      <c r="DZ24" s="226">
        <f t="shared" si="61"/>
        <v>0</v>
      </c>
      <c r="EA24" s="209" t="s">
        <v>827</v>
      </c>
      <c r="EB24" s="209">
        <v>0</v>
      </c>
      <c r="EC24" s="226">
        <v>0</v>
      </c>
      <c r="ED24" s="226">
        <f t="shared" si="62"/>
        <v>0</v>
      </c>
      <c r="EE24" s="209" t="s">
        <v>827</v>
      </c>
      <c r="EF24" s="209">
        <v>0</v>
      </c>
      <c r="EG24" s="226">
        <v>0</v>
      </c>
      <c r="EH24" s="226">
        <f t="shared" si="63"/>
        <v>0</v>
      </c>
      <c r="EI24" s="209" t="s">
        <v>827</v>
      </c>
      <c r="EJ24" s="209">
        <v>0</v>
      </c>
      <c r="EK24" s="226">
        <v>0</v>
      </c>
      <c r="EL24" s="226">
        <f t="shared" si="64"/>
        <v>0</v>
      </c>
      <c r="EM24" s="209" t="s">
        <v>827</v>
      </c>
      <c r="EN24" s="209">
        <v>0</v>
      </c>
      <c r="EO24" s="226">
        <v>0</v>
      </c>
      <c r="EP24" s="226">
        <f t="shared" si="65"/>
        <v>0</v>
      </c>
      <c r="EQ24" s="209" t="s">
        <v>827</v>
      </c>
      <c r="ER24" s="211" t="s">
        <v>167</v>
      </c>
      <c r="ES24" s="226">
        <f t="shared" si="125"/>
        <v>169270</v>
      </c>
      <c r="ET24" s="209" t="s">
        <v>827</v>
      </c>
      <c r="EU24" s="211" t="s">
        <v>167</v>
      </c>
      <c r="EV24" s="226">
        <v>0</v>
      </c>
      <c r="EW24" s="209" t="s">
        <v>827</v>
      </c>
      <c r="EX24" s="211" t="s">
        <v>167</v>
      </c>
      <c r="EY24" s="226">
        <v>0</v>
      </c>
      <c r="EZ24" s="209" t="s">
        <v>827</v>
      </c>
      <c r="FA24" s="226">
        <v>0</v>
      </c>
      <c r="FB24" s="209" t="s">
        <v>827</v>
      </c>
      <c r="FC24" s="226">
        <v>0</v>
      </c>
      <c r="FD24" s="209" t="s">
        <v>827</v>
      </c>
      <c r="FE24" s="226">
        <v>0</v>
      </c>
      <c r="FF24" s="209" t="s">
        <v>827</v>
      </c>
      <c r="FG24" s="226">
        <v>0</v>
      </c>
      <c r="FH24" s="209" t="s">
        <v>827</v>
      </c>
      <c r="FI24" s="226">
        <v>0</v>
      </c>
      <c r="FJ24" s="230"/>
      <c r="FK24" s="230"/>
      <c r="FL24" s="233" t="s">
        <v>959</v>
      </c>
      <c r="FM24" s="209">
        <v>1</v>
      </c>
      <c r="FN24" s="223">
        <f t="shared" si="126"/>
        <v>207231.6</v>
      </c>
      <c r="FO24" s="223">
        <f t="shared" si="66"/>
        <v>207231.6</v>
      </c>
      <c r="FP24" s="233" t="s">
        <v>827</v>
      </c>
      <c r="FQ24" s="209">
        <v>0</v>
      </c>
      <c r="FR24" s="223">
        <v>0</v>
      </c>
      <c r="FS24" s="223">
        <f t="shared" si="67"/>
        <v>0</v>
      </c>
      <c r="FT24" s="230"/>
      <c r="FU24" s="230"/>
      <c r="FV24" s="233" t="s">
        <v>827</v>
      </c>
      <c r="FW24" s="209">
        <v>0</v>
      </c>
      <c r="FX24" s="223">
        <v>0</v>
      </c>
      <c r="FY24" s="223">
        <f t="shared" si="127"/>
        <v>0</v>
      </c>
      <c r="FZ24" s="230"/>
      <c r="GA24" s="233" t="s">
        <v>827</v>
      </c>
      <c r="GB24" s="209">
        <v>0</v>
      </c>
      <c r="GC24" s="223">
        <v>0</v>
      </c>
      <c r="GD24" s="223">
        <f t="shared" si="68"/>
        <v>0</v>
      </c>
      <c r="GE24" s="233" t="s">
        <v>827</v>
      </c>
      <c r="GF24" s="209">
        <v>0</v>
      </c>
      <c r="GG24" s="223">
        <v>0</v>
      </c>
      <c r="GH24" s="223">
        <f t="shared" si="128"/>
        <v>0</v>
      </c>
      <c r="GI24" s="233" t="s">
        <v>827</v>
      </c>
      <c r="GJ24" s="209">
        <v>0</v>
      </c>
      <c r="GK24" s="223">
        <v>0</v>
      </c>
      <c r="GL24" s="223">
        <f t="shared" ref="GL24:GL32" si="132">GJ24*GK24</f>
        <v>0</v>
      </c>
      <c r="GM24" s="233" t="s">
        <v>827</v>
      </c>
      <c r="GN24" s="209">
        <v>0</v>
      </c>
      <c r="GO24" s="223">
        <v>0</v>
      </c>
      <c r="GP24" s="223">
        <f t="shared" si="71"/>
        <v>0</v>
      </c>
      <c r="GQ24" s="233" t="s">
        <v>827</v>
      </c>
      <c r="GR24" s="209">
        <v>0</v>
      </c>
      <c r="GS24" s="223">
        <v>0</v>
      </c>
      <c r="GT24" s="223">
        <f t="shared" si="72"/>
        <v>0</v>
      </c>
      <c r="GU24" s="233" t="s">
        <v>827</v>
      </c>
      <c r="GV24" s="209">
        <v>0</v>
      </c>
      <c r="GW24" s="223">
        <v>0</v>
      </c>
      <c r="GX24" s="223">
        <f t="shared" si="73"/>
        <v>0</v>
      </c>
      <c r="GY24" s="230"/>
      <c r="GZ24" s="233" t="s">
        <v>827</v>
      </c>
      <c r="HA24" s="209">
        <v>0</v>
      </c>
      <c r="HB24" s="223">
        <v>0</v>
      </c>
      <c r="HC24" s="223">
        <f t="shared" si="74"/>
        <v>0</v>
      </c>
      <c r="HD24" s="233" t="s">
        <v>827</v>
      </c>
      <c r="HE24" s="209">
        <v>0</v>
      </c>
      <c r="HF24" s="223">
        <v>0</v>
      </c>
      <c r="HG24" s="223">
        <f t="shared" si="75"/>
        <v>0</v>
      </c>
      <c r="HH24" s="230"/>
      <c r="HI24" s="233" t="s">
        <v>827</v>
      </c>
      <c r="HJ24" s="209">
        <v>0</v>
      </c>
      <c r="HK24" s="223">
        <v>0</v>
      </c>
      <c r="HL24" s="223">
        <f t="shared" si="76"/>
        <v>0</v>
      </c>
      <c r="HM24" s="230"/>
      <c r="HN24" s="230"/>
      <c r="HO24" s="233" t="s">
        <v>827</v>
      </c>
      <c r="HP24" s="209">
        <v>0</v>
      </c>
      <c r="HQ24" s="223">
        <v>0</v>
      </c>
      <c r="HR24" s="223">
        <f t="shared" si="130"/>
        <v>0</v>
      </c>
      <c r="HS24" s="230"/>
      <c r="HT24" s="230"/>
      <c r="HU24" s="230"/>
      <c r="HV24" s="230"/>
      <c r="HW24" s="230"/>
      <c r="HX24" s="230"/>
      <c r="HY24" s="230"/>
      <c r="HZ24" s="230"/>
      <c r="IA24" s="230"/>
      <c r="IB24" s="230"/>
      <c r="IC24" s="230"/>
      <c r="ID24" s="230"/>
      <c r="IE24" s="230"/>
      <c r="IF24" s="230"/>
    </row>
    <row r="25" spans="1:240" x14ac:dyDescent="0.2">
      <c r="A25" s="209" t="s">
        <v>766</v>
      </c>
      <c r="B25" s="209" t="s">
        <v>767</v>
      </c>
      <c r="C25" s="209" t="s">
        <v>779</v>
      </c>
      <c r="D25" s="211">
        <v>3</v>
      </c>
      <c r="E25" s="210">
        <v>125577.5</v>
      </c>
      <c r="F25" s="212">
        <f t="shared" si="31"/>
        <v>41859.166666666664</v>
      </c>
      <c r="G25" s="209">
        <f>1+1+1</f>
        <v>3</v>
      </c>
      <c r="H25" s="209">
        <v>3</v>
      </c>
      <c r="I25" s="212">
        <f>((3500000+1000000+900000)/30)/8</f>
        <v>22500</v>
      </c>
      <c r="J25" s="212">
        <f t="shared" si="131"/>
        <v>202500</v>
      </c>
      <c r="K25" s="211">
        <v>8</v>
      </c>
      <c r="L25" s="217">
        <f t="shared" si="33"/>
        <v>5232.395833333333</v>
      </c>
      <c r="M25" s="217">
        <f t="shared" si="34"/>
        <v>41859.166666666664</v>
      </c>
      <c r="N25" s="209">
        <v>1</v>
      </c>
      <c r="O25" s="209">
        <v>1</v>
      </c>
      <c r="P25" s="217">
        <f>+L25</f>
        <v>5232.395833333333</v>
      </c>
      <c r="Q25" s="217">
        <f t="shared" si="96"/>
        <v>5232.395833333333</v>
      </c>
      <c r="R25" s="209">
        <f t="shared" si="108"/>
        <v>24</v>
      </c>
      <c r="S25" s="209">
        <v>1</v>
      </c>
      <c r="T25" s="212">
        <f t="shared" si="109"/>
        <v>5232.395833333333</v>
      </c>
      <c r="U25" s="212">
        <f t="shared" si="110"/>
        <v>125577.5</v>
      </c>
      <c r="V25" s="230"/>
      <c r="W25" s="209">
        <v>1</v>
      </c>
      <c r="X25" s="209">
        <v>2</v>
      </c>
      <c r="Y25" s="223">
        <f t="shared" si="86"/>
        <v>22083.333333333332</v>
      </c>
      <c r="Z25" s="223">
        <f t="shared" si="35"/>
        <v>44166.666666666664</v>
      </c>
      <c r="AA25" s="209">
        <v>0</v>
      </c>
      <c r="AB25" s="209">
        <v>0</v>
      </c>
      <c r="AC25" s="223">
        <v>0</v>
      </c>
      <c r="AD25" s="223">
        <f>AA25*AB25*AC25</f>
        <v>0</v>
      </c>
      <c r="AE25" s="209">
        <v>1</v>
      </c>
      <c r="AF25" s="209">
        <v>1</v>
      </c>
      <c r="AG25" s="223">
        <f>(3500000/30)/8</f>
        <v>14583.333333333334</v>
      </c>
      <c r="AH25" s="223">
        <f t="shared" si="36"/>
        <v>14583.333333333334</v>
      </c>
      <c r="AI25" s="209">
        <v>2</v>
      </c>
      <c r="AJ25" s="209">
        <v>1</v>
      </c>
      <c r="AK25" s="223">
        <f>(900000/30)/8</f>
        <v>3750</v>
      </c>
      <c r="AL25" s="223">
        <f t="shared" si="78"/>
        <v>7500</v>
      </c>
      <c r="AM25" s="209">
        <v>1</v>
      </c>
      <c r="AN25" s="209">
        <v>1</v>
      </c>
      <c r="AO25" s="226">
        <f t="shared" si="83"/>
        <v>7500</v>
      </c>
      <c r="AP25" s="223">
        <f t="shared" si="4"/>
        <v>7500</v>
      </c>
      <c r="AQ25" s="209">
        <v>0</v>
      </c>
      <c r="AR25" s="209">
        <v>0</v>
      </c>
      <c r="AS25" s="223">
        <v>0</v>
      </c>
      <c r="AT25" s="223">
        <f t="shared" si="38"/>
        <v>0</v>
      </c>
      <c r="AU25" s="209">
        <v>1</v>
      </c>
      <c r="AV25" s="209">
        <v>2</v>
      </c>
      <c r="AW25" s="223">
        <f>(1800000/30)/8</f>
        <v>7500</v>
      </c>
      <c r="AX25" s="223">
        <f t="shared" si="39"/>
        <v>15000</v>
      </c>
      <c r="AY25" s="209">
        <v>1</v>
      </c>
      <c r="AZ25" s="209">
        <v>5</v>
      </c>
      <c r="BA25" s="223">
        <f>((6000000+2500000+3500000+1400000+3500000)/30)/8</f>
        <v>70416.666666666672</v>
      </c>
      <c r="BB25" s="223">
        <f t="shared" si="40"/>
        <v>352083.33333333337</v>
      </c>
      <c r="BC25" s="209">
        <v>1</v>
      </c>
      <c r="BD25" s="209">
        <v>2</v>
      </c>
      <c r="BE25" s="223">
        <f>((1400000+1200000)/30)/8</f>
        <v>10833.333333333334</v>
      </c>
      <c r="BF25" s="223">
        <f t="shared" si="41"/>
        <v>21666.666666666668</v>
      </c>
      <c r="BG25" s="209">
        <v>0</v>
      </c>
      <c r="BH25" s="209">
        <v>0</v>
      </c>
      <c r="BI25" s="223">
        <v>0</v>
      </c>
      <c r="BJ25" s="223">
        <f t="shared" si="42"/>
        <v>0</v>
      </c>
      <c r="BK25" s="209">
        <v>1</v>
      </c>
      <c r="BL25" s="209">
        <v>1</v>
      </c>
      <c r="BM25" s="223">
        <f t="shared" si="43"/>
        <v>20833.333333333332</v>
      </c>
      <c r="BN25" s="223">
        <f t="shared" si="44"/>
        <v>20833.333333333332</v>
      </c>
      <c r="BO25" s="209">
        <v>1</v>
      </c>
      <c r="BP25" s="209">
        <v>1</v>
      </c>
      <c r="BQ25" s="223">
        <f t="shared" si="45"/>
        <v>5833.333333333333</v>
      </c>
      <c r="BR25" s="223">
        <f t="shared" si="46"/>
        <v>5833.333333333333</v>
      </c>
      <c r="BS25" s="209">
        <v>0</v>
      </c>
      <c r="BT25" s="209">
        <v>0</v>
      </c>
      <c r="BU25" s="223">
        <v>0</v>
      </c>
      <c r="BV25" s="223">
        <f t="shared" si="47"/>
        <v>0</v>
      </c>
      <c r="BW25" s="209">
        <v>0</v>
      </c>
      <c r="BX25" s="209">
        <v>0</v>
      </c>
      <c r="BY25" s="223">
        <v>0</v>
      </c>
      <c r="BZ25" s="223">
        <f t="shared" si="81"/>
        <v>0</v>
      </c>
      <c r="CA25" s="209">
        <v>0</v>
      </c>
      <c r="CB25" s="209">
        <v>0</v>
      </c>
      <c r="CC25" s="223">
        <v>0</v>
      </c>
      <c r="CD25" s="223">
        <f t="shared" si="49"/>
        <v>0</v>
      </c>
      <c r="CE25" s="209">
        <v>0</v>
      </c>
      <c r="CF25" s="209">
        <v>0</v>
      </c>
      <c r="CG25" s="223">
        <v>0</v>
      </c>
      <c r="CH25" s="223">
        <f t="shared" si="50"/>
        <v>0</v>
      </c>
      <c r="CI25" s="209">
        <v>0</v>
      </c>
      <c r="CJ25" s="209">
        <v>0</v>
      </c>
      <c r="CK25" s="223">
        <v>0</v>
      </c>
      <c r="CL25" s="223">
        <f t="shared" si="84"/>
        <v>0</v>
      </c>
      <c r="CM25" s="209">
        <v>0</v>
      </c>
      <c r="CN25" s="209">
        <v>0</v>
      </c>
      <c r="CO25" s="226">
        <v>0</v>
      </c>
      <c r="CP25" s="226">
        <f t="shared" si="52"/>
        <v>0</v>
      </c>
      <c r="CQ25" s="209">
        <v>0</v>
      </c>
      <c r="CR25" s="209">
        <v>0</v>
      </c>
      <c r="CS25" s="226">
        <v>0</v>
      </c>
      <c r="CT25" s="226">
        <f t="shared" si="53"/>
        <v>0</v>
      </c>
      <c r="CU25" s="209" t="s">
        <v>827</v>
      </c>
      <c r="CV25" s="209">
        <v>0</v>
      </c>
      <c r="CW25" s="226">
        <v>0</v>
      </c>
      <c r="CX25" s="226">
        <f t="shared" si="54"/>
        <v>0</v>
      </c>
      <c r="CY25" s="209" t="s">
        <v>827</v>
      </c>
      <c r="CZ25" s="209">
        <v>0</v>
      </c>
      <c r="DA25" s="226">
        <v>0</v>
      </c>
      <c r="DB25" s="226">
        <f t="shared" si="55"/>
        <v>0</v>
      </c>
      <c r="DC25" s="209" t="s">
        <v>827</v>
      </c>
      <c r="DD25" s="209">
        <v>0</v>
      </c>
      <c r="DE25" s="226">
        <v>0</v>
      </c>
      <c r="DF25" s="226">
        <f t="shared" si="56"/>
        <v>0</v>
      </c>
      <c r="DG25" s="209" t="s">
        <v>947</v>
      </c>
      <c r="DH25" s="209">
        <v>0</v>
      </c>
      <c r="DI25" s="226">
        <v>0</v>
      </c>
      <c r="DJ25" s="226">
        <f t="shared" si="57"/>
        <v>0</v>
      </c>
      <c r="DK25" s="209" t="s">
        <v>827</v>
      </c>
      <c r="DL25" s="209">
        <v>0</v>
      </c>
      <c r="DM25" s="226">
        <v>0</v>
      </c>
      <c r="DN25" s="226">
        <f t="shared" si="58"/>
        <v>0</v>
      </c>
      <c r="DO25" s="209" t="s">
        <v>827</v>
      </c>
      <c r="DP25" s="209">
        <v>0</v>
      </c>
      <c r="DQ25" s="226">
        <v>0</v>
      </c>
      <c r="DR25" s="226">
        <f t="shared" si="59"/>
        <v>0</v>
      </c>
      <c r="DS25" s="209" t="s">
        <v>827</v>
      </c>
      <c r="DT25" s="209">
        <v>0</v>
      </c>
      <c r="DU25" s="226">
        <v>0</v>
      </c>
      <c r="DV25" s="226">
        <f t="shared" si="60"/>
        <v>0</v>
      </c>
      <c r="DW25" s="209" t="s">
        <v>827</v>
      </c>
      <c r="DX25" s="209">
        <v>0</v>
      </c>
      <c r="DY25" s="226">
        <v>0</v>
      </c>
      <c r="DZ25" s="226">
        <f t="shared" si="61"/>
        <v>0</v>
      </c>
      <c r="EA25" s="209" t="s">
        <v>827</v>
      </c>
      <c r="EB25" s="209">
        <v>0</v>
      </c>
      <c r="EC25" s="226">
        <v>0</v>
      </c>
      <c r="ED25" s="226">
        <f t="shared" si="62"/>
        <v>0</v>
      </c>
      <c r="EE25" s="209" t="s">
        <v>827</v>
      </c>
      <c r="EF25" s="209">
        <v>0</v>
      </c>
      <c r="EG25" s="226">
        <v>0</v>
      </c>
      <c r="EH25" s="226">
        <f t="shared" si="63"/>
        <v>0</v>
      </c>
      <c r="EI25" s="209" t="s">
        <v>827</v>
      </c>
      <c r="EJ25" s="209">
        <v>0</v>
      </c>
      <c r="EK25" s="226">
        <v>0</v>
      </c>
      <c r="EL25" s="226">
        <f t="shared" si="64"/>
        <v>0</v>
      </c>
      <c r="EM25" s="209" t="s">
        <v>827</v>
      </c>
      <c r="EN25" s="209">
        <v>0</v>
      </c>
      <c r="EO25" s="226">
        <v>0</v>
      </c>
      <c r="EP25" s="226">
        <f t="shared" si="65"/>
        <v>0</v>
      </c>
      <c r="EQ25" s="209" t="s">
        <v>827</v>
      </c>
      <c r="ER25" s="211" t="s">
        <v>167</v>
      </c>
      <c r="ES25" s="226">
        <v>0</v>
      </c>
      <c r="ET25" s="209" t="s">
        <v>827</v>
      </c>
      <c r="EU25" s="211" t="s">
        <v>167</v>
      </c>
      <c r="EV25" s="226">
        <v>0</v>
      </c>
      <c r="EW25" s="209" t="s">
        <v>827</v>
      </c>
      <c r="EX25" s="211" t="s">
        <v>167</v>
      </c>
      <c r="EY25" s="226">
        <v>0</v>
      </c>
      <c r="EZ25" s="209" t="s">
        <v>827</v>
      </c>
      <c r="FA25" s="226">
        <v>0</v>
      </c>
      <c r="FB25" s="209" t="s">
        <v>827</v>
      </c>
      <c r="FC25" s="226">
        <v>0</v>
      </c>
      <c r="FD25" s="209" t="s">
        <v>827</v>
      </c>
      <c r="FE25" s="226">
        <v>0</v>
      </c>
      <c r="FF25" s="209" t="s">
        <v>827</v>
      </c>
      <c r="FG25" s="226">
        <v>0</v>
      </c>
      <c r="FH25" s="209" t="s">
        <v>827</v>
      </c>
      <c r="FI25" s="226">
        <v>0</v>
      </c>
      <c r="FJ25" s="230"/>
      <c r="FK25" s="230"/>
      <c r="FL25" s="233" t="s">
        <v>827</v>
      </c>
      <c r="FM25" s="209">
        <v>0</v>
      </c>
      <c r="FN25" s="223">
        <v>0</v>
      </c>
      <c r="FO25" s="223">
        <f t="shared" si="66"/>
        <v>0</v>
      </c>
      <c r="FP25" s="233" t="s">
        <v>827</v>
      </c>
      <c r="FQ25" s="209">
        <v>0</v>
      </c>
      <c r="FR25" s="223">
        <v>0</v>
      </c>
      <c r="FS25" s="223">
        <f t="shared" si="67"/>
        <v>0</v>
      </c>
      <c r="FT25" s="230"/>
      <c r="FU25" s="230"/>
      <c r="FV25" s="233" t="s">
        <v>827</v>
      </c>
      <c r="FW25" s="209">
        <v>0</v>
      </c>
      <c r="FX25" s="223">
        <v>0</v>
      </c>
      <c r="FY25" s="223">
        <f t="shared" si="127"/>
        <v>0</v>
      </c>
      <c r="FZ25" s="230"/>
      <c r="GA25" s="233" t="s">
        <v>827</v>
      </c>
      <c r="GB25" s="209">
        <v>0</v>
      </c>
      <c r="GC25" s="223">
        <v>0</v>
      </c>
      <c r="GD25" s="223">
        <f t="shared" si="68"/>
        <v>0</v>
      </c>
      <c r="GE25" s="233" t="s">
        <v>827</v>
      </c>
      <c r="GF25" s="209">
        <v>0</v>
      </c>
      <c r="GG25" s="223">
        <v>0</v>
      </c>
      <c r="GH25" s="223">
        <f t="shared" si="128"/>
        <v>0</v>
      </c>
      <c r="GI25" s="233" t="s">
        <v>827</v>
      </c>
      <c r="GJ25" s="209">
        <v>0</v>
      </c>
      <c r="GK25" s="223">
        <v>0</v>
      </c>
      <c r="GL25" s="223">
        <f t="shared" si="132"/>
        <v>0</v>
      </c>
      <c r="GM25" s="233" t="s">
        <v>827</v>
      </c>
      <c r="GN25" s="209">
        <v>0</v>
      </c>
      <c r="GO25" s="223">
        <v>0</v>
      </c>
      <c r="GP25" s="223">
        <f t="shared" si="71"/>
        <v>0</v>
      </c>
      <c r="GQ25" s="233" t="s">
        <v>827</v>
      </c>
      <c r="GR25" s="209">
        <v>0</v>
      </c>
      <c r="GS25" s="223">
        <v>0</v>
      </c>
      <c r="GT25" s="223">
        <f t="shared" si="72"/>
        <v>0</v>
      </c>
      <c r="GU25" s="233" t="s">
        <v>827</v>
      </c>
      <c r="GV25" s="209">
        <v>0</v>
      </c>
      <c r="GW25" s="223">
        <v>0</v>
      </c>
      <c r="GX25" s="223">
        <f t="shared" si="73"/>
        <v>0</v>
      </c>
      <c r="GY25" s="230"/>
      <c r="GZ25" s="233" t="s">
        <v>827</v>
      </c>
      <c r="HA25" s="209">
        <v>0</v>
      </c>
      <c r="HB25" s="223">
        <v>0</v>
      </c>
      <c r="HC25" s="223">
        <f t="shared" si="74"/>
        <v>0</v>
      </c>
      <c r="HD25" s="233" t="s">
        <v>827</v>
      </c>
      <c r="HE25" s="209">
        <v>0</v>
      </c>
      <c r="HF25" s="223">
        <v>0</v>
      </c>
      <c r="HG25" s="223">
        <f t="shared" si="75"/>
        <v>0</v>
      </c>
      <c r="HH25" s="230"/>
      <c r="HI25" s="233" t="s">
        <v>972</v>
      </c>
      <c r="HJ25" s="209">
        <v>1</v>
      </c>
      <c r="HK25" s="223">
        <v>35000</v>
      </c>
      <c r="HL25" s="223">
        <f t="shared" si="76"/>
        <v>35000</v>
      </c>
      <c r="HM25" s="230"/>
      <c r="HN25" s="230"/>
      <c r="HO25" s="233" t="s">
        <v>827</v>
      </c>
      <c r="HP25" s="209">
        <v>0</v>
      </c>
      <c r="HQ25" s="223">
        <v>0</v>
      </c>
      <c r="HR25" s="223">
        <f t="shared" si="130"/>
        <v>0</v>
      </c>
      <c r="HS25" s="230"/>
      <c r="HT25" s="230"/>
      <c r="HU25" s="230"/>
      <c r="HV25" s="230"/>
      <c r="HW25" s="230"/>
      <c r="HX25" s="230"/>
      <c r="HY25" s="230"/>
      <c r="HZ25" s="230"/>
      <c r="IA25" s="230"/>
      <c r="IB25" s="230"/>
      <c r="IC25" s="230"/>
      <c r="ID25" s="230"/>
      <c r="IE25" s="230"/>
      <c r="IF25" s="230"/>
    </row>
    <row r="26" spans="1:240" x14ac:dyDescent="0.2">
      <c r="A26" s="209" t="s">
        <v>768</v>
      </c>
      <c r="B26" s="209" t="s">
        <v>775</v>
      </c>
      <c r="C26" s="209" t="s">
        <v>779</v>
      </c>
      <c r="D26" s="211">
        <v>30</v>
      </c>
      <c r="E26" s="210">
        <v>1700100</v>
      </c>
      <c r="F26" s="212">
        <f t="shared" si="31"/>
        <v>56670</v>
      </c>
      <c r="G26" s="209">
        <f>1+1+1</f>
        <v>3</v>
      </c>
      <c r="H26" s="209">
        <f>1+1+1</f>
        <v>3</v>
      </c>
      <c r="I26" s="212">
        <f>((6000000+3500000+2500000)/30)/8</f>
        <v>50000</v>
      </c>
      <c r="J26" s="212">
        <f t="shared" si="131"/>
        <v>450000</v>
      </c>
      <c r="K26" s="211">
        <v>8</v>
      </c>
      <c r="L26" s="217">
        <f t="shared" si="33"/>
        <v>7083.75</v>
      </c>
      <c r="M26" s="217">
        <f t="shared" si="34"/>
        <v>56670</v>
      </c>
      <c r="N26" s="209">
        <v>1</v>
      </c>
      <c r="O26" s="209">
        <v>1</v>
      </c>
      <c r="P26" s="217">
        <f>+L26</f>
        <v>7083.75</v>
      </c>
      <c r="Q26" s="217">
        <f t="shared" ref="Q26:Q31" si="133">N26*O26*P26</f>
        <v>7083.75</v>
      </c>
      <c r="R26" s="209">
        <f t="shared" si="108"/>
        <v>240</v>
      </c>
      <c r="S26" s="209">
        <v>1</v>
      </c>
      <c r="T26" s="212">
        <f t="shared" si="109"/>
        <v>7083.75</v>
      </c>
      <c r="U26" s="212">
        <f t="shared" si="110"/>
        <v>1700100</v>
      </c>
      <c r="V26" s="230"/>
      <c r="W26" s="209">
        <v>1</v>
      </c>
      <c r="X26" s="209">
        <v>3</v>
      </c>
      <c r="Y26" s="223">
        <f>((1400000+3900000+2000000)/30)/8</f>
        <v>30416.666666666668</v>
      </c>
      <c r="Z26" s="223">
        <f t="shared" si="35"/>
        <v>91250</v>
      </c>
      <c r="AA26" s="209">
        <v>1</v>
      </c>
      <c r="AB26" s="209">
        <v>2</v>
      </c>
      <c r="AC26" s="223">
        <f>((2000000*2)/30)/8</f>
        <v>16666.666666666668</v>
      </c>
      <c r="AD26" s="223">
        <f>AA26*AB26*AC26</f>
        <v>33333.333333333336</v>
      </c>
      <c r="AE26" s="209">
        <v>3</v>
      </c>
      <c r="AF26" s="209">
        <v>3</v>
      </c>
      <c r="AG26" s="223">
        <f>((6000000+6000000+2500000+3500000+3500000)/30)/8</f>
        <v>89583.333333333328</v>
      </c>
      <c r="AH26" s="223">
        <f t="shared" si="36"/>
        <v>806250</v>
      </c>
      <c r="AI26" s="209">
        <v>1</v>
      </c>
      <c r="AJ26" s="209">
        <v>1</v>
      </c>
      <c r="AK26" s="223">
        <f>(2500000/30)/8</f>
        <v>10416.666666666666</v>
      </c>
      <c r="AL26" s="223">
        <f t="shared" si="78"/>
        <v>10416.666666666666</v>
      </c>
      <c r="AM26" s="209">
        <v>1</v>
      </c>
      <c r="AN26" s="209">
        <v>1</v>
      </c>
      <c r="AO26" s="226">
        <f t="shared" si="83"/>
        <v>7500</v>
      </c>
      <c r="AP26" s="223">
        <f t="shared" si="4"/>
        <v>7500</v>
      </c>
      <c r="AQ26" s="209">
        <v>0</v>
      </c>
      <c r="AR26" s="209">
        <v>0</v>
      </c>
      <c r="AS26" s="223">
        <v>0</v>
      </c>
      <c r="AT26" s="223">
        <f t="shared" si="38"/>
        <v>0</v>
      </c>
      <c r="AU26" s="209">
        <v>2</v>
      </c>
      <c r="AV26" s="209">
        <v>1</v>
      </c>
      <c r="AW26" s="223">
        <f>(2500000/30)/8</f>
        <v>10416.666666666666</v>
      </c>
      <c r="AX26" s="223">
        <f t="shared" si="39"/>
        <v>20833.333333333332</v>
      </c>
      <c r="AY26" s="209">
        <v>1</v>
      </c>
      <c r="AZ26" s="209">
        <v>5</v>
      </c>
      <c r="BA26" s="223">
        <f>((6000000+2500000+3500000+1400000+3500000)/30)/8</f>
        <v>70416.666666666672</v>
      </c>
      <c r="BB26" s="223">
        <f t="shared" si="40"/>
        <v>352083.33333333337</v>
      </c>
      <c r="BC26" s="209">
        <v>1</v>
      </c>
      <c r="BD26" s="209">
        <v>2</v>
      </c>
      <c r="BE26" s="223">
        <f>((3500000+1400000)/30)/8</f>
        <v>20416.666666666668</v>
      </c>
      <c r="BF26" s="223">
        <f t="shared" si="41"/>
        <v>40833.333333333336</v>
      </c>
      <c r="BG26" s="209">
        <v>0</v>
      </c>
      <c r="BH26" s="209">
        <v>0</v>
      </c>
      <c r="BI26" s="223">
        <v>0</v>
      </c>
      <c r="BJ26" s="223">
        <f t="shared" si="42"/>
        <v>0</v>
      </c>
      <c r="BK26" s="209">
        <v>1</v>
      </c>
      <c r="BL26" s="209">
        <v>1</v>
      </c>
      <c r="BM26" s="223">
        <f t="shared" si="43"/>
        <v>20833.333333333332</v>
      </c>
      <c r="BN26" s="223">
        <f t="shared" si="44"/>
        <v>20833.333333333332</v>
      </c>
      <c r="BO26" s="209">
        <v>1</v>
      </c>
      <c r="BP26" s="209">
        <v>1</v>
      </c>
      <c r="BQ26" s="223">
        <f t="shared" si="45"/>
        <v>5833.333333333333</v>
      </c>
      <c r="BR26" s="223">
        <f t="shared" si="46"/>
        <v>5833.333333333333</v>
      </c>
      <c r="BS26" s="209">
        <v>0</v>
      </c>
      <c r="BT26" s="209">
        <v>0</v>
      </c>
      <c r="BU26" s="223">
        <v>0</v>
      </c>
      <c r="BV26" s="223">
        <f t="shared" si="47"/>
        <v>0</v>
      </c>
      <c r="BW26" s="209">
        <v>0</v>
      </c>
      <c r="BX26" s="209">
        <v>0</v>
      </c>
      <c r="BY26" s="223">
        <v>0</v>
      </c>
      <c r="BZ26" s="223">
        <f t="shared" si="81"/>
        <v>0</v>
      </c>
      <c r="CA26" s="209">
        <v>0</v>
      </c>
      <c r="CB26" s="209">
        <v>0</v>
      </c>
      <c r="CC26" s="223">
        <v>0</v>
      </c>
      <c r="CD26" s="223">
        <f t="shared" si="49"/>
        <v>0</v>
      </c>
      <c r="CE26" s="209">
        <v>0</v>
      </c>
      <c r="CF26" s="209">
        <v>0</v>
      </c>
      <c r="CG26" s="223">
        <v>0</v>
      </c>
      <c r="CH26" s="223">
        <f t="shared" si="50"/>
        <v>0</v>
      </c>
      <c r="CI26" s="209">
        <v>0</v>
      </c>
      <c r="CJ26" s="209">
        <v>0</v>
      </c>
      <c r="CK26" s="223">
        <v>0</v>
      </c>
      <c r="CL26" s="223">
        <f t="shared" si="84"/>
        <v>0</v>
      </c>
      <c r="CM26" s="209">
        <v>4</v>
      </c>
      <c r="CN26" s="209">
        <v>1</v>
      </c>
      <c r="CO26" s="226">
        <f>((2500000)/30)/8</f>
        <v>10416.666666666666</v>
      </c>
      <c r="CP26" s="226">
        <f t="shared" si="52"/>
        <v>41666.666666666664</v>
      </c>
      <c r="CQ26" s="209">
        <v>0</v>
      </c>
      <c r="CR26" s="209">
        <v>0</v>
      </c>
      <c r="CS26" s="226">
        <v>0</v>
      </c>
      <c r="CT26" s="226">
        <f t="shared" si="53"/>
        <v>0</v>
      </c>
      <c r="CU26" s="209" t="s">
        <v>827</v>
      </c>
      <c r="CV26" s="209">
        <v>0</v>
      </c>
      <c r="CW26" s="226">
        <v>0</v>
      </c>
      <c r="CX26" s="226">
        <f t="shared" si="54"/>
        <v>0</v>
      </c>
      <c r="CY26" s="209" t="s">
        <v>827</v>
      </c>
      <c r="CZ26" s="209">
        <v>0</v>
      </c>
      <c r="DA26" s="226">
        <v>0</v>
      </c>
      <c r="DB26" s="226">
        <f t="shared" si="55"/>
        <v>0</v>
      </c>
      <c r="DC26" s="209" t="s">
        <v>827</v>
      </c>
      <c r="DD26" s="209">
        <v>0</v>
      </c>
      <c r="DE26" s="226">
        <v>0</v>
      </c>
      <c r="DF26" s="226">
        <f t="shared" si="56"/>
        <v>0</v>
      </c>
      <c r="DG26" s="209" t="s">
        <v>827</v>
      </c>
      <c r="DH26" s="209">
        <v>10</v>
      </c>
      <c r="DI26" s="226">
        <v>30000</v>
      </c>
      <c r="DJ26" s="226">
        <f t="shared" si="57"/>
        <v>300000</v>
      </c>
      <c r="DK26" s="209" t="s">
        <v>827</v>
      </c>
      <c r="DL26" s="209">
        <v>0</v>
      </c>
      <c r="DM26" s="226">
        <v>0</v>
      </c>
      <c r="DN26" s="226">
        <f t="shared" si="58"/>
        <v>0</v>
      </c>
      <c r="DO26" s="209" t="s">
        <v>827</v>
      </c>
      <c r="DP26" s="209">
        <v>0</v>
      </c>
      <c r="DQ26" s="226">
        <v>0</v>
      </c>
      <c r="DR26" s="226">
        <f t="shared" si="59"/>
        <v>0</v>
      </c>
      <c r="DS26" s="209" t="s">
        <v>827</v>
      </c>
      <c r="DT26" s="209">
        <v>0</v>
      </c>
      <c r="DU26" s="226">
        <v>0</v>
      </c>
      <c r="DV26" s="226">
        <f t="shared" si="60"/>
        <v>0</v>
      </c>
      <c r="DW26" s="209" t="s">
        <v>827</v>
      </c>
      <c r="DX26" s="209">
        <v>0</v>
      </c>
      <c r="DY26" s="226">
        <v>0</v>
      </c>
      <c r="DZ26" s="226">
        <f t="shared" si="61"/>
        <v>0</v>
      </c>
      <c r="EA26" s="209" t="s">
        <v>827</v>
      </c>
      <c r="EB26" s="209">
        <v>0</v>
      </c>
      <c r="EC26" s="226">
        <v>0</v>
      </c>
      <c r="ED26" s="226">
        <f t="shared" si="62"/>
        <v>0</v>
      </c>
      <c r="EE26" s="209" t="s">
        <v>827</v>
      </c>
      <c r="EF26" s="209">
        <v>0</v>
      </c>
      <c r="EG26" s="226">
        <v>0</v>
      </c>
      <c r="EH26" s="226">
        <f t="shared" si="63"/>
        <v>0</v>
      </c>
      <c r="EI26" s="209" t="s">
        <v>827</v>
      </c>
      <c r="EJ26" s="209">
        <v>0</v>
      </c>
      <c r="EK26" s="226">
        <v>0</v>
      </c>
      <c r="EL26" s="226">
        <f t="shared" si="64"/>
        <v>0</v>
      </c>
      <c r="EM26" s="209" t="s">
        <v>827</v>
      </c>
      <c r="EN26" s="209">
        <v>0</v>
      </c>
      <c r="EO26" s="226">
        <v>0</v>
      </c>
      <c r="EP26" s="226">
        <f t="shared" si="65"/>
        <v>0</v>
      </c>
      <c r="EQ26" s="209" t="s">
        <v>827</v>
      </c>
      <c r="ER26" s="211" t="s">
        <v>167</v>
      </c>
      <c r="ES26" s="226">
        <f t="shared" ref="ES26:ES28" si="134">84635*D26*8</f>
        <v>20312400</v>
      </c>
      <c r="ET26" s="209" t="s">
        <v>827</v>
      </c>
      <c r="EU26" s="211" t="s">
        <v>167</v>
      </c>
      <c r="EV26" s="226">
        <v>0</v>
      </c>
      <c r="EW26" s="209" t="s">
        <v>827</v>
      </c>
      <c r="EX26" s="211" t="s">
        <v>167</v>
      </c>
      <c r="EY26" s="226">
        <v>0</v>
      </c>
      <c r="EZ26" s="209" t="s">
        <v>827</v>
      </c>
      <c r="FA26" s="226">
        <v>0</v>
      </c>
      <c r="FB26" s="209" t="s">
        <v>827</v>
      </c>
      <c r="FC26" s="226">
        <v>0</v>
      </c>
      <c r="FD26" s="209" t="s">
        <v>827</v>
      </c>
      <c r="FE26" s="226">
        <v>0</v>
      </c>
      <c r="FF26" s="209" t="s">
        <v>827</v>
      </c>
      <c r="FG26" s="226">
        <v>0</v>
      </c>
      <c r="FH26" s="209" t="s">
        <v>827</v>
      </c>
      <c r="FI26" s="226">
        <v>0</v>
      </c>
      <c r="FJ26" s="230"/>
      <c r="FK26" s="230"/>
      <c r="FL26" s="233" t="s">
        <v>959</v>
      </c>
      <c r="FM26" s="209">
        <v>1</v>
      </c>
      <c r="FN26" s="223">
        <f t="shared" ref="FN26" si="135">F26*D26</f>
        <v>1700100</v>
      </c>
      <c r="FO26" s="223">
        <f t="shared" si="66"/>
        <v>1700100</v>
      </c>
      <c r="FP26" s="233" t="s">
        <v>827</v>
      </c>
      <c r="FQ26" s="209">
        <v>0</v>
      </c>
      <c r="FR26" s="223">
        <v>0</v>
      </c>
      <c r="FS26" s="223">
        <f t="shared" si="67"/>
        <v>0</v>
      </c>
      <c r="FT26" s="230"/>
      <c r="FU26" s="230"/>
      <c r="FV26" s="233" t="s">
        <v>827</v>
      </c>
      <c r="FW26" s="209">
        <v>0</v>
      </c>
      <c r="FX26" s="223">
        <v>0</v>
      </c>
      <c r="FY26" s="223">
        <f t="shared" si="127"/>
        <v>0</v>
      </c>
      <c r="FZ26" s="230"/>
      <c r="GA26" s="233" t="s">
        <v>827</v>
      </c>
      <c r="GB26" s="209">
        <v>0</v>
      </c>
      <c r="GC26" s="223">
        <v>0</v>
      </c>
      <c r="GD26" s="223">
        <f t="shared" si="68"/>
        <v>0</v>
      </c>
      <c r="GE26" s="233" t="s">
        <v>965</v>
      </c>
      <c r="GF26" s="209">
        <v>1</v>
      </c>
      <c r="GG26" s="223">
        <v>10000</v>
      </c>
      <c r="GH26" s="223">
        <f t="shared" si="128"/>
        <v>10000</v>
      </c>
      <c r="GI26" s="233" t="s">
        <v>827</v>
      </c>
      <c r="GJ26" s="209">
        <v>0</v>
      </c>
      <c r="GK26" s="223">
        <v>0</v>
      </c>
      <c r="GL26" s="223">
        <f t="shared" si="132"/>
        <v>0</v>
      </c>
      <c r="GM26" s="233" t="s">
        <v>827</v>
      </c>
      <c r="GN26" s="209">
        <v>0</v>
      </c>
      <c r="GO26" s="223">
        <v>0</v>
      </c>
      <c r="GP26" s="223">
        <f t="shared" si="71"/>
        <v>0</v>
      </c>
      <c r="GQ26" s="233" t="s">
        <v>827</v>
      </c>
      <c r="GR26" s="209">
        <v>0</v>
      </c>
      <c r="GS26" s="223">
        <v>0</v>
      </c>
      <c r="GT26" s="223">
        <f t="shared" si="72"/>
        <v>0</v>
      </c>
      <c r="GU26" s="233" t="s">
        <v>827</v>
      </c>
      <c r="GV26" s="209">
        <v>0</v>
      </c>
      <c r="GW26" s="223">
        <v>0</v>
      </c>
      <c r="GX26" s="223">
        <f t="shared" si="73"/>
        <v>0</v>
      </c>
      <c r="GY26" s="230"/>
      <c r="GZ26" s="233" t="s">
        <v>827</v>
      </c>
      <c r="HA26" s="209">
        <v>0</v>
      </c>
      <c r="HB26" s="223">
        <v>0</v>
      </c>
      <c r="HC26" s="223">
        <f t="shared" si="74"/>
        <v>0</v>
      </c>
      <c r="HD26" s="233" t="s">
        <v>827</v>
      </c>
      <c r="HE26" s="209">
        <v>0</v>
      </c>
      <c r="HF26" s="223">
        <v>0</v>
      </c>
      <c r="HG26" s="223">
        <f t="shared" si="75"/>
        <v>0</v>
      </c>
      <c r="HH26" s="230"/>
      <c r="HI26" s="233" t="s">
        <v>827</v>
      </c>
      <c r="HJ26" s="209">
        <v>0</v>
      </c>
      <c r="HK26" s="223">
        <v>0</v>
      </c>
      <c r="HL26" s="223">
        <f t="shared" si="76"/>
        <v>0</v>
      </c>
      <c r="HM26" s="230"/>
      <c r="HN26" s="230"/>
      <c r="HO26" s="233" t="s">
        <v>827</v>
      </c>
      <c r="HP26" s="209">
        <v>0</v>
      </c>
      <c r="HQ26" s="223">
        <v>0</v>
      </c>
      <c r="HR26" s="223">
        <f t="shared" si="130"/>
        <v>0</v>
      </c>
      <c r="HS26" s="230"/>
      <c r="HT26" s="230"/>
      <c r="HU26" s="230"/>
      <c r="HV26" s="230"/>
      <c r="HW26" s="230"/>
      <c r="HX26" s="230"/>
      <c r="HY26" s="230"/>
      <c r="HZ26" s="230"/>
      <c r="IA26" s="230"/>
      <c r="IB26" s="230"/>
      <c r="IC26" s="230"/>
      <c r="ID26" s="230"/>
      <c r="IE26" s="230"/>
      <c r="IF26" s="230"/>
    </row>
    <row r="27" spans="1:240" x14ac:dyDescent="0.2">
      <c r="A27" s="209" t="s">
        <v>768</v>
      </c>
      <c r="B27" s="209" t="s">
        <v>775</v>
      </c>
      <c r="C27" s="209" t="s">
        <v>779</v>
      </c>
      <c r="D27" s="211">
        <v>10</v>
      </c>
      <c r="E27" s="210">
        <v>566700</v>
      </c>
      <c r="F27" s="212">
        <f t="shared" si="31"/>
        <v>56670</v>
      </c>
      <c r="G27" s="209">
        <f t="shared" ref="G27:H28" si="136">1+1+1</f>
        <v>3</v>
      </c>
      <c r="H27" s="209">
        <f t="shared" si="136"/>
        <v>3</v>
      </c>
      <c r="I27" s="212">
        <f t="shared" ref="I27:I28" si="137">((6000000+3500000+2500000)/30)/8</f>
        <v>50000</v>
      </c>
      <c r="J27" s="212">
        <f t="shared" ref="J27:J28" si="138">G27*H27*I27</f>
        <v>450000</v>
      </c>
      <c r="K27" s="211">
        <v>8</v>
      </c>
      <c r="L27" s="217">
        <f t="shared" si="33"/>
        <v>7083.75</v>
      </c>
      <c r="M27" s="217">
        <f t="shared" si="34"/>
        <v>56670</v>
      </c>
      <c r="N27" s="209">
        <v>1</v>
      </c>
      <c r="O27" s="209">
        <v>1</v>
      </c>
      <c r="P27" s="217">
        <f t="shared" ref="P27:P28" si="139">+L27</f>
        <v>7083.75</v>
      </c>
      <c r="Q27" s="217">
        <f t="shared" ref="Q27:Q28" si="140">N27*O27*P27</f>
        <v>7083.75</v>
      </c>
      <c r="R27" s="209">
        <f t="shared" si="108"/>
        <v>80</v>
      </c>
      <c r="S27" s="209">
        <v>1</v>
      </c>
      <c r="T27" s="212">
        <f t="shared" si="109"/>
        <v>7083.75</v>
      </c>
      <c r="U27" s="212">
        <f t="shared" si="110"/>
        <v>566700</v>
      </c>
      <c r="V27" s="230"/>
      <c r="W27" s="209">
        <v>1</v>
      </c>
      <c r="X27" s="209">
        <v>0</v>
      </c>
      <c r="Y27" s="223">
        <f t="shared" ref="Y27:Y28" si="141">((1400000+3900000+2000000)/30)/8</f>
        <v>30416.666666666668</v>
      </c>
      <c r="Z27" s="223">
        <f t="shared" si="35"/>
        <v>0</v>
      </c>
      <c r="AA27" s="209">
        <v>1</v>
      </c>
      <c r="AB27" s="209">
        <v>2</v>
      </c>
      <c r="AC27" s="223">
        <f t="shared" ref="AC27:AC28" si="142">((2000000*2)/30)/8</f>
        <v>16666.666666666668</v>
      </c>
      <c r="AD27" s="223">
        <f t="shared" ref="AD27:AD28" si="143">AA27*AB27*AC27</f>
        <v>33333.333333333336</v>
      </c>
      <c r="AE27" s="209">
        <v>0</v>
      </c>
      <c r="AF27" s="209">
        <v>0</v>
      </c>
      <c r="AG27" s="223">
        <v>0</v>
      </c>
      <c r="AH27" s="223">
        <f t="shared" si="36"/>
        <v>0</v>
      </c>
      <c r="AI27" s="209">
        <v>1</v>
      </c>
      <c r="AJ27" s="209">
        <v>1</v>
      </c>
      <c r="AK27" s="223">
        <f t="shared" ref="AK27:AK28" si="144">(2500000/30)/8</f>
        <v>10416.666666666666</v>
      </c>
      <c r="AL27" s="223">
        <f t="shared" si="78"/>
        <v>10416.666666666666</v>
      </c>
      <c r="AM27" s="209">
        <v>1</v>
      </c>
      <c r="AN27" s="209">
        <v>1</v>
      </c>
      <c r="AO27" s="226">
        <f t="shared" si="83"/>
        <v>7500</v>
      </c>
      <c r="AP27" s="223">
        <f t="shared" si="4"/>
        <v>7500</v>
      </c>
      <c r="AQ27" s="209">
        <v>0</v>
      </c>
      <c r="AR27" s="209">
        <v>0</v>
      </c>
      <c r="AS27" s="223">
        <v>0</v>
      </c>
      <c r="AT27" s="223">
        <f t="shared" si="38"/>
        <v>0</v>
      </c>
      <c r="AU27" s="209">
        <v>0</v>
      </c>
      <c r="AV27" s="209">
        <v>0</v>
      </c>
      <c r="AW27" s="223">
        <v>0</v>
      </c>
      <c r="AX27" s="223">
        <f t="shared" si="39"/>
        <v>0</v>
      </c>
      <c r="AY27" s="209">
        <v>0</v>
      </c>
      <c r="AZ27" s="209">
        <v>0</v>
      </c>
      <c r="BA27" s="223">
        <v>0</v>
      </c>
      <c r="BB27" s="223">
        <f t="shared" si="40"/>
        <v>0</v>
      </c>
      <c r="BC27" s="209">
        <v>0</v>
      </c>
      <c r="BD27" s="209">
        <v>0</v>
      </c>
      <c r="BE27" s="223">
        <v>0</v>
      </c>
      <c r="BF27" s="223">
        <f t="shared" si="41"/>
        <v>0</v>
      </c>
      <c r="BG27" s="209">
        <v>0</v>
      </c>
      <c r="BH27" s="209">
        <v>0</v>
      </c>
      <c r="BI27" s="223">
        <v>0</v>
      </c>
      <c r="BJ27" s="223">
        <f t="shared" si="42"/>
        <v>0</v>
      </c>
      <c r="BK27" s="209">
        <v>1</v>
      </c>
      <c r="BL27" s="209">
        <v>1</v>
      </c>
      <c r="BM27" s="223">
        <f t="shared" si="43"/>
        <v>20833.333333333332</v>
      </c>
      <c r="BN27" s="223">
        <f t="shared" si="44"/>
        <v>20833.333333333332</v>
      </c>
      <c r="BO27" s="209">
        <v>0</v>
      </c>
      <c r="BP27" s="209">
        <v>0</v>
      </c>
      <c r="BQ27" s="223">
        <v>0</v>
      </c>
      <c r="BR27" s="223">
        <f t="shared" si="46"/>
        <v>0</v>
      </c>
      <c r="BS27" s="209">
        <v>0</v>
      </c>
      <c r="BT27" s="209">
        <v>0</v>
      </c>
      <c r="BU27" s="223">
        <v>0</v>
      </c>
      <c r="BV27" s="223">
        <f t="shared" si="47"/>
        <v>0</v>
      </c>
      <c r="BW27" s="209">
        <v>0</v>
      </c>
      <c r="BX27" s="209">
        <v>0</v>
      </c>
      <c r="BY27" s="223">
        <v>0</v>
      </c>
      <c r="BZ27" s="223">
        <f t="shared" si="81"/>
        <v>0</v>
      </c>
      <c r="CA27" s="209">
        <v>0</v>
      </c>
      <c r="CB27" s="209">
        <v>0</v>
      </c>
      <c r="CC27" s="223">
        <v>0</v>
      </c>
      <c r="CD27" s="223">
        <f t="shared" si="49"/>
        <v>0</v>
      </c>
      <c r="CE27" s="209">
        <v>0</v>
      </c>
      <c r="CF27" s="209">
        <v>0</v>
      </c>
      <c r="CG27" s="223">
        <v>0</v>
      </c>
      <c r="CH27" s="223">
        <f t="shared" si="50"/>
        <v>0</v>
      </c>
      <c r="CI27" s="209">
        <v>0</v>
      </c>
      <c r="CJ27" s="209">
        <v>0</v>
      </c>
      <c r="CK27" s="223">
        <v>0</v>
      </c>
      <c r="CL27" s="223">
        <f t="shared" si="84"/>
        <v>0</v>
      </c>
      <c r="CM27" s="209">
        <v>0</v>
      </c>
      <c r="CN27" s="209">
        <v>0</v>
      </c>
      <c r="CO27" s="226">
        <v>0</v>
      </c>
      <c r="CP27" s="226">
        <f t="shared" si="52"/>
        <v>0</v>
      </c>
      <c r="CQ27" s="209">
        <v>0</v>
      </c>
      <c r="CR27" s="209">
        <v>0</v>
      </c>
      <c r="CS27" s="226">
        <v>0</v>
      </c>
      <c r="CT27" s="226">
        <f t="shared" si="53"/>
        <v>0</v>
      </c>
      <c r="CU27" s="209" t="s">
        <v>827</v>
      </c>
      <c r="CV27" s="209">
        <v>0</v>
      </c>
      <c r="CW27" s="226">
        <v>0</v>
      </c>
      <c r="CX27" s="226">
        <f t="shared" si="54"/>
        <v>0</v>
      </c>
      <c r="CY27" s="209" t="s">
        <v>827</v>
      </c>
      <c r="CZ27" s="209">
        <v>0</v>
      </c>
      <c r="DA27" s="226">
        <v>0</v>
      </c>
      <c r="DB27" s="226">
        <f t="shared" si="55"/>
        <v>0</v>
      </c>
      <c r="DC27" s="209" t="s">
        <v>827</v>
      </c>
      <c r="DD27" s="209">
        <v>0</v>
      </c>
      <c r="DE27" s="226">
        <v>0</v>
      </c>
      <c r="DF27" s="226">
        <f t="shared" si="56"/>
        <v>0</v>
      </c>
      <c r="DG27" s="209" t="s">
        <v>827</v>
      </c>
      <c r="DH27" s="209">
        <v>0</v>
      </c>
      <c r="DI27" s="226">
        <v>0</v>
      </c>
      <c r="DJ27" s="226">
        <f t="shared" si="57"/>
        <v>0</v>
      </c>
      <c r="DK27" s="209" t="s">
        <v>827</v>
      </c>
      <c r="DL27" s="209">
        <v>0</v>
      </c>
      <c r="DM27" s="226">
        <v>0</v>
      </c>
      <c r="DN27" s="226">
        <f t="shared" si="58"/>
        <v>0</v>
      </c>
      <c r="DO27" s="209" t="s">
        <v>827</v>
      </c>
      <c r="DP27" s="209">
        <v>0</v>
      </c>
      <c r="DQ27" s="226">
        <v>0</v>
      </c>
      <c r="DR27" s="226">
        <f t="shared" si="59"/>
        <v>0</v>
      </c>
      <c r="DS27" s="209" t="s">
        <v>827</v>
      </c>
      <c r="DT27" s="209">
        <v>0</v>
      </c>
      <c r="DU27" s="226">
        <v>0</v>
      </c>
      <c r="DV27" s="226">
        <f t="shared" si="60"/>
        <v>0</v>
      </c>
      <c r="DW27" s="209" t="s">
        <v>827</v>
      </c>
      <c r="DX27" s="209">
        <v>0</v>
      </c>
      <c r="DY27" s="226">
        <v>0</v>
      </c>
      <c r="DZ27" s="226">
        <f t="shared" si="61"/>
        <v>0</v>
      </c>
      <c r="EA27" s="209" t="s">
        <v>827</v>
      </c>
      <c r="EB27" s="209">
        <v>0</v>
      </c>
      <c r="EC27" s="226">
        <v>0</v>
      </c>
      <c r="ED27" s="226">
        <f t="shared" si="62"/>
        <v>0</v>
      </c>
      <c r="EE27" s="209" t="s">
        <v>827</v>
      </c>
      <c r="EF27" s="209">
        <v>0</v>
      </c>
      <c r="EG27" s="226">
        <v>0</v>
      </c>
      <c r="EH27" s="226">
        <f t="shared" si="63"/>
        <v>0</v>
      </c>
      <c r="EI27" s="209" t="s">
        <v>827</v>
      </c>
      <c r="EJ27" s="209">
        <v>0</v>
      </c>
      <c r="EK27" s="226">
        <v>0</v>
      </c>
      <c r="EL27" s="226">
        <f t="shared" si="64"/>
        <v>0</v>
      </c>
      <c r="EM27" s="209" t="s">
        <v>827</v>
      </c>
      <c r="EN27" s="209">
        <v>0</v>
      </c>
      <c r="EO27" s="226">
        <v>0</v>
      </c>
      <c r="EP27" s="226">
        <f t="shared" si="65"/>
        <v>0</v>
      </c>
      <c r="EQ27" s="209" t="s">
        <v>827</v>
      </c>
      <c r="ER27" s="211" t="s">
        <v>167</v>
      </c>
      <c r="ES27" s="226">
        <f t="shared" si="134"/>
        <v>6770800</v>
      </c>
      <c r="ET27" s="209" t="s">
        <v>827</v>
      </c>
      <c r="EU27" s="211" t="s">
        <v>167</v>
      </c>
      <c r="EV27" s="226">
        <v>0</v>
      </c>
      <c r="EW27" s="209" t="s">
        <v>827</v>
      </c>
      <c r="EX27" s="211" t="s">
        <v>167</v>
      </c>
      <c r="EY27" s="226">
        <v>0</v>
      </c>
      <c r="EZ27" s="209" t="s">
        <v>827</v>
      </c>
      <c r="FA27" s="226">
        <v>0</v>
      </c>
      <c r="FB27" s="209" t="s">
        <v>827</v>
      </c>
      <c r="FC27" s="226">
        <v>0</v>
      </c>
      <c r="FD27" s="209" t="s">
        <v>827</v>
      </c>
      <c r="FE27" s="226">
        <v>0</v>
      </c>
      <c r="FF27" s="209" t="s">
        <v>827</v>
      </c>
      <c r="FG27" s="226">
        <v>0</v>
      </c>
      <c r="FH27" s="209" t="s">
        <v>827</v>
      </c>
      <c r="FI27" s="226">
        <v>0</v>
      </c>
      <c r="FJ27" s="230"/>
      <c r="FK27" s="230"/>
      <c r="FL27" s="233" t="s">
        <v>959</v>
      </c>
      <c r="FM27" s="209">
        <v>1</v>
      </c>
      <c r="FN27" s="223">
        <f t="shared" ref="FN27" si="145">F27*D27</f>
        <v>566700</v>
      </c>
      <c r="FO27" s="223">
        <f t="shared" si="66"/>
        <v>566700</v>
      </c>
      <c r="FP27" s="233" t="s">
        <v>827</v>
      </c>
      <c r="FQ27" s="209">
        <v>0</v>
      </c>
      <c r="FR27" s="223">
        <v>0</v>
      </c>
      <c r="FS27" s="223">
        <f t="shared" si="67"/>
        <v>0</v>
      </c>
      <c r="FT27" s="230"/>
      <c r="FU27" s="230"/>
      <c r="FV27" s="233" t="s">
        <v>827</v>
      </c>
      <c r="FW27" s="209">
        <v>0</v>
      </c>
      <c r="FX27" s="223">
        <v>0</v>
      </c>
      <c r="FY27" s="223">
        <f t="shared" si="127"/>
        <v>0</v>
      </c>
      <c r="FZ27" s="230"/>
      <c r="GA27" s="233" t="s">
        <v>827</v>
      </c>
      <c r="GB27" s="209">
        <v>0</v>
      </c>
      <c r="GC27" s="223">
        <v>0</v>
      </c>
      <c r="GD27" s="223">
        <f t="shared" si="68"/>
        <v>0</v>
      </c>
      <c r="GE27" s="233" t="s">
        <v>827</v>
      </c>
      <c r="GF27" s="209">
        <v>0</v>
      </c>
      <c r="GG27" s="223">
        <v>0</v>
      </c>
      <c r="GH27" s="223">
        <f t="shared" si="128"/>
        <v>0</v>
      </c>
      <c r="GI27" s="233" t="s">
        <v>827</v>
      </c>
      <c r="GJ27" s="209">
        <v>0</v>
      </c>
      <c r="GK27" s="223">
        <v>0</v>
      </c>
      <c r="GL27" s="223">
        <f t="shared" si="132"/>
        <v>0</v>
      </c>
      <c r="GM27" s="233" t="s">
        <v>827</v>
      </c>
      <c r="GN27" s="209">
        <v>0</v>
      </c>
      <c r="GO27" s="223">
        <v>0</v>
      </c>
      <c r="GP27" s="223">
        <f t="shared" si="71"/>
        <v>0</v>
      </c>
      <c r="GQ27" s="233" t="s">
        <v>827</v>
      </c>
      <c r="GR27" s="209">
        <v>0</v>
      </c>
      <c r="GS27" s="223">
        <v>0</v>
      </c>
      <c r="GT27" s="223">
        <f t="shared" si="72"/>
        <v>0</v>
      </c>
      <c r="GU27" s="233" t="s">
        <v>827</v>
      </c>
      <c r="GV27" s="209">
        <v>0</v>
      </c>
      <c r="GW27" s="223">
        <v>0</v>
      </c>
      <c r="GX27" s="223">
        <f t="shared" si="73"/>
        <v>0</v>
      </c>
      <c r="GY27" s="230"/>
      <c r="GZ27" s="233" t="s">
        <v>827</v>
      </c>
      <c r="HA27" s="209">
        <v>0</v>
      </c>
      <c r="HB27" s="223">
        <v>0</v>
      </c>
      <c r="HC27" s="223">
        <f t="shared" si="74"/>
        <v>0</v>
      </c>
      <c r="HD27" s="233" t="s">
        <v>827</v>
      </c>
      <c r="HE27" s="209">
        <v>0</v>
      </c>
      <c r="HF27" s="223">
        <v>0</v>
      </c>
      <c r="HG27" s="223">
        <f t="shared" si="75"/>
        <v>0</v>
      </c>
      <c r="HH27" s="230"/>
      <c r="HI27" s="233" t="s">
        <v>827</v>
      </c>
      <c r="HJ27" s="209">
        <v>0</v>
      </c>
      <c r="HK27" s="223">
        <v>0</v>
      </c>
      <c r="HL27" s="223">
        <f t="shared" si="76"/>
        <v>0</v>
      </c>
      <c r="HM27" s="230"/>
      <c r="HN27" s="230"/>
      <c r="HO27" s="233" t="s">
        <v>827</v>
      </c>
      <c r="HP27" s="209">
        <v>0</v>
      </c>
      <c r="HQ27" s="223">
        <v>0</v>
      </c>
      <c r="HR27" s="223">
        <f t="shared" si="130"/>
        <v>0</v>
      </c>
      <c r="HS27" s="230"/>
      <c r="HT27" s="230"/>
      <c r="HU27" s="230"/>
      <c r="HV27" s="230"/>
      <c r="HW27" s="230"/>
      <c r="HX27" s="230"/>
      <c r="HY27" s="230"/>
      <c r="HZ27" s="230"/>
      <c r="IA27" s="230"/>
      <c r="IB27" s="230"/>
      <c r="IC27" s="230"/>
      <c r="ID27" s="230"/>
      <c r="IE27" s="230"/>
      <c r="IF27" s="230"/>
    </row>
    <row r="28" spans="1:240" x14ac:dyDescent="0.2">
      <c r="A28" s="209" t="s">
        <v>768</v>
      </c>
      <c r="B28" s="209" t="s">
        <v>775</v>
      </c>
      <c r="C28" s="209" t="s">
        <v>779</v>
      </c>
      <c r="D28" s="211">
        <v>2</v>
      </c>
      <c r="E28" s="210">
        <v>113340</v>
      </c>
      <c r="F28" s="212">
        <f t="shared" si="31"/>
        <v>56670</v>
      </c>
      <c r="G28" s="209">
        <f t="shared" si="136"/>
        <v>3</v>
      </c>
      <c r="H28" s="209">
        <f t="shared" si="136"/>
        <v>3</v>
      </c>
      <c r="I28" s="212">
        <f t="shared" si="137"/>
        <v>50000</v>
      </c>
      <c r="J28" s="212">
        <f t="shared" si="138"/>
        <v>450000</v>
      </c>
      <c r="K28" s="211">
        <v>8</v>
      </c>
      <c r="L28" s="217">
        <f>F28/8</f>
        <v>7083.75</v>
      </c>
      <c r="M28" s="217">
        <f t="shared" si="34"/>
        <v>56670</v>
      </c>
      <c r="N28" s="209">
        <v>1</v>
      </c>
      <c r="O28" s="209">
        <v>1</v>
      </c>
      <c r="P28" s="217">
        <f t="shared" si="139"/>
        <v>7083.75</v>
      </c>
      <c r="Q28" s="217">
        <f t="shared" si="140"/>
        <v>7083.75</v>
      </c>
      <c r="R28" s="209">
        <f t="shared" si="108"/>
        <v>16</v>
      </c>
      <c r="S28" s="209">
        <v>1</v>
      </c>
      <c r="T28" s="212">
        <f t="shared" si="109"/>
        <v>7083.75</v>
      </c>
      <c r="U28" s="212">
        <f t="shared" si="110"/>
        <v>113340</v>
      </c>
      <c r="V28" s="230"/>
      <c r="W28" s="209">
        <v>1</v>
      </c>
      <c r="X28" s="209">
        <v>0</v>
      </c>
      <c r="Y28" s="223">
        <f t="shared" si="141"/>
        <v>30416.666666666668</v>
      </c>
      <c r="Z28" s="223">
        <f t="shared" si="35"/>
        <v>0</v>
      </c>
      <c r="AA28" s="209">
        <v>1</v>
      </c>
      <c r="AB28" s="209">
        <v>2</v>
      </c>
      <c r="AC28" s="223">
        <f t="shared" si="142"/>
        <v>16666.666666666668</v>
      </c>
      <c r="AD28" s="223">
        <f t="shared" si="143"/>
        <v>33333.333333333336</v>
      </c>
      <c r="AE28" s="209">
        <v>0</v>
      </c>
      <c r="AF28" s="209">
        <v>0</v>
      </c>
      <c r="AG28" s="223">
        <v>0</v>
      </c>
      <c r="AH28" s="223">
        <f t="shared" si="36"/>
        <v>0</v>
      </c>
      <c r="AI28" s="209">
        <v>1</v>
      </c>
      <c r="AJ28" s="209">
        <v>1</v>
      </c>
      <c r="AK28" s="223">
        <f t="shared" si="144"/>
        <v>10416.666666666666</v>
      </c>
      <c r="AL28" s="223">
        <f t="shared" si="78"/>
        <v>10416.666666666666</v>
      </c>
      <c r="AM28" s="209">
        <v>1</v>
      </c>
      <c r="AN28" s="209">
        <v>1</v>
      </c>
      <c r="AO28" s="226">
        <f t="shared" si="83"/>
        <v>7500</v>
      </c>
      <c r="AP28" s="223">
        <f t="shared" si="4"/>
        <v>7500</v>
      </c>
      <c r="AQ28" s="209">
        <v>0</v>
      </c>
      <c r="AR28" s="209">
        <v>0</v>
      </c>
      <c r="AS28" s="223">
        <v>0</v>
      </c>
      <c r="AT28" s="223">
        <f t="shared" si="38"/>
        <v>0</v>
      </c>
      <c r="AU28" s="209">
        <v>0</v>
      </c>
      <c r="AV28" s="209">
        <v>0</v>
      </c>
      <c r="AW28" s="223">
        <v>0</v>
      </c>
      <c r="AX28" s="223">
        <f t="shared" si="39"/>
        <v>0</v>
      </c>
      <c r="AY28" s="209">
        <v>0</v>
      </c>
      <c r="AZ28" s="209">
        <v>0</v>
      </c>
      <c r="BA28" s="223">
        <v>0</v>
      </c>
      <c r="BB28" s="223">
        <f t="shared" si="40"/>
        <v>0</v>
      </c>
      <c r="BC28" s="209">
        <v>0</v>
      </c>
      <c r="BD28" s="209">
        <v>0</v>
      </c>
      <c r="BE28" s="223">
        <v>0</v>
      </c>
      <c r="BF28" s="223">
        <f t="shared" si="41"/>
        <v>0</v>
      </c>
      <c r="BG28" s="209">
        <v>0</v>
      </c>
      <c r="BH28" s="209">
        <v>0</v>
      </c>
      <c r="BI28" s="223">
        <v>0</v>
      </c>
      <c r="BJ28" s="223">
        <f t="shared" si="42"/>
        <v>0</v>
      </c>
      <c r="BK28" s="209">
        <v>1</v>
      </c>
      <c r="BL28" s="209">
        <v>1</v>
      </c>
      <c r="BM28" s="223">
        <f t="shared" si="43"/>
        <v>20833.333333333332</v>
      </c>
      <c r="BN28" s="223">
        <f t="shared" si="44"/>
        <v>20833.333333333332</v>
      </c>
      <c r="BO28" s="209">
        <v>0</v>
      </c>
      <c r="BP28" s="209">
        <v>0</v>
      </c>
      <c r="BQ28" s="223">
        <v>0</v>
      </c>
      <c r="BR28" s="223">
        <f t="shared" si="46"/>
        <v>0</v>
      </c>
      <c r="BS28" s="209">
        <v>0</v>
      </c>
      <c r="BT28" s="209">
        <v>0</v>
      </c>
      <c r="BU28" s="223">
        <v>0</v>
      </c>
      <c r="BV28" s="223">
        <f t="shared" si="47"/>
        <v>0</v>
      </c>
      <c r="BW28" s="209">
        <v>0</v>
      </c>
      <c r="BX28" s="209">
        <v>0</v>
      </c>
      <c r="BY28" s="223">
        <v>0</v>
      </c>
      <c r="BZ28" s="223">
        <f t="shared" si="81"/>
        <v>0</v>
      </c>
      <c r="CA28" s="209">
        <v>0</v>
      </c>
      <c r="CB28" s="209">
        <v>0</v>
      </c>
      <c r="CC28" s="223">
        <v>0</v>
      </c>
      <c r="CD28" s="223">
        <f t="shared" si="49"/>
        <v>0</v>
      </c>
      <c r="CE28" s="209">
        <v>0</v>
      </c>
      <c r="CF28" s="209">
        <v>0</v>
      </c>
      <c r="CG28" s="223">
        <v>0</v>
      </c>
      <c r="CH28" s="223">
        <f t="shared" si="50"/>
        <v>0</v>
      </c>
      <c r="CI28" s="209">
        <v>0</v>
      </c>
      <c r="CJ28" s="209">
        <v>0</v>
      </c>
      <c r="CK28" s="223">
        <v>0</v>
      </c>
      <c r="CL28" s="223">
        <f t="shared" si="84"/>
        <v>0</v>
      </c>
      <c r="CM28" s="209">
        <v>0</v>
      </c>
      <c r="CN28" s="209">
        <v>0</v>
      </c>
      <c r="CO28" s="226">
        <v>0</v>
      </c>
      <c r="CP28" s="226">
        <f t="shared" si="52"/>
        <v>0</v>
      </c>
      <c r="CQ28" s="209">
        <v>0</v>
      </c>
      <c r="CR28" s="209">
        <v>0</v>
      </c>
      <c r="CS28" s="226">
        <v>0</v>
      </c>
      <c r="CT28" s="226">
        <f t="shared" si="53"/>
        <v>0</v>
      </c>
      <c r="CU28" s="209" t="s">
        <v>827</v>
      </c>
      <c r="CV28" s="209">
        <v>0</v>
      </c>
      <c r="CW28" s="226">
        <v>0</v>
      </c>
      <c r="CX28" s="226">
        <f t="shared" si="54"/>
        <v>0</v>
      </c>
      <c r="CY28" s="209" t="s">
        <v>827</v>
      </c>
      <c r="CZ28" s="209">
        <v>0</v>
      </c>
      <c r="DA28" s="226">
        <v>0</v>
      </c>
      <c r="DB28" s="226">
        <f t="shared" si="55"/>
        <v>0</v>
      </c>
      <c r="DC28" s="209" t="s">
        <v>827</v>
      </c>
      <c r="DD28" s="209">
        <v>0</v>
      </c>
      <c r="DE28" s="226">
        <v>0</v>
      </c>
      <c r="DF28" s="226">
        <f t="shared" si="56"/>
        <v>0</v>
      </c>
      <c r="DG28" s="209" t="s">
        <v>827</v>
      </c>
      <c r="DH28" s="209">
        <v>0</v>
      </c>
      <c r="DI28" s="226">
        <v>0</v>
      </c>
      <c r="DJ28" s="226">
        <f t="shared" si="57"/>
        <v>0</v>
      </c>
      <c r="DK28" s="209" t="s">
        <v>827</v>
      </c>
      <c r="DL28" s="209">
        <v>0</v>
      </c>
      <c r="DM28" s="226">
        <v>0</v>
      </c>
      <c r="DN28" s="226">
        <f t="shared" si="58"/>
        <v>0</v>
      </c>
      <c r="DO28" s="209" t="s">
        <v>827</v>
      </c>
      <c r="DP28" s="209">
        <v>0</v>
      </c>
      <c r="DQ28" s="226">
        <v>0</v>
      </c>
      <c r="DR28" s="226">
        <f t="shared" si="59"/>
        <v>0</v>
      </c>
      <c r="DS28" s="209" t="s">
        <v>827</v>
      </c>
      <c r="DT28" s="209">
        <v>0</v>
      </c>
      <c r="DU28" s="226">
        <v>0</v>
      </c>
      <c r="DV28" s="226">
        <f t="shared" si="60"/>
        <v>0</v>
      </c>
      <c r="DW28" s="209" t="s">
        <v>827</v>
      </c>
      <c r="DX28" s="209">
        <v>0</v>
      </c>
      <c r="DY28" s="226">
        <v>0</v>
      </c>
      <c r="DZ28" s="226">
        <f t="shared" si="61"/>
        <v>0</v>
      </c>
      <c r="EA28" s="209" t="s">
        <v>827</v>
      </c>
      <c r="EB28" s="209">
        <v>0</v>
      </c>
      <c r="EC28" s="226">
        <v>0</v>
      </c>
      <c r="ED28" s="226">
        <f t="shared" si="62"/>
        <v>0</v>
      </c>
      <c r="EE28" s="209" t="s">
        <v>827</v>
      </c>
      <c r="EF28" s="209">
        <v>0</v>
      </c>
      <c r="EG28" s="226">
        <v>0</v>
      </c>
      <c r="EH28" s="226">
        <f t="shared" si="63"/>
        <v>0</v>
      </c>
      <c r="EI28" s="209" t="s">
        <v>827</v>
      </c>
      <c r="EJ28" s="209">
        <v>0</v>
      </c>
      <c r="EK28" s="226">
        <v>0</v>
      </c>
      <c r="EL28" s="226">
        <f t="shared" si="64"/>
        <v>0</v>
      </c>
      <c r="EM28" s="209" t="s">
        <v>827</v>
      </c>
      <c r="EN28" s="209">
        <v>0</v>
      </c>
      <c r="EO28" s="226">
        <v>0</v>
      </c>
      <c r="EP28" s="226">
        <f t="shared" si="65"/>
        <v>0</v>
      </c>
      <c r="EQ28" s="209" t="s">
        <v>827</v>
      </c>
      <c r="ER28" s="211" t="s">
        <v>167</v>
      </c>
      <c r="ES28" s="226">
        <f t="shared" si="134"/>
        <v>1354160</v>
      </c>
      <c r="ET28" s="209" t="s">
        <v>827</v>
      </c>
      <c r="EU28" s="211" t="s">
        <v>167</v>
      </c>
      <c r="EV28" s="226">
        <v>0</v>
      </c>
      <c r="EW28" s="209" t="s">
        <v>827</v>
      </c>
      <c r="EX28" s="211" t="s">
        <v>167</v>
      </c>
      <c r="EY28" s="226">
        <v>0</v>
      </c>
      <c r="EZ28" s="209" t="s">
        <v>827</v>
      </c>
      <c r="FA28" s="226">
        <v>0</v>
      </c>
      <c r="FB28" s="209" t="s">
        <v>827</v>
      </c>
      <c r="FC28" s="226">
        <v>0</v>
      </c>
      <c r="FD28" s="209" t="s">
        <v>827</v>
      </c>
      <c r="FE28" s="226">
        <v>0</v>
      </c>
      <c r="FF28" s="209" t="s">
        <v>827</v>
      </c>
      <c r="FG28" s="226">
        <v>0</v>
      </c>
      <c r="FH28" s="209" t="s">
        <v>827</v>
      </c>
      <c r="FI28" s="226">
        <v>0</v>
      </c>
      <c r="FJ28" s="230"/>
      <c r="FK28" s="230"/>
      <c r="FL28" s="233" t="s">
        <v>959</v>
      </c>
      <c r="FM28" s="209">
        <v>1</v>
      </c>
      <c r="FN28" s="223">
        <f t="shared" ref="FN28" si="146">F28*D28</f>
        <v>113340</v>
      </c>
      <c r="FO28" s="223">
        <f t="shared" si="66"/>
        <v>113340</v>
      </c>
      <c r="FP28" s="233" t="s">
        <v>827</v>
      </c>
      <c r="FQ28" s="209">
        <v>0</v>
      </c>
      <c r="FR28" s="223">
        <v>0</v>
      </c>
      <c r="FS28" s="223">
        <f t="shared" si="67"/>
        <v>0</v>
      </c>
      <c r="FT28" s="230"/>
      <c r="FU28" s="230"/>
      <c r="FV28" s="233" t="s">
        <v>827</v>
      </c>
      <c r="FW28" s="209">
        <v>0</v>
      </c>
      <c r="FX28" s="223">
        <v>0</v>
      </c>
      <c r="FY28" s="223">
        <f t="shared" si="127"/>
        <v>0</v>
      </c>
      <c r="FZ28" s="230"/>
      <c r="GA28" s="233" t="s">
        <v>827</v>
      </c>
      <c r="GB28" s="209">
        <v>0</v>
      </c>
      <c r="GC28" s="223">
        <v>0</v>
      </c>
      <c r="GD28" s="223">
        <f t="shared" si="68"/>
        <v>0</v>
      </c>
      <c r="GE28" s="233" t="s">
        <v>827</v>
      </c>
      <c r="GF28" s="209">
        <v>0</v>
      </c>
      <c r="GG28" s="223">
        <v>0</v>
      </c>
      <c r="GH28" s="223">
        <f t="shared" si="128"/>
        <v>0</v>
      </c>
      <c r="GI28" s="233" t="s">
        <v>827</v>
      </c>
      <c r="GJ28" s="209">
        <v>0</v>
      </c>
      <c r="GK28" s="223">
        <v>0</v>
      </c>
      <c r="GL28" s="223">
        <f t="shared" si="132"/>
        <v>0</v>
      </c>
      <c r="GM28" s="233" t="s">
        <v>827</v>
      </c>
      <c r="GN28" s="209">
        <v>0</v>
      </c>
      <c r="GO28" s="223">
        <v>0</v>
      </c>
      <c r="GP28" s="223">
        <f t="shared" si="71"/>
        <v>0</v>
      </c>
      <c r="GQ28" s="233" t="s">
        <v>827</v>
      </c>
      <c r="GR28" s="209">
        <v>0</v>
      </c>
      <c r="GS28" s="223">
        <v>0</v>
      </c>
      <c r="GT28" s="223">
        <f t="shared" si="72"/>
        <v>0</v>
      </c>
      <c r="GU28" s="233" t="s">
        <v>827</v>
      </c>
      <c r="GV28" s="209">
        <v>0</v>
      </c>
      <c r="GW28" s="223">
        <v>0</v>
      </c>
      <c r="GX28" s="223">
        <f t="shared" si="73"/>
        <v>0</v>
      </c>
      <c r="GY28" s="230"/>
      <c r="GZ28" s="233" t="s">
        <v>827</v>
      </c>
      <c r="HA28" s="209">
        <v>0</v>
      </c>
      <c r="HB28" s="223">
        <v>0</v>
      </c>
      <c r="HC28" s="223">
        <f t="shared" si="74"/>
        <v>0</v>
      </c>
      <c r="HD28" s="233" t="s">
        <v>827</v>
      </c>
      <c r="HE28" s="209">
        <v>0</v>
      </c>
      <c r="HF28" s="223">
        <v>0</v>
      </c>
      <c r="HG28" s="223">
        <f t="shared" si="75"/>
        <v>0</v>
      </c>
      <c r="HH28" s="230"/>
      <c r="HI28" s="233" t="s">
        <v>827</v>
      </c>
      <c r="HJ28" s="209">
        <v>0</v>
      </c>
      <c r="HK28" s="223">
        <v>0</v>
      </c>
      <c r="HL28" s="223">
        <f t="shared" si="76"/>
        <v>0</v>
      </c>
      <c r="HM28" s="230"/>
      <c r="HN28" s="230"/>
      <c r="HO28" s="233" t="s">
        <v>827</v>
      </c>
      <c r="HP28" s="209">
        <v>0</v>
      </c>
      <c r="HQ28" s="223">
        <v>0</v>
      </c>
      <c r="HR28" s="223">
        <f t="shared" si="130"/>
        <v>0</v>
      </c>
      <c r="HS28" s="230"/>
      <c r="HT28" s="230"/>
      <c r="HU28" s="230"/>
      <c r="HV28" s="230"/>
      <c r="HW28" s="230"/>
      <c r="HX28" s="230"/>
      <c r="HY28" s="230"/>
      <c r="HZ28" s="230"/>
      <c r="IA28" s="230"/>
      <c r="IB28" s="230"/>
      <c r="IC28" s="230"/>
      <c r="ID28" s="230"/>
      <c r="IE28" s="230"/>
      <c r="IF28" s="230"/>
    </row>
    <row r="29" spans="1:240" x14ac:dyDescent="0.2">
      <c r="A29" s="209" t="s">
        <v>766</v>
      </c>
      <c r="B29" s="209" t="s">
        <v>767</v>
      </c>
      <c r="C29" s="209" t="s">
        <v>779</v>
      </c>
      <c r="D29" s="211">
        <v>21</v>
      </c>
      <c r="E29" s="210">
        <v>601464.5</v>
      </c>
      <c r="F29" s="212">
        <f t="shared" si="31"/>
        <v>28641.166666666668</v>
      </c>
      <c r="G29" s="209">
        <f>1+1+1</f>
        <v>3</v>
      </c>
      <c r="H29" s="209">
        <f>1+1+1</f>
        <v>3</v>
      </c>
      <c r="I29" s="212">
        <f>((3500000+1200000+680000)/30)/8</f>
        <v>22416.666666666668</v>
      </c>
      <c r="J29" s="212">
        <f t="shared" si="131"/>
        <v>201750</v>
      </c>
      <c r="K29" s="211">
        <v>8</v>
      </c>
      <c r="L29" s="217">
        <f t="shared" si="33"/>
        <v>3580.1458333333335</v>
      </c>
      <c r="M29" s="217">
        <f t="shared" si="34"/>
        <v>28641.166666666668</v>
      </c>
      <c r="N29" s="209">
        <v>1</v>
      </c>
      <c r="O29" s="209">
        <v>2</v>
      </c>
      <c r="P29" s="217">
        <f>+L29</f>
        <v>3580.1458333333335</v>
      </c>
      <c r="Q29" s="217">
        <f t="shared" si="133"/>
        <v>7160.291666666667</v>
      </c>
      <c r="R29" s="209">
        <f t="shared" si="108"/>
        <v>168</v>
      </c>
      <c r="S29" s="209">
        <v>0</v>
      </c>
      <c r="T29" s="212">
        <f t="shared" si="109"/>
        <v>3580.1458333333335</v>
      </c>
      <c r="U29" s="212">
        <f t="shared" si="110"/>
        <v>0</v>
      </c>
      <c r="V29" s="230"/>
      <c r="W29" s="209">
        <v>1</v>
      </c>
      <c r="X29" s="209">
        <v>3</v>
      </c>
      <c r="Y29" s="223">
        <f>((1400000+1400000+3900000)/30)/8</f>
        <v>27916.666666666668</v>
      </c>
      <c r="Z29" s="223">
        <f t="shared" si="35"/>
        <v>83750</v>
      </c>
      <c r="AA29" s="209">
        <v>1</v>
      </c>
      <c r="AB29" s="209">
        <v>1</v>
      </c>
      <c r="AC29" s="223">
        <f>((900000*2)/30)/8</f>
        <v>7500</v>
      </c>
      <c r="AD29" s="223">
        <f t="shared" ref="AD29" si="147">AA29*AB29*AC29</f>
        <v>7500</v>
      </c>
      <c r="AE29" s="209">
        <v>1</v>
      </c>
      <c r="AF29" s="209">
        <v>2</v>
      </c>
      <c r="AG29" s="223">
        <f>((3500000+2500000)/30)/8</f>
        <v>25000</v>
      </c>
      <c r="AH29" s="223">
        <f t="shared" si="36"/>
        <v>50000</v>
      </c>
      <c r="AI29" s="209">
        <v>1</v>
      </c>
      <c r="AJ29" s="209">
        <v>1</v>
      </c>
      <c r="AK29" s="223">
        <f>(1200000/30)/8</f>
        <v>5000</v>
      </c>
      <c r="AL29" s="223">
        <f t="shared" si="78"/>
        <v>5000</v>
      </c>
      <c r="AM29" s="209">
        <v>1</v>
      </c>
      <c r="AN29" s="209">
        <v>1</v>
      </c>
      <c r="AO29" s="226">
        <f t="shared" si="83"/>
        <v>7500</v>
      </c>
      <c r="AP29" s="223">
        <f t="shared" si="4"/>
        <v>7500</v>
      </c>
      <c r="AQ29" s="209">
        <v>0</v>
      </c>
      <c r="AR29" s="209">
        <v>0</v>
      </c>
      <c r="AS29" s="223">
        <v>0</v>
      </c>
      <c r="AT29" s="223">
        <f t="shared" si="38"/>
        <v>0</v>
      </c>
      <c r="AU29" s="209">
        <v>1</v>
      </c>
      <c r="AV29" s="209">
        <v>2</v>
      </c>
      <c r="AW29" s="223">
        <f>((3500000+1200000)/30)/8</f>
        <v>19583.333333333332</v>
      </c>
      <c r="AX29" s="223">
        <f t="shared" si="39"/>
        <v>39166.666666666664</v>
      </c>
      <c r="AY29" s="209">
        <v>1</v>
      </c>
      <c r="AZ29" s="209">
        <v>5</v>
      </c>
      <c r="BA29" s="223">
        <f>((6000000+2500000+3500000+1400000+3500000)/30)/8</f>
        <v>70416.666666666672</v>
      </c>
      <c r="BB29" s="223">
        <f t="shared" si="40"/>
        <v>352083.33333333337</v>
      </c>
      <c r="BC29" s="209">
        <v>1</v>
      </c>
      <c r="BD29" s="209">
        <v>2</v>
      </c>
      <c r="BE29" s="223">
        <f>((1400000+1200000)/30)/8</f>
        <v>10833.333333333334</v>
      </c>
      <c r="BF29" s="223">
        <f t="shared" si="41"/>
        <v>21666.666666666668</v>
      </c>
      <c r="BG29" s="209">
        <v>4</v>
      </c>
      <c r="BH29" s="209">
        <v>1</v>
      </c>
      <c r="BI29" s="223">
        <f>(1200000/30)/8</f>
        <v>5000</v>
      </c>
      <c r="BJ29" s="223">
        <f t="shared" si="42"/>
        <v>20000</v>
      </c>
      <c r="BK29" s="209">
        <v>1</v>
      </c>
      <c r="BL29" s="209">
        <v>1</v>
      </c>
      <c r="BM29" s="223">
        <f t="shared" si="43"/>
        <v>20833.333333333332</v>
      </c>
      <c r="BN29" s="223">
        <f t="shared" si="44"/>
        <v>20833.333333333332</v>
      </c>
      <c r="BO29" s="209">
        <v>2</v>
      </c>
      <c r="BP29" s="209">
        <v>1</v>
      </c>
      <c r="BQ29" s="223">
        <f t="shared" si="45"/>
        <v>5833.333333333333</v>
      </c>
      <c r="BR29" s="223">
        <f t="shared" si="46"/>
        <v>11666.666666666666</v>
      </c>
      <c r="BS29" s="209">
        <v>0</v>
      </c>
      <c r="BT29" s="209">
        <v>0</v>
      </c>
      <c r="BU29" s="223">
        <v>0</v>
      </c>
      <c r="BV29" s="223">
        <f t="shared" si="47"/>
        <v>0</v>
      </c>
      <c r="BW29" s="209">
        <v>0</v>
      </c>
      <c r="BX29" s="209">
        <v>0</v>
      </c>
      <c r="BY29" s="223">
        <v>0</v>
      </c>
      <c r="BZ29" s="223">
        <f t="shared" si="81"/>
        <v>0</v>
      </c>
      <c r="CA29" s="209">
        <v>1</v>
      </c>
      <c r="CB29" s="209">
        <v>1</v>
      </c>
      <c r="CC29" s="223">
        <f>(900000/30)/8</f>
        <v>3750</v>
      </c>
      <c r="CD29" s="223">
        <f t="shared" si="49"/>
        <v>3750</v>
      </c>
      <c r="CE29" s="209">
        <v>0</v>
      </c>
      <c r="CF29" s="209">
        <v>0</v>
      </c>
      <c r="CG29" s="223">
        <v>0</v>
      </c>
      <c r="CH29" s="223">
        <f t="shared" si="50"/>
        <v>0</v>
      </c>
      <c r="CI29" s="209">
        <v>0</v>
      </c>
      <c r="CJ29" s="209">
        <v>0</v>
      </c>
      <c r="CK29" s="223">
        <v>0</v>
      </c>
      <c r="CL29" s="223">
        <f t="shared" si="84"/>
        <v>0</v>
      </c>
      <c r="CM29" s="209">
        <v>0</v>
      </c>
      <c r="CN29" s="209">
        <v>0</v>
      </c>
      <c r="CO29" s="226">
        <v>0</v>
      </c>
      <c r="CP29" s="226">
        <f t="shared" si="52"/>
        <v>0</v>
      </c>
      <c r="CQ29" s="209">
        <v>0</v>
      </c>
      <c r="CR29" s="209">
        <v>0</v>
      </c>
      <c r="CS29" s="226">
        <v>0</v>
      </c>
      <c r="CT29" s="226">
        <f t="shared" si="53"/>
        <v>0</v>
      </c>
      <c r="CU29" s="209" t="s">
        <v>827</v>
      </c>
      <c r="CV29" s="209">
        <v>0</v>
      </c>
      <c r="CW29" s="226">
        <v>0</v>
      </c>
      <c r="CX29" s="226">
        <f t="shared" si="54"/>
        <v>0</v>
      </c>
      <c r="CY29" s="209" t="s">
        <v>827</v>
      </c>
      <c r="CZ29" s="209">
        <v>0</v>
      </c>
      <c r="DA29" s="226">
        <v>0</v>
      </c>
      <c r="DB29" s="226">
        <f t="shared" si="55"/>
        <v>0</v>
      </c>
      <c r="DC29" s="209" t="s">
        <v>827</v>
      </c>
      <c r="DD29" s="209">
        <v>0</v>
      </c>
      <c r="DE29" s="226">
        <v>0</v>
      </c>
      <c r="DF29" s="226">
        <f t="shared" si="56"/>
        <v>0</v>
      </c>
      <c r="DG29" s="209" t="s">
        <v>827</v>
      </c>
      <c r="DH29" s="209">
        <v>0</v>
      </c>
      <c r="DI29" s="226">
        <v>0</v>
      </c>
      <c r="DJ29" s="226">
        <f t="shared" si="57"/>
        <v>0</v>
      </c>
      <c r="DK29" s="209" t="s">
        <v>827</v>
      </c>
      <c r="DL29" s="209">
        <v>0</v>
      </c>
      <c r="DM29" s="226">
        <v>0</v>
      </c>
      <c r="DN29" s="226">
        <f t="shared" si="58"/>
        <v>0</v>
      </c>
      <c r="DO29" s="209" t="s">
        <v>827</v>
      </c>
      <c r="DP29" s="209">
        <v>0</v>
      </c>
      <c r="DQ29" s="226">
        <v>0</v>
      </c>
      <c r="DR29" s="226">
        <f t="shared" si="59"/>
        <v>0</v>
      </c>
      <c r="DS29" s="209" t="s">
        <v>827</v>
      </c>
      <c r="DT29" s="209">
        <v>0</v>
      </c>
      <c r="DU29" s="226">
        <v>0</v>
      </c>
      <c r="DV29" s="226">
        <f t="shared" si="60"/>
        <v>0</v>
      </c>
      <c r="DW29" s="209" t="s">
        <v>827</v>
      </c>
      <c r="DX29" s="209">
        <v>0</v>
      </c>
      <c r="DY29" s="226">
        <v>0</v>
      </c>
      <c r="DZ29" s="226">
        <f t="shared" si="61"/>
        <v>0</v>
      </c>
      <c r="EA29" s="209" t="s">
        <v>827</v>
      </c>
      <c r="EB29" s="209">
        <v>0</v>
      </c>
      <c r="EC29" s="226">
        <v>0</v>
      </c>
      <c r="ED29" s="226">
        <f t="shared" si="62"/>
        <v>0</v>
      </c>
      <c r="EE29" s="209" t="s">
        <v>827</v>
      </c>
      <c r="EF29" s="209">
        <v>0</v>
      </c>
      <c r="EG29" s="226">
        <v>0</v>
      </c>
      <c r="EH29" s="226">
        <f t="shared" si="63"/>
        <v>0</v>
      </c>
      <c r="EI29" s="209" t="s">
        <v>827</v>
      </c>
      <c r="EJ29" s="209">
        <v>0</v>
      </c>
      <c r="EK29" s="226">
        <v>0</v>
      </c>
      <c r="EL29" s="226">
        <f t="shared" si="64"/>
        <v>0</v>
      </c>
      <c r="EM29" s="209" t="s">
        <v>827</v>
      </c>
      <c r="EN29" s="209">
        <v>0</v>
      </c>
      <c r="EO29" s="226">
        <v>0</v>
      </c>
      <c r="EP29" s="226">
        <f t="shared" si="65"/>
        <v>0</v>
      </c>
      <c r="EQ29" s="209" t="s">
        <v>827</v>
      </c>
      <c r="ER29" s="211" t="s">
        <v>167</v>
      </c>
      <c r="ES29" s="226">
        <v>0</v>
      </c>
      <c r="ET29" s="209" t="s">
        <v>827</v>
      </c>
      <c r="EU29" s="211" t="s">
        <v>167</v>
      </c>
      <c r="EV29" s="226">
        <v>0</v>
      </c>
      <c r="EW29" s="209" t="s">
        <v>827</v>
      </c>
      <c r="EX29" s="211" t="s">
        <v>167</v>
      </c>
      <c r="EY29" s="226">
        <v>0</v>
      </c>
      <c r="EZ29" s="209" t="s">
        <v>827</v>
      </c>
      <c r="FA29" s="226">
        <v>0</v>
      </c>
      <c r="FB29" s="209" t="s">
        <v>827</v>
      </c>
      <c r="FC29" s="226">
        <v>0</v>
      </c>
      <c r="FD29" s="209" t="s">
        <v>827</v>
      </c>
      <c r="FE29" s="226">
        <v>0</v>
      </c>
      <c r="FF29" s="209" t="s">
        <v>827</v>
      </c>
      <c r="FG29" s="226">
        <v>0</v>
      </c>
      <c r="FH29" s="209" t="s">
        <v>827</v>
      </c>
      <c r="FI29" s="226">
        <v>0</v>
      </c>
      <c r="FJ29" s="230"/>
      <c r="FK29" s="230"/>
      <c r="FL29" s="233" t="s">
        <v>959</v>
      </c>
      <c r="FM29" s="209">
        <v>1</v>
      </c>
      <c r="FN29" s="223">
        <f t="shared" ref="FN29:FN30" si="148">F29*D29</f>
        <v>601464.5</v>
      </c>
      <c r="FO29" s="223">
        <f t="shared" si="66"/>
        <v>601464.5</v>
      </c>
      <c r="FP29" s="233" t="s">
        <v>827</v>
      </c>
      <c r="FQ29" s="209">
        <v>0</v>
      </c>
      <c r="FR29" s="223">
        <v>0</v>
      </c>
      <c r="FS29" s="223">
        <f t="shared" si="67"/>
        <v>0</v>
      </c>
      <c r="FT29" s="230"/>
      <c r="FU29" s="230"/>
      <c r="FV29" s="233" t="s">
        <v>827</v>
      </c>
      <c r="FW29" s="209">
        <v>0</v>
      </c>
      <c r="FX29" s="223">
        <v>0</v>
      </c>
      <c r="FY29" s="223">
        <f t="shared" ref="FY29:FY32" si="149">FW29*FX29</f>
        <v>0</v>
      </c>
      <c r="FZ29" s="230"/>
      <c r="GA29" s="233" t="s">
        <v>962</v>
      </c>
      <c r="GB29" s="209">
        <v>1</v>
      </c>
      <c r="GC29" s="223">
        <f>1000000/2</f>
        <v>500000</v>
      </c>
      <c r="GD29" s="223">
        <f t="shared" si="68"/>
        <v>500000</v>
      </c>
      <c r="GE29" s="233" t="s">
        <v>827</v>
      </c>
      <c r="GF29" s="209">
        <v>1</v>
      </c>
      <c r="GG29" s="223">
        <v>10000</v>
      </c>
      <c r="GH29" s="223">
        <f t="shared" si="128"/>
        <v>10000</v>
      </c>
      <c r="GI29" s="233" t="s">
        <v>827</v>
      </c>
      <c r="GJ29" s="209">
        <v>0</v>
      </c>
      <c r="GK29" s="223">
        <v>0</v>
      </c>
      <c r="GL29" s="223">
        <f t="shared" si="132"/>
        <v>0</v>
      </c>
      <c r="GM29" s="233" t="s">
        <v>827</v>
      </c>
      <c r="GN29" s="209">
        <v>2</v>
      </c>
      <c r="GO29" s="223">
        <f>(1800000+2500000)/30/8</f>
        <v>17916.666666666668</v>
      </c>
      <c r="GP29" s="223">
        <f t="shared" si="71"/>
        <v>35833.333333333336</v>
      </c>
      <c r="GQ29" s="233" t="s">
        <v>827</v>
      </c>
      <c r="GR29" s="209">
        <v>0</v>
      </c>
      <c r="GS29" s="223">
        <v>0</v>
      </c>
      <c r="GT29" s="223">
        <f t="shared" si="72"/>
        <v>0</v>
      </c>
      <c r="GU29" s="233" t="s">
        <v>827</v>
      </c>
      <c r="GV29" s="209">
        <v>0</v>
      </c>
      <c r="GW29" s="223">
        <v>0</v>
      </c>
      <c r="GX29" s="223">
        <f t="shared" si="73"/>
        <v>0</v>
      </c>
      <c r="GY29" s="230"/>
      <c r="GZ29" s="233" t="s">
        <v>971</v>
      </c>
      <c r="HA29" s="209">
        <v>1</v>
      </c>
      <c r="HB29" s="223">
        <f>(1200000/30)/8</f>
        <v>5000</v>
      </c>
      <c r="HC29" s="223">
        <f t="shared" si="74"/>
        <v>5000</v>
      </c>
      <c r="HD29" s="233" t="s">
        <v>827</v>
      </c>
      <c r="HE29" s="209">
        <v>0</v>
      </c>
      <c r="HF29" s="223">
        <v>0</v>
      </c>
      <c r="HG29" s="223">
        <f t="shared" si="75"/>
        <v>0</v>
      </c>
      <c r="HH29" s="230"/>
      <c r="HI29" s="233" t="s">
        <v>827</v>
      </c>
      <c r="HJ29" s="209">
        <v>0</v>
      </c>
      <c r="HK29" s="223">
        <v>0</v>
      </c>
      <c r="HL29" s="223">
        <f t="shared" si="76"/>
        <v>0</v>
      </c>
      <c r="HM29" s="230"/>
      <c r="HN29" s="230"/>
      <c r="HO29" s="233" t="s">
        <v>827</v>
      </c>
      <c r="HP29" s="209">
        <v>0</v>
      </c>
      <c r="HQ29" s="223">
        <v>0</v>
      </c>
      <c r="HR29" s="223">
        <f t="shared" si="130"/>
        <v>0</v>
      </c>
      <c r="HS29" s="230"/>
      <c r="HT29" s="230"/>
      <c r="HU29" s="230"/>
      <c r="HV29" s="230"/>
      <c r="HW29" s="230"/>
      <c r="HX29" s="230"/>
      <c r="HY29" s="230"/>
      <c r="HZ29" s="230"/>
      <c r="IA29" s="230"/>
      <c r="IB29" s="230"/>
      <c r="IC29" s="230"/>
      <c r="ID29" s="230"/>
      <c r="IE29" s="230"/>
      <c r="IF29" s="230"/>
    </row>
    <row r="30" spans="1:240" x14ac:dyDescent="0.2">
      <c r="A30" s="209" t="s">
        <v>766</v>
      </c>
      <c r="B30" s="209" t="s">
        <v>767</v>
      </c>
      <c r="C30" s="209" t="s">
        <v>779</v>
      </c>
      <c r="D30" s="211">
        <v>15</v>
      </c>
      <c r="E30" s="210">
        <v>429617.5</v>
      </c>
      <c r="F30" s="212">
        <f t="shared" si="31"/>
        <v>28641.166666666668</v>
      </c>
      <c r="G30" s="209">
        <f>1+1+1</f>
        <v>3</v>
      </c>
      <c r="H30" s="209">
        <f>1+1+1</f>
        <v>3</v>
      </c>
      <c r="I30" s="212">
        <f>((3500000+1200000+680000)/30)/8</f>
        <v>22416.666666666668</v>
      </c>
      <c r="J30" s="212">
        <f t="shared" ref="J30" si="150">G30*H30*I30</f>
        <v>201750</v>
      </c>
      <c r="K30" s="211">
        <v>8</v>
      </c>
      <c r="L30" s="217">
        <f t="shared" si="33"/>
        <v>3580.1458333333335</v>
      </c>
      <c r="M30" s="217">
        <f t="shared" si="34"/>
        <v>28641.166666666668</v>
      </c>
      <c r="N30" s="209">
        <v>1</v>
      </c>
      <c r="O30" s="209">
        <v>2</v>
      </c>
      <c r="P30" s="217">
        <f>+L30</f>
        <v>3580.1458333333335</v>
      </c>
      <c r="Q30" s="217">
        <f t="shared" ref="Q30" si="151">N30*O30*P30</f>
        <v>7160.291666666667</v>
      </c>
      <c r="R30" s="209">
        <f t="shared" si="108"/>
        <v>120</v>
      </c>
      <c r="S30" s="209">
        <v>0</v>
      </c>
      <c r="T30" s="212">
        <f t="shared" si="109"/>
        <v>3580.1458333333335</v>
      </c>
      <c r="U30" s="212">
        <f t="shared" si="110"/>
        <v>0</v>
      </c>
      <c r="V30" s="230"/>
      <c r="W30" s="209">
        <v>1</v>
      </c>
      <c r="X30" s="209">
        <v>0</v>
      </c>
      <c r="Y30" s="223">
        <f>((1400000+1400000+3900000)/30)/8</f>
        <v>27916.666666666668</v>
      </c>
      <c r="Z30" s="223">
        <f t="shared" si="35"/>
        <v>0</v>
      </c>
      <c r="AA30" s="209">
        <v>1</v>
      </c>
      <c r="AB30" s="209">
        <v>1</v>
      </c>
      <c r="AC30" s="223">
        <f>((900000*2)/30)/8</f>
        <v>7500</v>
      </c>
      <c r="AD30" s="223">
        <f t="shared" ref="AD30" si="152">AA30*AB30*AC30</f>
        <v>7500</v>
      </c>
      <c r="AE30" s="209">
        <v>0</v>
      </c>
      <c r="AF30" s="209">
        <v>0</v>
      </c>
      <c r="AG30" s="223">
        <v>0</v>
      </c>
      <c r="AH30" s="223">
        <f t="shared" si="36"/>
        <v>0</v>
      </c>
      <c r="AI30" s="209">
        <v>1</v>
      </c>
      <c r="AJ30" s="209">
        <v>1</v>
      </c>
      <c r="AK30" s="223">
        <f>(1200000/30)/8</f>
        <v>5000</v>
      </c>
      <c r="AL30" s="223">
        <f t="shared" si="78"/>
        <v>5000</v>
      </c>
      <c r="AM30" s="209">
        <v>1</v>
      </c>
      <c r="AN30" s="209">
        <v>1</v>
      </c>
      <c r="AO30" s="226">
        <f t="shared" si="83"/>
        <v>7500</v>
      </c>
      <c r="AP30" s="223">
        <f t="shared" si="4"/>
        <v>7500</v>
      </c>
      <c r="AQ30" s="209">
        <v>0</v>
      </c>
      <c r="AR30" s="209">
        <v>0</v>
      </c>
      <c r="AS30" s="223">
        <v>0</v>
      </c>
      <c r="AT30" s="223">
        <f t="shared" si="38"/>
        <v>0</v>
      </c>
      <c r="AU30" s="209">
        <v>1</v>
      </c>
      <c r="AV30" s="209">
        <v>1</v>
      </c>
      <c r="AW30" s="223">
        <f>(1200000/30)/8</f>
        <v>5000</v>
      </c>
      <c r="AX30" s="223">
        <f t="shared" si="39"/>
        <v>5000</v>
      </c>
      <c r="AY30" s="209">
        <v>0</v>
      </c>
      <c r="AZ30" s="209">
        <v>0</v>
      </c>
      <c r="BA30" s="223">
        <v>0</v>
      </c>
      <c r="BB30" s="223">
        <f t="shared" si="40"/>
        <v>0</v>
      </c>
      <c r="BC30" s="209">
        <v>0</v>
      </c>
      <c r="BD30" s="209">
        <v>0</v>
      </c>
      <c r="BE30" s="223">
        <v>0</v>
      </c>
      <c r="BF30" s="223">
        <f t="shared" si="41"/>
        <v>0</v>
      </c>
      <c r="BG30" s="209">
        <v>1</v>
      </c>
      <c r="BH30" s="209">
        <v>0</v>
      </c>
      <c r="BI30" s="223">
        <v>0</v>
      </c>
      <c r="BJ30" s="223">
        <v>0</v>
      </c>
      <c r="BK30" s="209">
        <v>1</v>
      </c>
      <c r="BL30" s="209">
        <v>1</v>
      </c>
      <c r="BM30" s="223">
        <f t="shared" si="43"/>
        <v>20833.333333333332</v>
      </c>
      <c r="BN30" s="223">
        <f t="shared" si="44"/>
        <v>20833.333333333332</v>
      </c>
      <c r="BO30" s="209">
        <v>0</v>
      </c>
      <c r="BP30" s="209">
        <v>0</v>
      </c>
      <c r="BQ30" s="223">
        <v>0</v>
      </c>
      <c r="BR30" s="223">
        <f t="shared" si="46"/>
        <v>0</v>
      </c>
      <c r="BS30" s="209">
        <v>0</v>
      </c>
      <c r="BT30" s="209">
        <v>0</v>
      </c>
      <c r="BU30" s="223">
        <v>0</v>
      </c>
      <c r="BV30" s="223">
        <f t="shared" si="47"/>
        <v>0</v>
      </c>
      <c r="BW30" s="209">
        <v>0</v>
      </c>
      <c r="BX30" s="209">
        <v>0</v>
      </c>
      <c r="BY30" s="223">
        <v>0</v>
      </c>
      <c r="BZ30" s="223">
        <f t="shared" si="81"/>
        <v>0</v>
      </c>
      <c r="CA30" s="209">
        <v>0</v>
      </c>
      <c r="CB30" s="209">
        <v>0</v>
      </c>
      <c r="CC30" s="223">
        <v>0</v>
      </c>
      <c r="CD30" s="223">
        <f t="shared" si="49"/>
        <v>0</v>
      </c>
      <c r="CE30" s="209">
        <v>0</v>
      </c>
      <c r="CF30" s="209">
        <v>0</v>
      </c>
      <c r="CG30" s="223">
        <v>0</v>
      </c>
      <c r="CH30" s="223">
        <f t="shared" si="50"/>
        <v>0</v>
      </c>
      <c r="CI30" s="209">
        <v>0</v>
      </c>
      <c r="CJ30" s="209">
        <v>0</v>
      </c>
      <c r="CK30" s="223">
        <v>0</v>
      </c>
      <c r="CL30" s="223">
        <f t="shared" si="84"/>
        <v>0</v>
      </c>
      <c r="CM30" s="209">
        <v>0</v>
      </c>
      <c r="CN30" s="209">
        <v>0</v>
      </c>
      <c r="CO30" s="226">
        <v>0</v>
      </c>
      <c r="CP30" s="226">
        <f t="shared" si="52"/>
        <v>0</v>
      </c>
      <c r="CQ30" s="209">
        <v>0</v>
      </c>
      <c r="CR30" s="209">
        <v>0</v>
      </c>
      <c r="CS30" s="226">
        <v>0</v>
      </c>
      <c r="CT30" s="226">
        <f t="shared" si="53"/>
        <v>0</v>
      </c>
      <c r="CU30" s="209" t="s">
        <v>827</v>
      </c>
      <c r="CV30" s="209">
        <v>0</v>
      </c>
      <c r="CW30" s="226">
        <v>0</v>
      </c>
      <c r="CX30" s="226">
        <f t="shared" si="54"/>
        <v>0</v>
      </c>
      <c r="CY30" s="209" t="s">
        <v>827</v>
      </c>
      <c r="CZ30" s="209">
        <v>0</v>
      </c>
      <c r="DA30" s="226">
        <v>0</v>
      </c>
      <c r="DB30" s="226">
        <f t="shared" si="55"/>
        <v>0</v>
      </c>
      <c r="DC30" s="209" t="s">
        <v>827</v>
      </c>
      <c r="DD30" s="209">
        <v>0</v>
      </c>
      <c r="DE30" s="226">
        <v>0</v>
      </c>
      <c r="DF30" s="226">
        <f t="shared" si="56"/>
        <v>0</v>
      </c>
      <c r="DG30" s="209" t="s">
        <v>827</v>
      </c>
      <c r="DH30" s="209">
        <v>0</v>
      </c>
      <c r="DI30" s="226">
        <v>0</v>
      </c>
      <c r="DJ30" s="226">
        <f t="shared" si="57"/>
        <v>0</v>
      </c>
      <c r="DK30" s="209" t="s">
        <v>827</v>
      </c>
      <c r="DL30" s="209">
        <v>0</v>
      </c>
      <c r="DM30" s="226">
        <v>0</v>
      </c>
      <c r="DN30" s="226">
        <f t="shared" si="58"/>
        <v>0</v>
      </c>
      <c r="DO30" s="209" t="s">
        <v>827</v>
      </c>
      <c r="DP30" s="209">
        <v>0</v>
      </c>
      <c r="DQ30" s="226">
        <v>0</v>
      </c>
      <c r="DR30" s="226">
        <f t="shared" si="59"/>
        <v>0</v>
      </c>
      <c r="DS30" s="209" t="s">
        <v>827</v>
      </c>
      <c r="DT30" s="209">
        <v>0</v>
      </c>
      <c r="DU30" s="226">
        <v>0</v>
      </c>
      <c r="DV30" s="226">
        <f t="shared" si="60"/>
        <v>0</v>
      </c>
      <c r="DW30" s="209" t="s">
        <v>827</v>
      </c>
      <c r="DX30" s="209">
        <v>0</v>
      </c>
      <c r="DY30" s="226">
        <v>0</v>
      </c>
      <c r="DZ30" s="226">
        <f t="shared" si="61"/>
        <v>0</v>
      </c>
      <c r="EA30" s="209" t="s">
        <v>827</v>
      </c>
      <c r="EB30" s="209">
        <v>0</v>
      </c>
      <c r="EC30" s="226">
        <v>0</v>
      </c>
      <c r="ED30" s="226">
        <f t="shared" si="62"/>
        <v>0</v>
      </c>
      <c r="EE30" s="209" t="s">
        <v>827</v>
      </c>
      <c r="EF30" s="209">
        <v>0</v>
      </c>
      <c r="EG30" s="226">
        <v>0</v>
      </c>
      <c r="EH30" s="226">
        <f t="shared" si="63"/>
        <v>0</v>
      </c>
      <c r="EI30" s="209" t="s">
        <v>827</v>
      </c>
      <c r="EJ30" s="209">
        <v>0</v>
      </c>
      <c r="EK30" s="226">
        <v>0</v>
      </c>
      <c r="EL30" s="226">
        <f t="shared" si="64"/>
        <v>0</v>
      </c>
      <c r="EM30" s="209" t="s">
        <v>827</v>
      </c>
      <c r="EN30" s="209">
        <v>0</v>
      </c>
      <c r="EO30" s="226">
        <v>0</v>
      </c>
      <c r="EP30" s="226">
        <f t="shared" si="65"/>
        <v>0</v>
      </c>
      <c r="EQ30" s="209" t="s">
        <v>827</v>
      </c>
      <c r="ER30" s="211" t="s">
        <v>167</v>
      </c>
      <c r="ES30" s="226">
        <v>0</v>
      </c>
      <c r="ET30" s="209" t="s">
        <v>827</v>
      </c>
      <c r="EU30" s="211" t="s">
        <v>167</v>
      </c>
      <c r="EV30" s="226">
        <v>0</v>
      </c>
      <c r="EW30" s="209" t="s">
        <v>827</v>
      </c>
      <c r="EX30" s="211" t="s">
        <v>167</v>
      </c>
      <c r="EY30" s="226">
        <v>0</v>
      </c>
      <c r="EZ30" s="209" t="s">
        <v>827</v>
      </c>
      <c r="FA30" s="226">
        <v>0</v>
      </c>
      <c r="FB30" s="209" t="s">
        <v>827</v>
      </c>
      <c r="FC30" s="226">
        <v>0</v>
      </c>
      <c r="FD30" s="209" t="s">
        <v>827</v>
      </c>
      <c r="FE30" s="226">
        <v>0</v>
      </c>
      <c r="FF30" s="209" t="s">
        <v>827</v>
      </c>
      <c r="FG30" s="226">
        <v>0</v>
      </c>
      <c r="FH30" s="209" t="s">
        <v>827</v>
      </c>
      <c r="FI30" s="226">
        <v>0</v>
      </c>
      <c r="FJ30" s="230"/>
      <c r="FK30" s="230"/>
      <c r="FL30" s="233" t="s">
        <v>959</v>
      </c>
      <c r="FM30" s="209">
        <v>1</v>
      </c>
      <c r="FN30" s="223">
        <f t="shared" si="148"/>
        <v>429617.5</v>
      </c>
      <c r="FO30" s="223">
        <f t="shared" si="66"/>
        <v>429617.5</v>
      </c>
      <c r="FP30" s="233" t="s">
        <v>827</v>
      </c>
      <c r="FQ30" s="209">
        <v>0</v>
      </c>
      <c r="FR30" s="223">
        <v>0</v>
      </c>
      <c r="FS30" s="223">
        <f t="shared" si="67"/>
        <v>0</v>
      </c>
      <c r="FT30" s="230"/>
      <c r="FU30" s="230"/>
      <c r="FV30" s="233" t="s">
        <v>827</v>
      </c>
      <c r="FW30" s="209">
        <v>0</v>
      </c>
      <c r="FX30" s="223">
        <v>0</v>
      </c>
      <c r="FY30" s="223">
        <f t="shared" si="149"/>
        <v>0</v>
      </c>
      <c r="FZ30" s="230"/>
      <c r="GA30" s="233" t="s">
        <v>962</v>
      </c>
      <c r="GB30" s="209">
        <v>1</v>
      </c>
      <c r="GC30" s="223">
        <f>1000000/2</f>
        <v>500000</v>
      </c>
      <c r="GD30" s="223">
        <f t="shared" si="68"/>
        <v>500000</v>
      </c>
      <c r="GE30" s="233" t="s">
        <v>827</v>
      </c>
      <c r="GF30" s="209">
        <v>0</v>
      </c>
      <c r="GG30" s="223">
        <v>0</v>
      </c>
      <c r="GH30" s="223">
        <f t="shared" si="128"/>
        <v>0</v>
      </c>
      <c r="GI30" s="233" t="s">
        <v>827</v>
      </c>
      <c r="GJ30" s="209">
        <v>0</v>
      </c>
      <c r="GK30" s="223">
        <v>0</v>
      </c>
      <c r="GL30" s="223">
        <f t="shared" si="132"/>
        <v>0</v>
      </c>
      <c r="GM30" s="233" t="s">
        <v>827</v>
      </c>
      <c r="GN30" s="209">
        <v>0</v>
      </c>
      <c r="GO30" s="223">
        <v>0</v>
      </c>
      <c r="GP30" s="223">
        <f t="shared" si="71"/>
        <v>0</v>
      </c>
      <c r="GQ30" s="233" t="s">
        <v>827</v>
      </c>
      <c r="GR30" s="209">
        <v>0</v>
      </c>
      <c r="GS30" s="223">
        <v>0</v>
      </c>
      <c r="GT30" s="223">
        <f t="shared" si="72"/>
        <v>0</v>
      </c>
      <c r="GU30" s="233" t="s">
        <v>827</v>
      </c>
      <c r="GV30" s="209">
        <v>0</v>
      </c>
      <c r="GW30" s="223">
        <v>0</v>
      </c>
      <c r="GX30" s="223">
        <f t="shared" si="73"/>
        <v>0</v>
      </c>
      <c r="GY30" s="230"/>
      <c r="GZ30" s="233" t="s">
        <v>827</v>
      </c>
      <c r="HA30" s="209">
        <v>0</v>
      </c>
      <c r="HB30" s="223">
        <v>0</v>
      </c>
      <c r="HC30" s="223">
        <f t="shared" si="74"/>
        <v>0</v>
      </c>
      <c r="HD30" s="233" t="s">
        <v>827</v>
      </c>
      <c r="HE30" s="209">
        <v>0</v>
      </c>
      <c r="HF30" s="223">
        <v>0</v>
      </c>
      <c r="HG30" s="223">
        <f t="shared" si="75"/>
        <v>0</v>
      </c>
      <c r="HH30" s="230"/>
      <c r="HI30" s="233" t="s">
        <v>827</v>
      </c>
      <c r="HJ30" s="209">
        <v>0</v>
      </c>
      <c r="HK30" s="223">
        <v>0</v>
      </c>
      <c r="HL30" s="223">
        <f t="shared" si="76"/>
        <v>0</v>
      </c>
      <c r="HM30" s="230"/>
      <c r="HN30" s="230"/>
      <c r="HO30" s="233" t="s">
        <v>827</v>
      </c>
      <c r="HP30" s="209">
        <v>0</v>
      </c>
      <c r="HQ30" s="223">
        <v>0</v>
      </c>
      <c r="HR30" s="223">
        <f t="shared" si="130"/>
        <v>0</v>
      </c>
      <c r="HS30" s="230"/>
      <c r="HT30" s="230"/>
      <c r="HU30" s="230"/>
      <c r="HV30" s="230"/>
      <c r="HW30" s="230"/>
      <c r="HX30" s="230"/>
      <c r="HY30" s="230"/>
      <c r="HZ30" s="230"/>
      <c r="IA30" s="230"/>
      <c r="IB30" s="230"/>
      <c r="IC30" s="230"/>
      <c r="ID30" s="230"/>
      <c r="IE30" s="230"/>
      <c r="IF30" s="230"/>
    </row>
    <row r="31" spans="1:240" x14ac:dyDescent="0.2">
      <c r="A31" s="209" t="s">
        <v>770</v>
      </c>
      <c r="B31" s="209" t="s">
        <v>756</v>
      </c>
      <c r="C31" s="209" t="s">
        <v>779</v>
      </c>
      <c r="D31" s="211">
        <v>4</v>
      </c>
      <c r="E31" s="210">
        <v>127897.2</v>
      </c>
      <c r="F31" s="212">
        <f t="shared" si="31"/>
        <v>31974.3</v>
      </c>
      <c r="G31" s="209">
        <f>1+1</f>
        <v>2</v>
      </c>
      <c r="H31" s="209">
        <f>1+1</f>
        <v>2</v>
      </c>
      <c r="I31" s="212">
        <f>((3500000+2500000)/30)/8</f>
        <v>25000</v>
      </c>
      <c r="J31" s="212">
        <f t="shared" si="131"/>
        <v>100000</v>
      </c>
      <c r="K31" s="211">
        <v>8</v>
      </c>
      <c r="L31" s="217">
        <f t="shared" si="33"/>
        <v>3996.7874999999999</v>
      </c>
      <c r="M31" s="217">
        <f t="shared" si="34"/>
        <v>31974.3</v>
      </c>
      <c r="N31" s="209">
        <v>1</v>
      </c>
      <c r="O31" s="209">
        <v>1</v>
      </c>
      <c r="P31" s="217">
        <f>+L31</f>
        <v>3996.7874999999999</v>
      </c>
      <c r="Q31" s="217">
        <f t="shared" si="133"/>
        <v>3996.7874999999999</v>
      </c>
      <c r="R31" s="209">
        <f t="shared" si="108"/>
        <v>32</v>
      </c>
      <c r="S31" s="209">
        <v>1</v>
      </c>
      <c r="T31" s="212">
        <f t="shared" si="109"/>
        <v>3996.7874999999999</v>
      </c>
      <c r="U31" s="212">
        <f t="shared" si="110"/>
        <v>127897.2</v>
      </c>
      <c r="V31" s="230"/>
      <c r="W31" s="209">
        <v>1</v>
      </c>
      <c r="X31" s="209">
        <v>2</v>
      </c>
      <c r="Y31" s="223">
        <f>((1400000+5000000)/30)/8</f>
        <v>26666.666666666668</v>
      </c>
      <c r="Z31" s="223">
        <f t="shared" si="35"/>
        <v>53333.333333333336</v>
      </c>
      <c r="AA31" s="209">
        <v>0</v>
      </c>
      <c r="AB31" s="209">
        <v>0</v>
      </c>
      <c r="AC31" s="209">
        <v>0</v>
      </c>
      <c r="AD31" s="209">
        <v>0</v>
      </c>
      <c r="AE31" s="209">
        <v>1</v>
      </c>
      <c r="AF31" s="209">
        <v>2</v>
      </c>
      <c r="AG31" s="223">
        <f>((5000000+3500000)/30)/8</f>
        <v>35416.666666666664</v>
      </c>
      <c r="AH31" s="223">
        <f t="shared" si="36"/>
        <v>70833.333333333328</v>
      </c>
      <c r="AI31" s="209">
        <v>1</v>
      </c>
      <c r="AJ31" s="209">
        <v>1</v>
      </c>
      <c r="AK31" s="223">
        <f t="shared" si="101"/>
        <v>20833.333333333332</v>
      </c>
      <c r="AL31" s="223">
        <f t="shared" si="78"/>
        <v>20833.333333333332</v>
      </c>
      <c r="AM31" s="209">
        <v>1</v>
      </c>
      <c r="AN31" s="209">
        <v>1</v>
      </c>
      <c r="AO31" s="226">
        <f t="shared" si="83"/>
        <v>7500</v>
      </c>
      <c r="AP31" s="223">
        <f t="shared" si="4"/>
        <v>7500</v>
      </c>
      <c r="AQ31" s="209">
        <v>0</v>
      </c>
      <c r="AR31" s="209">
        <v>0</v>
      </c>
      <c r="AS31" s="223">
        <v>0</v>
      </c>
      <c r="AT31" s="223">
        <f t="shared" si="38"/>
        <v>0</v>
      </c>
      <c r="AU31" s="209">
        <v>1</v>
      </c>
      <c r="AV31" s="209">
        <v>2</v>
      </c>
      <c r="AW31" s="223">
        <f>((5000000+3500000)/30)/8</f>
        <v>35416.666666666664</v>
      </c>
      <c r="AX31" s="223">
        <f t="shared" si="39"/>
        <v>70833.333333333328</v>
      </c>
      <c r="AY31" s="209">
        <v>1</v>
      </c>
      <c r="AZ31" s="209">
        <v>1</v>
      </c>
      <c r="BA31" s="223">
        <f t="shared" ref="BA31" si="153">(5000000/30)/8</f>
        <v>20833.333333333332</v>
      </c>
      <c r="BB31" s="223">
        <f t="shared" si="40"/>
        <v>20833.333333333332</v>
      </c>
      <c r="BC31" s="209">
        <v>1</v>
      </c>
      <c r="BD31" s="209">
        <v>2</v>
      </c>
      <c r="BE31" s="223">
        <f>((5000000+1400000)/30)/8</f>
        <v>26666.666666666668</v>
      </c>
      <c r="BF31" s="223">
        <f t="shared" si="41"/>
        <v>53333.333333333336</v>
      </c>
      <c r="BG31" s="209">
        <v>0</v>
      </c>
      <c r="BH31" s="209">
        <v>0</v>
      </c>
      <c r="BI31" s="223">
        <v>0</v>
      </c>
      <c r="BJ31" s="223">
        <v>0</v>
      </c>
      <c r="BK31" s="209">
        <v>1</v>
      </c>
      <c r="BL31" s="209">
        <v>1</v>
      </c>
      <c r="BM31" s="223">
        <f t="shared" si="43"/>
        <v>20833.333333333332</v>
      </c>
      <c r="BN31" s="223">
        <f t="shared" si="44"/>
        <v>20833.333333333332</v>
      </c>
      <c r="BO31" s="209">
        <v>1</v>
      </c>
      <c r="BP31" s="209">
        <v>1</v>
      </c>
      <c r="BQ31" s="223">
        <f t="shared" si="45"/>
        <v>5833.333333333333</v>
      </c>
      <c r="BR31" s="223">
        <f t="shared" si="46"/>
        <v>5833.333333333333</v>
      </c>
      <c r="BS31" s="209">
        <v>0</v>
      </c>
      <c r="BT31" s="209">
        <v>0</v>
      </c>
      <c r="BU31" s="223">
        <v>0</v>
      </c>
      <c r="BV31" s="223">
        <f t="shared" si="47"/>
        <v>0</v>
      </c>
      <c r="BW31" s="209">
        <v>0</v>
      </c>
      <c r="BX31" s="209">
        <v>0</v>
      </c>
      <c r="BY31" s="223">
        <v>0</v>
      </c>
      <c r="BZ31" s="223">
        <f t="shared" si="81"/>
        <v>0</v>
      </c>
      <c r="CA31" s="209">
        <v>0</v>
      </c>
      <c r="CB31" s="209">
        <v>0</v>
      </c>
      <c r="CC31" s="223">
        <v>0</v>
      </c>
      <c r="CD31" s="223">
        <f t="shared" si="49"/>
        <v>0</v>
      </c>
      <c r="CE31" s="209">
        <v>0</v>
      </c>
      <c r="CF31" s="209">
        <v>0</v>
      </c>
      <c r="CG31" s="223">
        <v>0</v>
      </c>
      <c r="CH31" s="223">
        <f t="shared" si="50"/>
        <v>0</v>
      </c>
      <c r="CI31" s="209">
        <v>0</v>
      </c>
      <c r="CJ31" s="209">
        <v>0</v>
      </c>
      <c r="CK31" s="223">
        <v>0</v>
      </c>
      <c r="CL31" s="223">
        <f t="shared" si="84"/>
        <v>0</v>
      </c>
      <c r="CM31" s="209">
        <v>0</v>
      </c>
      <c r="CN31" s="209">
        <v>0</v>
      </c>
      <c r="CO31" s="226">
        <v>0</v>
      </c>
      <c r="CP31" s="226">
        <f t="shared" si="52"/>
        <v>0</v>
      </c>
      <c r="CQ31" s="209">
        <v>0</v>
      </c>
      <c r="CR31" s="209">
        <v>0</v>
      </c>
      <c r="CS31" s="226">
        <v>0</v>
      </c>
      <c r="CT31" s="226">
        <f t="shared" si="53"/>
        <v>0</v>
      </c>
      <c r="CU31" s="209" t="s">
        <v>827</v>
      </c>
      <c r="CV31" s="209">
        <v>0</v>
      </c>
      <c r="CW31" s="226">
        <v>0</v>
      </c>
      <c r="CX31" s="226">
        <f t="shared" si="54"/>
        <v>0</v>
      </c>
      <c r="CY31" s="209" t="s">
        <v>951</v>
      </c>
      <c r="CZ31" s="209">
        <v>1</v>
      </c>
      <c r="DA31" s="226">
        <v>10000</v>
      </c>
      <c r="DB31" s="226">
        <f t="shared" si="55"/>
        <v>10000</v>
      </c>
      <c r="DC31" s="209" t="s">
        <v>827</v>
      </c>
      <c r="DD31" s="209">
        <v>0</v>
      </c>
      <c r="DE31" s="226">
        <v>0</v>
      </c>
      <c r="DF31" s="226">
        <f t="shared" si="56"/>
        <v>0</v>
      </c>
      <c r="DG31" s="209" t="s">
        <v>827</v>
      </c>
      <c r="DH31" s="209">
        <v>0</v>
      </c>
      <c r="DI31" s="226">
        <v>0</v>
      </c>
      <c r="DJ31" s="226">
        <f t="shared" si="57"/>
        <v>0</v>
      </c>
      <c r="DK31" s="209" t="s">
        <v>827</v>
      </c>
      <c r="DL31" s="209">
        <v>0</v>
      </c>
      <c r="DM31" s="226">
        <v>0</v>
      </c>
      <c r="DN31" s="226">
        <f t="shared" si="58"/>
        <v>0</v>
      </c>
      <c r="DO31" s="209" t="s">
        <v>827</v>
      </c>
      <c r="DP31" s="209">
        <v>0</v>
      </c>
      <c r="DQ31" s="226">
        <v>0</v>
      </c>
      <c r="DR31" s="226">
        <f t="shared" si="59"/>
        <v>0</v>
      </c>
      <c r="DS31" s="209" t="s">
        <v>827</v>
      </c>
      <c r="DT31" s="209">
        <v>0</v>
      </c>
      <c r="DU31" s="226">
        <v>0</v>
      </c>
      <c r="DV31" s="226">
        <f t="shared" si="60"/>
        <v>0</v>
      </c>
      <c r="DW31" s="209" t="s">
        <v>827</v>
      </c>
      <c r="DX31" s="209">
        <v>0</v>
      </c>
      <c r="DY31" s="226">
        <v>0</v>
      </c>
      <c r="DZ31" s="226">
        <f t="shared" si="61"/>
        <v>0</v>
      </c>
      <c r="EA31" s="209" t="s">
        <v>827</v>
      </c>
      <c r="EB31" s="209">
        <v>0</v>
      </c>
      <c r="EC31" s="226">
        <v>0</v>
      </c>
      <c r="ED31" s="226">
        <f t="shared" si="62"/>
        <v>0</v>
      </c>
      <c r="EE31" s="209" t="s">
        <v>827</v>
      </c>
      <c r="EF31" s="209">
        <v>0</v>
      </c>
      <c r="EG31" s="226">
        <v>0</v>
      </c>
      <c r="EH31" s="226">
        <f t="shared" si="63"/>
        <v>0</v>
      </c>
      <c r="EI31" s="209" t="s">
        <v>827</v>
      </c>
      <c r="EJ31" s="209">
        <v>0</v>
      </c>
      <c r="EK31" s="226">
        <v>0</v>
      </c>
      <c r="EL31" s="226">
        <f t="shared" si="64"/>
        <v>0</v>
      </c>
      <c r="EM31" s="209" t="s">
        <v>827</v>
      </c>
      <c r="EN31" s="209">
        <v>0</v>
      </c>
      <c r="EO31" s="226">
        <v>0</v>
      </c>
      <c r="EP31" s="226">
        <f t="shared" si="65"/>
        <v>0</v>
      </c>
      <c r="EQ31" s="209" t="s">
        <v>827</v>
      </c>
      <c r="ER31" s="211" t="s">
        <v>167</v>
      </c>
      <c r="ES31" s="226">
        <v>0</v>
      </c>
      <c r="ET31" s="209" t="s">
        <v>827</v>
      </c>
      <c r="EU31" s="211" t="s">
        <v>167</v>
      </c>
      <c r="EV31" s="226">
        <v>0</v>
      </c>
      <c r="EW31" s="209" t="s">
        <v>827</v>
      </c>
      <c r="EX31" s="211" t="s">
        <v>167</v>
      </c>
      <c r="EY31" s="226">
        <v>0</v>
      </c>
      <c r="EZ31" s="209" t="s">
        <v>827</v>
      </c>
      <c r="FA31" s="226">
        <v>0</v>
      </c>
      <c r="FB31" s="209" t="s">
        <v>827</v>
      </c>
      <c r="FC31" s="226">
        <v>0</v>
      </c>
      <c r="FD31" s="209" t="s">
        <v>827</v>
      </c>
      <c r="FE31" s="226">
        <v>0</v>
      </c>
      <c r="FF31" s="209" t="s">
        <v>827</v>
      </c>
      <c r="FG31" s="226">
        <v>0</v>
      </c>
      <c r="FH31" s="209" t="s">
        <v>827</v>
      </c>
      <c r="FI31" s="226">
        <v>0</v>
      </c>
      <c r="FJ31" s="230"/>
      <c r="FK31" s="230"/>
      <c r="FL31" s="233" t="s">
        <v>827</v>
      </c>
      <c r="FM31" s="209">
        <v>0</v>
      </c>
      <c r="FN31" s="223">
        <v>0</v>
      </c>
      <c r="FO31" s="223">
        <f t="shared" si="66"/>
        <v>0</v>
      </c>
      <c r="FP31" s="233" t="s">
        <v>827</v>
      </c>
      <c r="FQ31" s="209">
        <v>0</v>
      </c>
      <c r="FR31" s="223">
        <v>0</v>
      </c>
      <c r="FS31" s="223">
        <f t="shared" si="67"/>
        <v>0</v>
      </c>
      <c r="FT31" s="230"/>
      <c r="FU31" s="230"/>
      <c r="FV31" s="233" t="s">
        <v>827</v>
      </c>
      <c r="FW31" s="209">
        <v>0</v>
      </c>
      <c r="FX31" s="223">
        <v>0</v>
      </c>
      <c r="FY31" s="223">
        <f t="shared" si="149"/>
        <v>0</v>
      </c>
      <c r="FZ31" s="230"/>
      <c r="GA31" s="233" t="s">
        <v>827</v>
      </c>
      <c r="GB31" s="209">
        <v>0</v>
      </c>
      <c r="GC31" s="223">
        <v>0</v>
      </c>
      <c r="GD31" s="223">
        <f t="shared" si="68"/>
        <v>0</v>
      </c>
      <c r="GE31" s="233" t="s">
        <v>827</v>
      </c>
      <c r="GF31" s="209">
        <v>2</v>
      </c>
      <c r="GG31" s="223">
        <v>10000</v>
      </c>
      <c r="GH31" s="223">
        <f t="shared" si="128"/>
        <v>20000</v>
      </c>
      <c r="GI31" s="233" t="s">
        <v>827</v>
      </c>
      <c r="GJ31" s="209">
        <v>0</v>
      </c>
      <c r="GK31" s="223">
        <v>0</v>
      </c>
      <c r="GL31" s="223">
        <f t="shared" si="132"/>
        <v>0</v>
      </c>
      <c r="GM31" s="233" t="s">
        <v>827</v>
      </c>
      <c r="GN31" s="209">
        <v>0</v>
      </c>
      <c r="GO31" s="223">
        <v>0</v>
      </c>
      <c r="GP31" s="223">
        <f t="shared" si="71"/>
        <v>0</v>
      </c>
      <c r="GQ31" s="233" t="s">
        <v>827</v>
      </c>
      <c r="GR31" s="209">
        <v>0</v>
      </c>
      <c r="GS31" s="223">
        <v>0</v>
      </c>
      <c r="GT31" s="223">
        <f t="shared" si="72"/>
        <v>0</v>
      </c>
      <c r="GU31" s="233" t="s">
        <v>827</v>
      </c>
      <c r="GV31" s="209">
        <v>0</v>
      </c>
      <c r="GW31" s="223">
        <v>0</v>
      </c>
      <c r="GX31" s="223">
        <f t="shared" si="73"/>
        <v>0</v>
      </c>
      <c r="GY31" s="230"/>
      <c r="GZ31" s="233" t="s">
        <v>827</v>
      </c>
      <c r="HA31" s="209">
        <v>0</v>
      </c>
      <c r="HB31" s="223">
        <v>0</v>
      </c>
      <c r="HC31" s="223">
        <f t="shared" si="74"/>
        <v>0</v>
      </c>
      <c r="HD31" s="233" t="s">
        <v>827</v>
      </c>
      <c r="HE31" s="209">
        <v>0</v>
      </c>
      <c r="HF31" s="223">
        <v>0</v>
      </c>
      <c r="HG31" s="223">
        <f t="shared" si="75"/>
        <v>0</v>
      </c>
      <c r="HH31" s="230"/>
      <c r="HI31" s="233" t="s">
        <v>972</v>
      </c>
      <c r="HJ31" s="209">
        <v>1</v>
      </c>
      <c r="HK31" s="223">
        <v>35000</v>
      </c>
      <c r="HL31" s="223">
        <f t="shared" si="76"/>
        <v>35000</v>
      </c>
      <c r="HM31" s="230"/>
      <c r="HN31" s="230"/>
      <c r="HO31" s="233" t="s">
        <v>827</v>
      </c>
      <c r="HP31" s="209">
        <v>0</v>
      </c>
      <c r="HQ31" s="223">
        <v>0</v>
      </c>
      <c r="HR31" s="223">
        <f t="shared" si="130"/>
        <v>0</v>
      </c>
      <c r="HS31" s="230"/>
      <c r="HT31" s="230"/>
      <c r="HU31" s="230"/>
      <c r="HV31" s="230"/>
      <c r="HW31" s="230"/>
      <c r="HX31" s="230"/>
      <c r="HY31" s="230"/>
      <c r="HZ31" s="230"/>
      <c r="IA31" s="230"/>
      <c r="IB31" s="230"/>
      <c r="IC31" s="230"/>
      <c r="ID31" s="230"/>
      <c r="IE31" s="230"/>
      <c r="IF31" s="230"/>
    </row>
    <row r="32" spans="1:240" x14ac:dyDescent="0.2">
      <c r="A32" s="209" t="s">
        <v>760</v>
      </c>
      <c r="B32" s="209" t="s">
        <v>761</v>
      </c>
      <c r="C32" s="209" t="s">
        <v>779</v>
      </c>
      <c r="D32" s="211">
        <v>3</v>
      </c>
      <c r="E32" s="210">
        <v>69077.2</v>
      </c>
      <c r="F32" s="212">
        <f t="shared" si="31"/>
        <v>23025.733333333334</v>
      </c>
      <c r="G32" s="209">
        <v>2</v>
      </c>
      <c r="H32" s="209">
        <f t="shared" ref="H32" si="154">1+1</f>
        <v>2</v>
      </c>
      <c r="I32" s="212">
        <f t="shared" ref="I32" si="155">((3900000+2000000)/30)/8</f>
        <v>24583.333333333332</v>
      </c>
      <c r="J32" s="212">
        <f t="shared" ref="J32" si="156">G32*H32*I32</f>
        <v>98333.333333333328</v>
      </c>
      <c r="K32" s="211">
        <v>8</v>
      </c>
      <c r="L32" s="217">
        <f t="shared" si="33"/>
        <v>2878.2166666666667</v>
      </c>
      <c r="M32" s="217">
        <f t="shared" si="34"/>
        <v>23025.733333333334</v>
      </c>
      <c r="N32" s="209">
        <v>1</v>
      </c>
      <c r="O32" s="209">
        <v>1</v>
      </c>
      <c r="P32" s="217">
        <f>(700000/30)/8</f>
        <v>2916.6666666666665</v>
      </c>
      <c r="Q32" s="217">
        <f>N32*O32*P32</f>
        <v>2916.6666666666665</v>
      </c>
      <c r="R32" s="209">
        <f t="shared" si="108"/>
        <v>24</v>
      </c>
      <c r="S32" s="209">
        <v>0</v>
      </c>
      <c r="T32" s="212">
        <f t="shared" si="109"/>
        <v>2878.2166666666667</v>
      </c>
      <c r="U32" s="212">
        <f t="shared" si="110"/>
        <v>0</v>
      </c>
      <c r="V32" s="230"/>
      <c r="W32" s="209">
        <v>1</v>
      </c>
      <c r="X32" s="209">
        <v>2</v>
      </c>
      <c r="Y32" s="223">
        <f>((1400000+2500000)/30)/8</f>
        <v>16250</v>
      </c>
      <c r="Z32" s="223">
        <f t="shared" si="35"/>
        <v>32500</v>
      </c>
      <c r="AA32" s="209">
        <v>1</v>
      </c>
      <c r="AB32" s="209">
        <v>2</v>
      </c>
      <c r="AC32" s="223">
        <f t="shared" ref="AC32" si="157">((900000*2)/30)/8</f>
        <v>7500</v>
      </c>
      <c r="AD32" s="223">
        <f t="shared" ref="AD32" si="158">AA32*AB32*AC32</f>
        <v>15000</v>
      </c>
      <c r="AE32" s="209">
        <v>1</v>
      </c>
      <c r="AF32" s="209">
        <v>1</v>
      </c>
      <c r="AG32" s="223">
        <f>((3900000+1800000)/30)/8</f>
        <v>23750</v>
      </c>
      <c r="AH32" s="223">
        <f t="shared" si="36"/>
        <v>23750</v>
      </c>
      <c r="AI32" s="209">
        <v>2</v>
      </c>
      <c r="AJ32" s="209">
        <v>1</v>
      </c>
      <c r="AK32" s="223">
        <f>(900000/30)/8</f>
        <v>3750</v>
      </c>
      <c r="AL32" s="223">
        <f t="shared" ref="AL32" si="159">AI32*AJ32*AK32</f>
        <v>7500</v>
      </c>
      <c r="AM32" s="209">
        <v>1</v>
      </c>
      <c r="AN32" s="209">
        <v>1</v>
      </c>
      <c r="AO32" s="226">
        <f t="shared" si="83"/>
        <v>7500</v>
      </c>
      <c r="AP32" s="223">
        <f t="shared" si="4"/>
        <v>7500</v>
      </c>
      <c r="AQ32" s="209">
        <v>0</v>
      </c>
      <c r="AR32" s="209">
        <v>0</v>
      </c>
      <c r="AS32" s="223">
        <v>0</v>
      </c>
      <c r="AT32" s="223">
        <f t="shared" si="38"/>
        <v>0</v>
      </c>
      <c r="AU32" s="209">
        <v>1</v>
      </c>
      <c r="AV32" s="209">
        <v>1</v>
      </c>
      <c r="AW32" s="223">
        <f>(1500000/30)/8</f>
        <v>6250</v>
      </c>
      <c r="AX32" s="223">
        <f t="shared" si="39"/>
        <v>6250</v>
      </c>
      <c r="AY32" s="209">
        <v>1</v>
      </c>
      <c r="AZ32" s="209">
        <v>5</v>
      </c>
      <c r="BA32" s="223">
        <f>((6000000+2500000+3500000+1400000+3500000)/30)/8</f>
        <v>70416.666666666672</v>
      </c>
      <c r="BB32" s="223">
        <f t="shared" si="40"/>
        <v>352083.33333333337</v>
      </c>
      <c r="BC32" s="209">
        <v>1</v>
      </c>
      <c r="BD32" s="209">
        <v>2</v>
      </c>
      <c r="BE32" s="223">
        <f>((2500000+1400000)/30)/8</f>
        <v>16250</v>
      </c>
      <c r="BF32" s="223">
        <f t="shared" ref="BF32" si="160">BC32*BD32*BE32</f>
        <v>32500</v>
      </c>
      <c r="BG32" s="209">
        <v>0</v>
      </c>
      <c r="BH32" s="209">
        <v>0</v>
      </c>
      <c r="BI32" s="223">
        <v>0</v>
      </c>
      <c r="BJ32" s="223">
        <f t="shared" si="42"/>
        <v>0</v>
      </c>
      <c r="BK32" s="209">
        <v>1</v>
      </c>
      <c r="BL32" s="209">
        <v>1</v>
      </c>
      <c r="BM32" s="223">
        <f t="shared" si="43"/>
        <v>20833.333333333332</v>
      </c>
      <c r="BN32" s="223">
        <f t="shared" si="44"/>
        <v>20833.333333333332</v>
      </c>
      <c r="BO32" s="209">
        <v>1</v>
      </c>
      <c r="BP32" s="209">
        <v>1</v>
      </c>
      <c r="BQ32" s="223">
        <f t="shared" si="45"/>
        <v>5833.333333333333</v>
      </c>
      <c r="BR32" s="223">
        <f t="shared" si="46"/>
        <v>5833.333333333333</v>
      </c>
      <c r="BS32" s="209">
        <v>0</v>
      </c>
      <c r="BT32" s="209">
        <v>0</v>
      </c>
      <c r="BU32" s="223">
        <v>0</v>
      </c>
      <c r="BV32" s="223">
        <f t="shared" si="47"/>
        <v>0</v>
      </c>
      <c r="BW32" s="209">
        <v>0</v>
      </c>
      <c r="BX32" s="209">
        <v>0</v>
      </c>
      <c r="BY32" s="223">
        <v>0</v>
      </c>
      <c r="BZ32" s="223">
        <f t="shared" si="81"/>
        <v>0</v>
      </c>
      <c r="CA32" s="209">
        <v>0</v>
      </c>
      <c r="CB32" s="209">
        <v>0</v>
      </c>
      <c r="CC32" s="223">
        <v>0</v>
      </c>
      <c r="CD32" s="223">
        <f t="shared" si="49"/>
        <v>0</v>
      </c>
      <c r="CE32" s="209">
        <v>0</v>
      </c>
      <c r="CF32" s="209">
        <v>0</v>
      </c>
      <c r="CG32" s="223">
        <v>0</v>
      </c>
      <c r="CH32" s="223">
        <f t="shared" si="50"/>
        <v>0</v>
      </c>
      <c r="CI32" s="209">
        <v>0</v>
      </c>
      <c r="CJ32" s="209">
        <v>0</v>
      </c>
      <c r="CK32" s="223">
        <v>0</v>
      </c>
      <c r="CL32" s="223">
        <f t="shared" si="84"/>
        <v>0</v>
      </c>
      <c r="CM32" s="209">
        <v>2</v>
      </c>
      <c r="CN32" s="209">
        <v>1</v>
      </c>
      <c r="CO32" s="226">
        <f>((2500000+1400000)/30)/8</f>
        <v>16250</v>
      </c>
      <c r="CP32" s="226">
        <f t="shared" si="52"/>
        <v>32500</v>
      </c>
      <c r="CQ32" s="209">
        <v>1</v>
      </c>
      <c r="CR32" s="209">
        <v>1</v>
      </c>
      <c r="CS32" s="226">
        <f>((2500000)/30)/8</f>
        <v>10416.666666666666</v>
      </c>
      <c r="CT32" s="226">
        <f t="shared" si="53"/>
        <v>10416.666666666666</v>
      </c>
      <c r="CU32" s="209" t="s">
        <v>827</v>
      </c>
      <c r="CV32" s="209">
        <v>0</v>
      </c>
      <c r="CW32" s="226">
        <v>0</v>
      </c>
      <c r="CX32" s="226">
        <f t="shared" si="54"/>
        <v>0</v>
      </c>
      <c r="CY32" s="209" t="s">
        <v>827</v>
      </c>
      <c r="CZ32" s="209">
        <v>0</v>
      </c>
      <c r="DA32" s="226">
        <v>0</v>
      </c>
      <c r="DB32" s="226">
        <f t="shared" si="55"/>
        <v>0</v>
      </c>
      <c r="DC32" s="209" t="s">
        <v>827</v>
      </c>
      <c r="DD32" s="209">
        <v>0</v>
      </c>
      <c r="DE32" s="226">
        <v>0</v>
      </c>
      <c r="DF32" s="226">
        <f t="shared" si="56"/>
        <v>0</v>
      </c>
      <c r="DG32" s="209" t="s">
        <v>827</v>
      </c>
      <c r="DH32" s="209">
        <v>0</v>
      </c>
      <c r="DI32" s="226">
        <v>0</v>
      </c>
      <c r="DJ32" s="226">
        <f t="shared" si="57"/>
        <v>0</v>
      </c>
      <c r="DK32" s="209" t="s">
        <v>827</v>
      </c>
      <c r="DL32" s="209">
        <v>0</v>
      </c>
      <c r="DM32" s="226">
        <v>0</v>
      </c>
      <c r="DN32" s="226">
        <f t="shared" si="58"/>
        <v>0</v>
      </c>
      <c r="DO32" s="209" t="s">
        <v>827</v>
      </c>
      <c r="DP32" s="209">
        <v>0</v>
      </c>
      <c r="DQ32" s="226">
        <v>0</v>
      </c>
      <c r="DR32" s="226">
        <f t="shared" si="59"/>
        <v>0</v>
      </c>
      <c r="DS32" s="209" t="s">
        <v>827</v>
      </c>
      <c r="DT32" s="209">
        <v>0</v>
      </c>
      <c r="DU32" s="226">
        <v>0</v>
      </c>
      <c r="DV32" s="226">
        <f t="shared" si="60"/>
        <v>0</v>
      </c>
      <c r="DW32" s="209" t="s">
        <v>827</v>
      </c>
      <c r="DX32" s="209">
        <v>0</v>
      </c>
      <c r="DY32" s="226">
        <v>0</v>
      </c>
      <c r="DZ32" s="226">
        <f t="shared" si="61"/>
        <v>0</v>
      </c>
      <c r="EA32" s="209" t="s">
        <v>827</v>
      </c>
      <c r="EB32" s="209">
        <v>0</v>
      </c>
      <c r="EC32" s="226">
        <v>0</v>
      </c>
      <c r="ED32" s="226">
        <f t="shared" si="62"/>
        <v>0</v>
      </c>
      <c r="EE32" s="209" t="s">
        <v>827</v>
      </c>
      <c r="EF32" s="209">
        <v>0</v>
      </c>
      <c r="EG32" s="226">
        <v>0</v>
      </c>
      <c r="EH32" s="226">
        <f t="shared" si="63"/>
        <v>0</v>
      </c>
      <c r="EI32" s="209" t="s">
        <v>827</v>
      </c>
      <c r="EJ32" s="209">
        <v>0</v>
      </c>
      <c r="EK32" s="226">
        <v>0</v>
      </c>
      <c r="EL32" s="226">
        <f t="shared" si="64"/>
        <v>0</v>
      </c>
      <c r="EM32" s="209" t="s">
        <v>827</v>
      </c>
      <c r="EN32" s="209">
        <v>0</v>
      </c>
      <c r="EO32" s="226">
        <v>0</v>
      </c>
      <c r="EP32" s="226">
        <f t="shared" si="65"/>
        <v>0</v>
      </c>
      <c r="EQ32" s="209" t="s">
        <v>827</v>
      </c>
      <c r="ER32" s="211" t="s">
        <v>167</v>
      </c>
      <c r="ES32" s="226">
        <f t="shared" ref="ES32" si="161">84635*2</f>
        <v>169270</v>
      </c>
      <c r="ET32" s="209" t="s">
        <v>827</v>
      </c>
      <c r="EU32" s="211" t="s">
        <v>167</v>
      </c>
      <c r="EV32" s="226">
        <v>0</v>
      </c>
      <c r="EW32" s="209" t="s">
        <v>827</v>
      </c>
      <c r="EX32" s="211" t="s">
        <v>167</v>
      </c>
      <c r="EY32" s="226">
        <v>0</v>
      </c>
      <c r="EZ32" s="209" t="s">
        <v>827</v>
      </c>
      <c r="FA32" s="226">
        <v>0</v>
      </c>
      <c r="FB32" s="209" t="s">
        <v>827</v>
      </c>
      <c r="FC32" s="226">
        <v>0</v>
      </c>
      <c r="FD32" s="209" t="s">
        <v>827</v>
      </c>
      <c r="FE32" s="226">
        <v>0</v>
      </c>
      <c r="FF32" s="209" t="s">
        <v>827</v>
      </c>
      <c r="FG32" s="226">
        <v>0</v>
      </c>
      <c r="FH32" s="209" t="s">
        <v>827</v>
      </c>
      <c r="FI32" s="226">
        <v>0</v>
      </c>
      <c r="FJ32" s="230"/>
      <c r="FK32" s="230"/>
      <c r="FL32" s="233" t="s">
        <v>959</v>
      </c>
      <c r="FM32" s="209">
        <v>1</v>
      </c>
      <c r="FN32" s="223">
        <f t="shared" ref="FN32" si="162">F32*D32</f>
        <v>69077.2</v>
      </c>
      <c r="FO32" s="223">
        <f t="shared" si="66"/>
        <v>69077.2</v>
      </c>
      <c r="FP32" s="233" t="s">
        <v>827</v>
      </c>
      <c r="FQ32" s="209">
        <v>0</v>
      </c>
      <c r="FR32" s="223">
        <v>0</v>
      </c>
      <c r="FS32" s="223">
        <f t="shared" si="67"/>
        <v>0</v>
      </c>
      <c r="FT32" s="230"/>
      <c r="FU32" s="230"/>
      <c r="FV32" s="233" t="s">
        <v>827</v>
      </c>
      <c r="FW32" s="209">
        <v>0</v>
      </c>
      <c r="FX32" s="223">
        <v>0</v>
      </c>
      <c r="FY32" s="223">
        <f t="shared" si="149"/>
        <v>0</v>
      </c>
      <c r="FZ32" s="230"/>
      <c r="GA32" s="233" t="s">
        <v>827</v>
      </c>
      <c r="GB32" s="209">
        <v>0</v>
      </c>
      <c r="GC32" s="223">
        <v>0</v>
      </c>
      <c r="GD32" s="223">
        <f t="shared" si="68"/>
        <v>0</v>
      </c>
      <c r="GE32" s="233" t="s">
        <v>827</v>
      </c>
      <c r="GF32" s="209">
        <v>0</v>
      </c>
      <c r="GG32" s="223">
        <v>0</v>
      </c>
      <c r="GH32" s="223">
        <f t="shared" si="128"/>
        <v>0</v>
      </c>
      <c r="GI32" s="233" t="s">
        <v>827</v>
      </c>
      <c r="GJ32" s="209">
        <v>0</v>
      </c>
      <c r="GK32" s="223">
        <v>0</v>
      </c>
      <c r="GL32" s="223">
        <f t="shared" si="132"/>
        <v>0</v>
      </c>
      <c r="GM32" s="233" t="s">
        <v>827</v>
      </c>
      <c r="GN32" s="209">
        <v>0</v>
      </c>
      <c r="GO32" s="223">
        <v>0</v>
      </c>
      <c r="GP32" s="223">
        <f t="shared" si="71"/>
        <v>0</v>
      </c>
      <c r="GQ32" s="233" t="s">
        <v>827</v>
      </c>
      <c r="GR32" s="209">
        <v>0</v>
      </c>
      <c r="GS32" s="223">
        <v>0</v>
      </c>
      <c r="GT32" s="223">
        <f t="shared" si="72"/>
        <v>0</v>
      </c>
      <c r="GU32" s="233" t="s">
        <v>827</v>
      </c>
      <c r="GV32" s="209">
        <v>0</v>
      </c>
      <c r="GW32" s="223">
        <v>0</v>
      </c>
      <c r="GX32" s="223">
        <f t="shared" si="73"/>
        <v>0</v>
      </c>
      <c r="GY32" s="230"/>
      <c r="GZ32" s="233" t="s">
        <v>827</v>
      </c>
      <c r="HA32" s="209">
        <v>0</v>
      </c>
      <c r="HB32" s="223">
        <v>0</v>
      </c>
      <c r="HC32" s="223">
        <f t="shared" si="74"/>
        <v>0</v>
      </c>
      <c r="HD32" s="233" t="s">
        <v>827</v>
      </c>
      <c r="HE32" s="209">
        <v>0</v>
      </c>
      <c r="HF32" s="223">
        <v>0</v>
      </c>
      <c r="HG32" s="223">
        <f t="shared" si="75"/>
        <v>0</v>
      </c>
      <c r="HH32" s="230"/>
      <c r="HI32" s="233" t="s">
        <v>827</v>
      </c>
      <c r="HJ32" s="209">
        <v>0</v>
      </c>
      <c r="HK32" s="223">
        <v>0</v>
      </c>
      <c r="HL32" s="223">
        <f t="shared" si="76"/>
        <v>0</v>
      </c>
      <c r="HM32" s="230"/>
      <c r="HN32" s="230"/>
      <c r="HO32" s="233" t="s">
        <v>827</v>
      </c>
      <c r="HP32" s="209">
        <v>0</v>
      </c>
      <c r="HQ32" s="223">
        <v>0</v>
      </c>
      <c r="HR32" s="223">
        <f t="shared" si="130"/>
        <v>0</v>
      </c>
      <c r="HS32" s="230"/>
      <c r="HT32" s="230"/>
      <c r="HU32" s="230"/>
      <c r="HV32" s="230"/>
      <c r="HW32" s="230"/>
      <c r="HX32" s="230"/>
      <c r="HY32" s="230"/>
      <c r="HZ32" s="230"/>
      <c r="IA32" s="230"/>
      <c r="IB32" s="230"/>
      <c r="IC32" s="230"/>
      <c r="ID32" s="230"/>
      <c r="IE32" s="230"/>
      <c r="IF32" s="230"/>
    </row>
    <row r="33" spans="7:240" x14ac:dyDescent="0.2">
      <c r="G33" s="209">
        <f>+SUM(G3:G32)</f>
        <v>131</v>
      </c>
      <c r="H33" s="209">
        <f t="shared" ref="H33:U33" si="163">+SUM(H3:H32)</f>
        <v>75</v>
      </c>
      <c r="I33" s="212">
        <f t="shared" si="163"/>
        <v>855250</v>
      </c>
      <c r="J33" s="212">
        <f t="shared" si="163"/>
        <v>69503499.999999985</v>
      </c>
      <c r="K33" s="216">
        <f t="shared" si="163"/>
        <v>240</v>
      </c>
      <c r="L33" s="212">
        <f t="shared" si="163"/>
        <v>226396.96462765965</v>
      </c>
      <c r="M33" s="212">
        <f t="shared" si="163"/>
        <v>1811175.7170212772</v>
      </c>
      <c r="N33" s="216">
        <f t="shared" si="163"/>
        <v>34</v>
      </c>
      <c r="O33" s="216">
        <f t="shared" si="163"/>
        <v>36</v>
      </c>
      <c r="P33" s="212">
        <f t="shared" si="163"/>
        <v>203825.47499999998</v>
      </c>
      <c r="Q33" s="212">
        <f t="shared" si="163"/>
        <v>810985.76666666614</v>
      </c>
      <c r="R33" s="216">
        <f t="shared" si="163"/>
        <v>1792</v>
      </c>
      <c r="S33" s="216">
        <f t="shared" si="163"/>
        <v>18</v>
      </c>
      <c r="T33" s="212">
        <f t="shared" si="163"/>
        <v>226396.96462765965</v>
      </c>
      <c r="U33" s="212">
        <f t="shared" si="163"/>
        <v>11379042.44042553</v>
      </c>
      <c r="V33" s="230"/>
      <c r="W33" s="209">
        <f>SUM(W3:W32)</f>
        <v>34</v>
      </c>
      <c r="X33" s="209">
        <f t="shared" ref="X33:BF33" si="164">SUM(X3:X32)</f>
        <v>61</v>
      </c>
      <c r="Y33" s="223">
        <f t="shared" si="164"/>
        <v>739583.33333333314</v>
      </c>
      <c r="Z33" s="223">
        <f t="shared" si="164"/>
        <v>7024166.666666666</v>
      </c>
      <c r="AA33" s="209">
        <f>SUM(AA3:AA32)</f>
        <v>24</v>
      </c>
      <c r="AB33" s="209">
        <f t="shared" si="164"/>
        <v>48</v>
      </c>
      <c r="AC33" s="223">
        <f t="shared" si="164"/>
        <v>257916.66666666663</v>
      </c>
      <c r="AD33" s="223">
        <f t="shared" si="164"/>
        <v>7200416.6666666651</v>
      </c>
      <c r="AE33" s="209">
        <f>SUM(AE3:AE32)</f>
        <v>32</v>
      </c>
      <c r="AF33" s="209">
        <f t="shared" si="164"/>
        <v>46</v>
      </c>
      <c r="AG33" s="223">
        <f t="shared" si="164"/>
        <v>1039166.666666667</v>
      </c>
      <c r="AH33" s="223">
        <f t="shared" si="164"/>
        <v>34687083.333333336</v>
      </c>
      <c r="AI33" s="209">
        <f>SUM(AI3:AI32)</f>
        <v>65</v>
      </c>
      <c r="AJ33" s="209">
        <f t="shared" si="164"/>
        <v>31</v>
      </c>
      <c r="AK33" s="223">
        <f t="shared" si="164"/>
        <v>270416.66666666663</v>
      </c>
      <c r="AL33" s="223">
        <f t="shared" si="164"/>
        <v>3315416.6666666665</v>
      </c>
      <c r="AM33" s="209">
        <f>SUM(AM3:AM32)</f>
        <v>30</v>
      </c>
      <c r="AN33" s="209">
        <f t="shared" si="164"/>
        <v>30</v>
      </c>
      <c r="AO33" s="223">
        <f t="shared" si="164"/>
        <v>225000</v>
      </c>
      <c r="AP33" s="223">
        <f t="shared" si="164"/>
        <v>225000</v>
      </c>
      <c r="AQ33" s="209">
        <f t="shared" si="164"/>
        <v>8</v>
      </c>
      <c r="AR33" s="209">
        <f t="shared" si="164"/>
        <v>7</v>
      </c>
      <c r="AS33" s="223">
        <f t="shared" si="164"/>
        <v>104270.83333333333</v>
      </c>
      <c r="AT33" s="223">
        <f t="shared" si="164"/>
        <v>252291.66666666669</v>
      </c>
      <c r="AU33" s="209">
        <f t="shared" si="164"/>
        <v>28</v>
      </c>
      <c r="AV33" s="209">
        <f t="shared" si="164"/>
        <v>33</v>
      </c>
      <c r="AW33" s="223">
        <f t="shared" si="164"/>
        <v>457083.33333333337</v>
      </c>
      <c r="AX33" s="223">
        <f t="shared" si="164"/>
        <v>1006250.0000000001</v>
      </c>
      <c r="AY33" s="209">
        <f t="shared" si="164"/>
        <v>27</v>
      </c>
      <c r="AZ33" s="209">
        <f t="shared" si="164"/>
        <v>141</v>
      </c>
      <c r="BA33" s="223">
        <f t="shared" si="164"/>
        <v>18640000</v>
      </c>
      <c r="BB33" s="223">
        <f t="shared" si="164"/>
        <v>151018333.33333337</v>
      </c>
      <c r="BC33" s="209">
        <f t="shared" si="164"/>
        <v>24</v>
      </c>
      <c r="BD33" s="209">
        <f t="shared" si="164"/>
        <v>51</v>
      </c>
      <c r="BE33" s="223">
        <f t="shared" si="164"/>
        <v>627916.66666666674</v>
      </c>
      <c r="BF33" s="223">
        <f t="shared" si="164"/>
        <v>1403749.9999999998</v>
      </c>
      <c r="BG33" s="209">
        <f t="shared" ref="BG33:BN33" si="165">SUM(BG3:BG32)</f>
        <v>29</v>
      </c>
      <c r="BH33" s="209">
        <f t="shared" si="165"/>
        <v>2</v>
      </c>
      <c r="BI33" s="223">
        <f t="shared" si="165"/>
        <v>19583.333333333336</v>
      </c>
      <c r="BJ33" s="223">
        <f t="shared" si="165"/>
        <v>370000</v>
      </c>
      <c r="BK33" s="209">
        <f t="shared" si="165"/>
        <v>29</v>
      </c>
      <c r="BL33" s="209">
        <f t="shared" si="165"/>
        <v>29</v>
      </c>
      <c r="BM33" s="223">
        <f t="shared" si="165"/>
        <v>604166.66666666663</v>
      </c>
      <c r="BN33" s="223">
        <f t="shared" si="165"/>
        <v>604166.66666666663</v>
      </c>
      <c r="BO33" s="240">
        <f t="shared" ref="BO33:CG33" si="166">SUM(BO3:BO32)</f>
        <v>28</v>
      </c>
      <c r="BP33" s="209">
        <f t="shared" si="166"/>
        <v>24</v>
      </c>
      <c r="BQ33" s="223">
        <f t="shared" si="166"/>
        <v>154583.33333333331</v>
      </c>
      <c r="BR33" s="223">
        <f t="shared" si="166"/>
        <v>221666.66666666677</v>
      </c>
      <c r="BS33" s="209">
        <f t="shared" si="166"/>
        <v>5</v>
      </c>
      <c r="BT33" s="209">
        <f t="shared" si="166"/>
        <v>9</v>
      </c>
      <c r="BU33" s="223">
        <f t="shared" si="166"/>
        <v>78750</v>
      </c>
      <c r="BV33" s="223">
        <f t="shared" si="166"/>
        <v>239166.66666666669</v>
      </c>
      <c r="BW33" s="209">
        <f t="shared" si="166"/>
        <v>5</v>
      </c>
      <c r="BX33" s="209">
        <f t="shared" si="166"/>
        <v>7</v>
      </c>
      <c r="BY33" s="223">
        <f t="shared" si="166"/>
        <v>58333.333333333336</v>
      </c>
      <c r="BZ33" s="223">
        <f t="shared" si="166"/>
        <v>128333.33333333333</v>
      </c>
      <c r="CA33" s="209">
        <f t="shared" si="166"/>
        <v>13</v>
      </c>
      <c r="CB33" s="209">
        <f t="shared" si="166"/>
        <v>7</v>
      </c>
      <c r="CC33" s="223">
        <f t="shared" si="166"/>
        <v>55416.666666666664</v>
      </c>
      <c r="CD33" s="223">
        <f t="shared" si="166"/>
        <v>3723750</v>
      </c>
      <c r="CE33" s="209">
        <f t="shared" si="166"/>
        <v>4</v>
      </c>
      <c r="CF33" s="209">
        <f t="shared" si="166"/>
        <v>8</v>
      </c>
      <c r="CG33" s="223">
        <f t="shared" si="166"/>
        <v>72916.666666666672</v>
      </c>
      <c r="CH33" s="223">
        <f t="shared" ref="CH33:CN33" si="167">SUM(CH3:CH32)</f>
        <v>189583.33333333334</v>
      </c>
      <c r="CI33" s="209">
        <f t="shared" si="167"/>
        <v>1</v>
      </c>
      <c r="CJ33" s="209">
        <f t="shared" si="167"/>
        <v>2</v>
      </c>
      <c r="CK33" s="223">
        <f t="shared" si="167"/>
        <v>14729.166666666666</v>
      </c>
      <c r="CL33" s="223">
        <f t="shared" si="167"/>
        <v>29458.333333333332</v>
      </c>
      <c r="CM33" s="209">
        <f t="shared" si="167"/>
        <v>595</v>
      </c>
      <c r="CN33" s="209">
        <f t="shared" si="167"/>
        <v>15</v>
      </c>
      <c r="CO33" s="223">
        <f t="shared" ref="CO33:CP33" si="168">SUM(CO3:CO32)</f>
        <v>178750</v>
      </c>
      <c r="CP33" s="223">
        <f t="shared" si="168"/>
        <v>76008750</v>
      </c>
      <c r="CQ33" s="209">
        <f>SUM(CQ3:CQ32)</f>
        <v>27</v>
      </c>
      <c r="CR33" s="209">
        <f t="shared" ref="CR33:CT33" si="169">SUM(CR3:CR32)</f>
        <v>5</v>
      </c>
      <c r="CS33" s="226">
        <f t="shared" si="169"/>
        <v>47499.999999999993</v>
      </c>
      <c r="CT33" s="226">
        <f t="shared" si="169"/>
        <v>811249.99999999988</v>
      </c>
      <c r="CU33" s="209" t="s">
        <v>827</v>
      </c>
      <c r="CV33" s="209">
        <f>SUM(CV3:CV32)</f>
        <v>0</v>
      </c>
      <c r="CW33" s="209">
        <f t="shared" ref="CW33:CX33" si="170">SUM(CW3:CW32)</f>
        <v>0</v>
      </c>
      <c r="CX33" s="209">
        <f t="shared" si="170"/>
        <v>0</v>
      </c>
      <c r="CY33" s="209" t="str">
        <f>+'Metodo Simplificado'!D34</f>
        <v>Bicicletas, Bisturi</v>
      </c>
      <c r="CZ33" s="209">
        <f>SUM(CZ3:CZ32)</f>
        <v>4</v>
      </c>
      <c r="DA33" s="226">
        <f t="shared" ref="DA33:DB33" si="171">SUM(DA3:DA32)</f>
        <v>115000</v>
      </c>
      <c r="DB33" s="226">
        <f t="shared" si="171"/>
        <v>115000</v>
      </c>
      <c r="DC33" s="209" t="str">
        <f>+'Metodo Simplificado'!D35</f>
        <v>No aplica</v>
      </c>
      <c r="DD33" s="209">
        <f>SUM(DD3:DD32)</f>
        <v>0</v>
      </c>
      <c r="DE33" s="226">
        <f t="shared" ref="DE33" si="172">SUM(DE3:DE32)</f>
        <v>0</v>
      </c>
      <c r="DF33" s="226">
        <f t="shared" ref="DF33" si="173">SUM(DF3:DF32)</f>
        <v>0</v>
      </c>
      <c r="DG33" s="209" t="str">
        <f>+'Metodo Simplificado'!D36</f>
        <v>Laminas Aluminio</v>
      </c>
      <c r="DH33" s="209">
        <f>SUM(DH3:DH32)</f>
        <v>10</v>
      </c>
      <c r="DI33" s="226">
        <f t="shared" ref="DI33" si="174">SUM(DI3:DI32)</f>
        <v>30000</v>
      </c>
      <c r="DJ33" s="226">
        <f t="shared" ref="DJ33" si="175">SUM(DJ3:DJ32)</f>
        <v>300000</v>
      </c>
      <c r="DK33" s="209" t="str">
        <f>+'Metodo Simplificado'!D37</f>
        <v>Maquina Universal</v>
      </c>
      <c r="DL33" s="209">
        <f>SUM(DL3:DL32)</f>
        <v>1</v>
      </c>
      <c r="DM33" s="226">
        <f t="shared" ref="DM33" si="176">SUM(DM3:DM32)</f>
        <v>200000</v>
      </c>
      <c r="DN33" s="226">
        <f t="shared" ref="DN33" si="177">SUM(DN3:DN32)</f>
        <v>200000</v>
      </c>
      <c r="DO33" s="209" t="str">
        <f>+'Metodo Simplificado'!D38</f>
        <v>No aplica</v>
      </c>
      <c r="DP33" s="209">
        <f>SUM(DP3:DP32)</f>
        <v>0</v>
      </c>
      <c r="DQ33" s="226">
        <f t="shared" ref="DQ33" si="178">SUM(DQ3:DQ32)</f>
        <v>0</v>
      </c>
      <c r="DR33" s="226">
        <f t="shared" ref="DR33" si="179">SUM(DR3:DR32)</f>
        <v>0</v>
      </c>
      <c r="DS33" s="209" t="str">
        <f>+'Metodo Simplificado'!D39</f>
        <v>No aplica</v>
      </c>
      <c r="DT33" s="209">
        <f>SUM(DT3:DT32)</f>
        <v>0</v>
      </c>
      <c r="DU33" s="226">
        <f t="shared" ref="DU33" si="180">SUM(DU3:DU32)</f>
        <v>0</v>
      </c>
      <c r="DV33" s="226">
        <f t="shared" ref="DV33" si="181">SUM(DV3:DV32)</f>
        <v>0</v>
      </c>
      <c r="DW33" s="209" t="str">
        <f>+'Metodo Simplificado'!D40</f>
        <v>No aplica</v>
      </c>
      <c r="DX33" s="209">
        <f>SUM(DX3:DX32)</f>
        <v>0</v>
      </c>
      <c r="DY33" s="226">
        <f t="shared" ref="DY33:DZ33" si="182">SUM(DY3:DY32)</f>
        <v>0</v>
      </c>
      <c r="DZ33" s="226">
        <f t="shared" si="182"/>
        <v>0</v>
      </c>
      <c r="EA33" s="209" t="str">
        <f>+'Metodo Simplificado'!D41</f>
        <v>No aplica</v>
      </c>
      <c r="EB33" s="209">
        <f>SUM(EB3:EB32)</f>
        <v>0</v>
      </c>
      <c r="EC33" s="226">
        <f t="shared" ref="EC33" si="183">SUM(EC3:EC32)</f>
        <v>0</v>
      </c>
      <c r="ED33" s="226">
        <f t="shared" ref="ED33" si="184">SUM(ED3:ED32)</f>
        <v>0</v>
      </c>
      <c r="EE33" s="209" t="str">
        <f>+'Metodo Simplificado'!D42</f>
        <v>Sensor movimiento, anclaje maquina universal</v>
      </c>
      <c r="EF33" s="209">
        <f>SUM(EF3:EF32)</f>
        <v>2</v>
      </c>
      <c r="EG33" s="226">
        <f t="shared" ref="EG33" si="185">SUM(EG3:EG32)</f>
        <v>550000</v>
      </c>
      <c r="EH33" s="226">
        <f t="shared" ref="EH33" si="186">SUM(EH3:EH32)</f>
        <v>550000</v>
      </c>
      <c r="EI33" s="209" t="str">
        <f>+'Metodo Simplificado'!D43</f>
        <v>No aplica</v>
      </c>
      <c r="EJ33" s="209">
        <f>SUM(EJ3:EJ32)</f>
        <v>0</v>
      </c>
      <c r="EK33" s="226">
        <f t="shared" ref="EK33" si="187">SUM(EK3:EK32)</f>
        <v>0</v>
      </c>
      <c r="EL33" s="226">
        <f t="shared" ref="EL33" si="188">SUM(EL3:EL32)</f>
        <v>0</v>
      </c>
      <c r="EM33" s="209" t="str">
        <f>+'Metodo Simplificado'!D44</f>
        <v>No aplica</v>
      </c>
      <c r="EN33" s="209">
        <f>SUM(EN3:EN32)</f>
        <v>0</v>
      </c>
      <c r="EO33" s="226">
        <f t="shared" ref="EO33" si="189">SUM(EO3:EO32)</f>
        <v>0</v>
      </c>
      <c r="EP33" s="226">
        <f t="shared" ref="EP33" si="190">SUM(EP3:EP32)</f>
        <v>0</v>
      </c>
      <c r="EQ33" s="209" t="s">
        <v>956</v>
      </c>
      <c r="ER33" s="211" t="s">
        <v>167</v>
      </c>
      <c r="ES33" s="226">
        <f t="shared" ref="ES33" si="191">SUM(ES3:ES32)</f>
        <v>60598660</v>
      </c>
      <c r="ET33" s="209" t="s">
        <v>827</v>
      </c>
      <c r="EU33" s="211" t="s">
        <v>167</v>
      </c>
      <c r="EV33" s="226">
        <f t="shared" ref="EV33" si="192">SUM(EV3:EV32)</f>
        <v>0</v>
      </c>
      <c r="EW33" s="209" t="s">
        <v>827</v>
      </c>
      <c r="EX33" s="211" t="s">
        <v>167</v>
      </c>
      <c r="EY33" s="226">
        <f t="shared" ref="EY33:FI33" si="193">SUM(EY3:EY32)</f>
        <v>0</v>
      </c>
      <c r="EZ33" s="209" t="s">
        <v>827</v>
      </c>
      <c r="FA33" s="226">
        <f t="shared" si="193"/>
        <v>0</v>
      </c>
      <c r="FB33" s="209" t="s">
        <v>827</v>
      </c>
      <c r="FC33" s="226">
        <f t="shared" si="193"/>
        <v>0</v>
      </c>
      <c r="FD33" s="209" t="s">
        <v>827</v>
      </c>
      <c r="FE33" s="226">
        <f t="shared" si="193"/>
        <v>0</v>
      </c>
      <c r="FF33" s="209" t="s">
        <v>827</v>
      </c>
      <c r="FG33" s="226">
        <f t="shared" si="193"/>
        <v>0</v>
      </c>
      <c r="FH33" s="209" t="s">
        <v>827</v>
      </c>
      <c r="FI33" s="226">
        <f t="shared" si="193"/>
        <v>0</v>
      </c>
      <c r="FJ33" s="230" t="s">
        <v>831</v>
      </c>
      <c r="FK33" s="230" t="s">
        <v>831</v>
      </c>
      <c r="FL33" s="233" t="s">
        <v>958</v>
      </c>
      <c r="FM33" s="209">
        <f>SUM(FM3:FM32)</f>
        <v>18</v>
      </c>
      <c r="FN33" s="223">
        <f t="shared" ref="FN33:FO33" si="194">SUM(FN3:FN32)</f>
        <v>10574440.399999999</v>
      </c>
      <c r="FO33" s="223">
        <f t="shared" si="194"/>
        <v>10574440.399999999</v>
      </c>
      <c r="FP33" s="209" t="s">
        <v>960</v>
      </c>
      <c r="FQ33" s="209">
        <f>SUM(FQ3:FQ32)</f>
        <v>2</v>
      </c>
      <c r="FR33" s="223">
        <f t="shared" ref="FR33" si="195">SUM(FR3:FR32)</f>
        <v>500000</v>
      </c>
      <c r="FS33" s="223">
        <f t="shared" ref="FS33" si="196">SUM(FS3:FS32)</f>
        <v>500000</v>
      </c>
      <c r="FT33" s="230" t="s">
        <v>831</v>
      </c>
      <c r="FU33" s="230" t="s">
        <v>831</v>
      </c>
      <c r="FV33" s="233" t="s">
        <v>961</v>
      </c>
      <c r="FW33" s="209">
        <f>SUM(FW3:FW32)</f>
        <v>1</v>
      </c>
      <c r="FX33" s="223">
        <f t="shared" ref="FX33" si="197">SUM(FX3:FX32)</f>
        <v>300000</v>
      </c>
      <c r="FY33" s="223">
        <f t="shared" ref="FY33" si="198">SUM(FY3:FY32)</f>
        <v>300000</v>
      </c>
      <c r="FZ33" s="230" t="s">
        <v>831</v>
      </c>
      <c r="GA33" s="209" t="s">
        <v>962</v>
      </c>
      <c r="GB33" s="209">
        <f>SUM(GB3:GB32)</f>
        <v>3</v>
      </c>
      <c r="GC33" s="223">
        <f t="shared" ref="GC33" si="199">SUM(GC3:GC32)</f>
        <v>1701364.2553191488</v>
      </c>
      <c r="GD33" s="223">
        <f t="shared" ref="GD33" si="200">SUM(GD3:GD32)</f>
        <v>1701364.2553191488</v>
      </c>
      <c r="GE33" s="209" t="s">
        <v>964</v>
      </c>
      <c r="GF33" s="209">
        <f>SUM(GF3:GF32)</f>
        <v>12</v>
      </c>
      <c r="GG33" s="223">
        <f t="shared" ref="GG33" si="201">SUM(GG3:GG32)</f>
        <v>210000</v>
      </c>
      <c r="GH33" s="223">
        <f t="shared" ref="GH33" si="202">SUM(GH3:GH32)</f>
        <v>340000</v>
      </c>
      <c r="GI33" s="209" t="s">
        <v>967</v>
      </c>
      <c r="GJ33" s="209">
        <f>SUM(GJ3:GJ32)</f>
        <v>3</v>
      </c>
      <c r="GK33" s="223">
        <f t="shared" ref="GK33" si="203">SUM(GK3:GK32)</f>
        <v>50000</v>
      </c>
      <c r="GL33" s="223">
        <f t="shared" ref="GL33" si="204">SUM(GL3:GL32)</f>
        <v>150000</v>
      </c>
      <c r="GM33" s="209" t="s">
        <v>93</v>
      </c>
      <c r="GN33" s="209">
        <f>SUM(GN3:GN32)</f>
        <v>6</v>
      </c>
      <c r="GO33" s="223">
        <f t="shared" ref="GO33" si="205">SUM(GO3:GO32)</f>
        <v>35833.333333333336</v>
      </c>
      <c r="GP33" s="223">
        <f t="shared" ref="GP33" si="206">SUM(GP3:GP32)</f>
        <v>107500</v>
      </c>
      <c r="GQ33" s="209" t="s">
        <v>968</v>
      </c>
      <c r="GR33" s="209">
        <f>SUM(GR3:GR32)</f>
        <v>0</v>
      </c>
      <c r="GS33" s="223">
        <f t="shared" ref="GS33" si="207">SUM(GS3:GS32)</f>
        <v>0</v>
      </c>
      <c r="GT33" s="223">
        <f t="shared" ref="GT33" si="208">SUM(GT3:GT32)</f>
        <v>0</v>
      </c>
      <c r="GU33" s="209" t="s">
        <v>969</v>
      </c>
      <c r="GV33" s="209">
        <f>SUM(GV3:GV32)</f>
        <v>1</v>
      </c>
      <c r="GW33" s="223">
        <f t="shared" ref="GW33" si="209">SUM(GW3:GW32)</f>
        <v>300000</v>
      </c>
      <c r="GX33" s="223">
        <f t="shared" ref="GX33" si="210">SUM(GX3:GX32)</f>
        <v>300000</v>
      </c>
      <c r="GY33" s="230" t="s">
        <v>968</v>
      </c>
      <c r="GZ33" s="209" t="s">
        <v>970</v>
      </c>
      <c r="HA33" s="209">
        <f>SUM(HA3:HA32)</f>
        <v>2</v>
      </c>
      <c r="HB33" s="223">
        <f t="shared" ref="HB33" si="211">SUM(HB3:HB32)</f>
        <v>90333.333333333328</v>
      </c>
      <c r="HC33" s="223">
        <f t="shared" ref="HC33" si="212">SUM(HC3:HC32)</f>
        <v>88333.333333333328</v>
      </c>
      <c r="HD33" s="209" t="s">
        <v>831</v>
      </c>
      <c r="HE33" s="209">
        <f>SUM(HE3:HE32)</f>
        <v>0</v>
      </c>
      <c r="HF33" s="223">
        <f t="shared" ref="HF33" si="213">SUM(HF3:HF32)</f>
        <v>0</v>
      </c>
      <c r="HG33" s="223">
        <f t="shared" ref="HG33" si="214">SUM(HG3:HG32)</f>
        <v>0</v>
      </c>
      <c r="HH33" s="230" t="s">
        <v>831</v>
      </c>
      <c r="HI33" s="209" t="s">
        <v>972</v>
      </c>
      <c r="HJ33" s="209">
        <f>SUM(HJ3:HJ32)</f>
        <v>9</v>
      </c>
      <c r="HK33" s="223">
        <f t="shared" ref="HK33" si="215">SUM(HK3:HK32)</f>
        <v>140000</v>
      </c>
      <c r="HL33" s="223">
        <f t="shared" ref="HL33" si="216">SUM(HL3:HL32)</f>
        <v>315000</v>
      </c>
      <c r="HM33" s="230" t="s">
        <v>831</v>
      </c>
      <c r="HN33" s="230" t="s">
        <v>973</v>
      </c>
      <c r="HO33" s="209" t="s">
        <v>968</v>
      </c>
      <c r="HP33" s="209">
        <f>SUM(HP3:HP32)</f>
        <v>0</v>
      </c>
      <c r="HQ33" s="223">
        <f t="shared" ref="HQ33" si="217">SUM(HQ3:HQ32)</f>
        <v>0</v>
      </c>
      <c r="HR33" s="223">
        <f t="shared" ref="HR33" si="218">SUM(HR3:HR32)</f>
        <v>0</v>
      </c>
      <c r="HS33" s="230"/>
      <c r="HT33" s="230"/>
      <c r="HU33" s="230"/>
      <c r="HV33" s="230"/>
      <c r="HW33" s="230"/>
      <c r="HX33" s="230"/>
      <c r="HY33" s="230"/>
      <c r="HZ33" s="230"/>
      <c r="IA33" s="230"/>
      <c r="IB33" s="230"/>
      <c r="IC33" s="230"/>
      <c r="ID33" s="230"/>
      <c r="IE33" s="230"/>
      <c r="IF33" s="230"/>
    </row>
    <row r="34" spans="7:240" x14ac:dyDescent="0.2">
      <c r="R34" s="216"/>
      <c r="S34" s="216"/>
      <c r="GE34" s="240"/>
    </row>
    <row r="35" spans="7:240" x14ac:dyDescent="0.2">
      <c r="R35" s="216"/>
      <c r="S35" s="216"/>
    </row>
  </sheetData>
  <mergeCells count="55">
    <mergeCell ref="GU1:GX1"/>
    <mergeCell ref="GZ1:HC1"/>
    <mergeCell ref="HD1:HG1"/>
    <mergeCell ref="HI1:HL1"/>
    <mergeCell ref="HO1:HR1"/>
    <mergeCell ref="GA1:GD1"/>
    <mergeCell ref="GE1:GH1"/>
    <mergeCell ref="GI1:GL1"/>
    <mergeCell ref="GM1:GP1"/>
    <mergeCell ref="GQ1:GT1"/>
    <mergeCell ref="FD1:FE1"/>
    <mergeCell ref="FF1:FG1"/>
    <mergeCell ref="FL1:FO1"/>
    <mergeCell ref="FP1:FS1"/>
    <mergeCell ref="FV1:FY1"/>
    <mergeCell ref="EQ1:ES1"/>
    <mergeCell ref="ET1:EV1"/>
    <mergeCell ref="EW1:EY1"/>
    <mergeCell ref="EZ1:FA1"/>
    <mergeCell ref="FB1:FC1"/>
    <mergeCell ref="DW1:DZ1"/>
    <mergeCell ref="EA1:ED1"/>
    <mergeCell ref="EE1:EH1"/>
    <mergeCell ref="EI1:EL1"/>
    <mergeCell ref="EM1:EP1"/>
    <mergeCell ref="DC1:DF1"/>
    <mergeCell ref="DG1:DJ1"/>
    <mergeCell ref="DK1:DN1"/>
    <mergeCell ref="DO1:DR1"/>
    <mergeCell ref="DS1:DV1"/>
    <mergeCell ref="CI1:CL1"/>
    <mergeCell ref="CM1:CP1"/>
    <mergeCell ref="CQ1:CT1"/>
    <mergeCell ref="CU1:CX1"/>
    <mergeCell ref="CY1:DB1"/>
    <mergeCell ref="BO1:BR1"/>
    <mergeCell ref="BS1:BV1"/>
    <mergeCell ref="BW1:BZ1"/>
    <mergeCell ref="CA1:CD1"/>
    <mergeCell ref="CE1:CH1"/>
    <mergeCell ref="AU1:AX1"/>
    <mergeCell ref="AY1:BB1"/>
    <mergeCell ref="BC1:BF1"/>
    <mergeCell ref="BG1:BJ1"/>
    <mergeCell ref="BK1:BN1"/>
    <mergeCell ref="AA1:AD1"/>
    <mergeCell ref="AE1:AH1"/>
    <mergeCell ref="AI1:AL1"/>
    <mergeCell ref="AM1:AP1"/>
    <mergeCell ref="AQ1:AT1"/>
    <mergeCell ref="G1:J1"/>
    <mergeCell ref="K1:M1"/>
    <mergeCell ref="N1:Q1"/>
    <mergeCell ref="R1:U1"/>
    <mergeCell ref="W1:Z1"/>
  </mergeCells>
  <pageMargins left="0.7" right="0.7" top="0.75" bottom="0.75" header="0.3" footer="0.3"/>
  <pageSetup orientation="portrait"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dimension ref="B1:H102"/>
  <sheetViews>
    <sheetView showGridLines="0" topLeftCell="A80" workbookViewId="0">
      <selection activeCell="G100" sqref="G100"/>
    </sheetView>
  </sheetViews>
  <sheetFormatPr baseColWidth="10" defaultRowHeight="15" x14ac:dyDescent="0.25"/>
  <cols>
    <col min="2" max="2" width="22.140625" bestFit="1" customWidth="1"/>
    <col min="3" max="3" width="61.85546875" customWidth="1"/>
    <col min="4" max="4" width="17" customWidth="1"/>
    <col min="5" max="5" width="16.7109375" customWidth="1"/>
    <col min="6" max="6" width="18" customWidth="1"/>
    <col min="7" max="7" width="16.85546875" customWidth="1"/>
  </cols>
  <sheetData>
    <row r="1" spans="2:8" ht="15.75" thickBot="1" x14ac:dyDescent="0.3"/>
    <row r="2" spans="2:8" ht="29.25" thickBot="1" x14ac:dyDescent="0.5">
      <c r="B2" s="256" t="s">
        <v>151</v>
      </c>
      <c r="C2" s="257"/>
      <c r="D2" s="257"/>
      <c r="E2" s="257"/>
      <c r="F2" s="257"/>
      <c r="G2" s="258"/>
    </row>
    <row r="3" spans="2:8" ht="68.25" customHeight="1" thickBot="1" x14ac:dyDescent="0.3">
      <c r="B3" s="259" t="s">
        <v>810</v>
      </c>
      <c r="C3" s="260"/>
      <c r="D3" s="260"/>
      <c r="E3" s="260"/>
      <c r="F3" s="260"/>
      <c r="G3" s="261"/>
    </row>
    <row r="4" spans="2:8" ht="14.25" customHeight="1" thickBot="1" x14ac:dyDescent="0.3">
      <c r="B4" s="81"/>
      <c r="C4" s="81"/>
      <c r="D4" s="81"/>
      <c r="E4" s="81"/>
      <c r="F4" s="81"/>
      <c r="G4" s="81"/>
      <c r="H4" s="37"/>
    </row>
    <row r="5" spans="2:8" ht="30.75" thickBot="1" x14ac:dyDescent="0.3">
      <c r="B5" s="49" t="s">
        <v>806</v>
      </c>
      <c r="C5" s="49" t="s">
        <v>0</v>
      </c>
      <c r="D5" s="51" t="s">
        <v>783</v>
      </c>
      <c r="E5" s="51" t="s">
        <v>784</v>
      </c>
      <c r="F5" s="50" t="s">
        <v>788</v>
      </c>
      <c r="G5" s="51" t="s">
        <v>160</v>
      </c>
    </row>
    <row r="6" spans="2:8" x14ac:dyDescent="0.25">
      <c r="B6" s="253" t="s">
        <v>102</v>
      </c>
      <c r="C6" s="159" t="s">
        <v>156</v>
      </c>
      <c r="D6" s="59">
        <f>+'Costo Accidentalidad'!G33</f>
        <v>131</v>
      </c>
      <c r="E6" s="58">
        <f>+'Costo Accidentalidad'!H33</f>
        <v>75</v>
      </c>
      <c r="F6" s="53">
        <f>+'Costo Accidentalidad'!I33</f>
        <v>855250</v>
      </c>
      <c r="G6" s="53">
        <f>'Costo Accidentalidad'!J33</f>
        <v>69503499.999999985</v>
      </c>
    </row>
    <row r="7" spans="2:8" x14ac:dyDescent="0.25">
      <c r="B7" s="254"/>
      <c r="C7" s="159" t="s">
        <v>2</v>
      </c>
      <c r="D7" s="218">
        <f>+'Costo Accidentalidad'!K33</f>
        <v>240</v>
      </c>
      <c r="E7" s="59">
        <v>30</v>
      </c>
      <c r="F7" s="53">
        <f>+'Costo Accidentalidad'!L33</f>
        <v>226396.96462765965</v>
      </c>
      <c r="G7" s="53">
        <f>+'Costo Accidentalidad'!M33</f>
        <v>1811175.7170212772</v>
      </c>
    </row>
    <row r="8" spans="2:8" x14ac:dyDescent="0.25">
      <c r="B8" s="254"/>
      <c r="C8" s="159" t="s">
        <v>3</v>
      </c>
      <c r="D8" s="218">
        <f>+'Costo Accidentalidad'!N33</f>
        <v>34</v>
      </c>
      <c r="E8" s="218">
        <f>+'Costo Accidentalidad'!O33</f>
        <v>36</v>
      </c>
      <c r="F8" s="53">
        <f>+'Costo Accidentalidad'!P33</f>
        <v>203825.47499999998</v>
      </c>
      <c r="G8" s="53">
        <f>+'Costo Accidentalidad'!Q33</f>
        <v>810985.76666666614</v>
      </c>
    </row>
    <row r="9" spans="2:8" x14ac:dyDescent="0.25">
      <c r="B9" s="254"/>
      <c r="C9" s="167" t="s">
        <v>811</v>
      </c>
      <c r="D9" s="59">
        <f>+'Costo Accidentalidad'!R33</f>
        <v>1792</v>
      </c>
      <c r="E9" s="218">
        <f>+'Costo Accidentalidad'!S33</f>
        <v>18</v>
      </c>
      <c r="F9" s="53">
        <f>+'Costo Accidentalidad'!T33</f>
        <v>226396.96462765965</v>
      </c>
      <c r="G9" s="53">
        <f>+'Costo Accidentalidad'!U33</f>
        <v>11379042.44042553</v>
      </c>
    </row>
    <row r="10" spans="2:8" x14ac:dyDescent="0.25">
      <c r="B10" s="254"/>
      <c r="C10" s="167" t="s">
        <v>790</v>
      </c>
      <c r="D10" s="59">
        <v>0</v>
      </c>
      <c r="E10" s="59">
        <v>0</v>
      </c>
      <c r="F10" s="53">
        <v>0</v>
      </c>
      <c r="G10" s="53">
        <f>+'Costo Accidentalidad'!V33</f>
        <v>0</v>
      </c>
    </row>
    <row r="11" spans="2:8" x14ac:dyDescent="0.25">
      <c r="B11" s="254"/>
      <c r="C11" s="159" t="s">
        <v>795</v>
      </c>
      <c r="D11" s="59">
        <f>+'Costo Accidentalidad'!W33</f>
        <v>34</v>
      </c>
      <c r="E11" s="59">
        <f>+'Costo Accidentalidad'!X33</f>
        <v>61</v>
      </c>
      <c r="F11" s="53">
        <f>+'Costo Accidentalidad'!Y33</f>
        <v>739583.33333333314</v>
      </c>
      <c r="G11" s="53">
        <f>+'Costo Accidentalidad'!Z33</f>
        <v>7024166.666666666</v>
      </c>
    </row>
    <row r="12" spans="2:8" x14ac:dyDescent="0.25">
      <c r="B12" s="254"/>
      <c r="C12" s="159" t="s">
        <v>211</v>
      </c>
      <c r="D12" s="59">
        <f>+'Costo Accidentalidad'!AA33</f>
        <v>24</v>
      </c>
      <c r="E12" s="59">
        <f>+'Costo Accidentalidad'!AB33</f>
        <v>48</v>
      </c>
      <c r="F12" s="53">
        <f>+'Costo Accidentalidad'!AC33</f>
        <v>257916.66666666663</v>
      </c>
      <c r="G12" s="53">
        <f>+'Costo Accidentalidad'!AD33</f>
        <v>7200416.6666666651</v>
      </c>
    </row>
    <row r="13" spans="2:8" x14ac:dyDescent="0.25">
      <c r="B13" s="254"/>
      <c r="C13" s="159" t="s">
        <v>215</v>
      </c>
      <c r="D13" s="59">
        <f>+'Costo Accidentalidad'!AE33</f>
        <v>32</v>
      </c>
      <c r="E13" s="59">
        <f>+'Costo Accidentalidad'!AF33</f>
        <v>46</v>
      </c>
      <c r="F13" s="53">
        <f>+'Costo Accidentalidad'!AG33</f>
        <v>1039166.666666667</v>
      </c>
      <c r="G13" s="53">
        <f>+'Costo Accidentalidad'!AH33</f>
        <v>34687083.333333336</v>
      </c>
    </row>
    <row r="14" spans="2:8" x14ac:dyDescent="0.25">
      <c r="B14" s="254"/>
      <c r="C14" s="159" t="s">
        <v>222</v>
      </c>
      <c r="D14" s="59">
        <f>+'Costo Accidentalidad'!AI33</f>
        <v>65</v>
      </c>
      <c r="E14" s="59">
        <f>+'Costo Accidentalidad'!AJ33</f>
        <v>31</v>
      </c>
      <c r="F14" s="55">
        <f>+'Costo Accidentalidad'!AK33</f>
        <v>270416.66666666663</v>
      </c>
      <c r="G14" s="53">
        <f>+'Costo Accidentalidad'!AL33</f>
        <v>3315416.6666666665</v>
      </c>
    </row>
    <row r="15" spans="2:8" x14ac:dyDescent="0.25">
      <c r="B15" s="254"/>
      <c r="C15" s="159" t="s">
        <v>217</v>
      </c>
      <c r="D15" s="59">
        <f>+'Costo Accidentalidad'!AM33</f>
        <v>30</v>
      </c>
      <c r="E15" s="59">
        <f>+'Costo Accidentalidad'!AN33</f>
        <v>30</v>
      </c>
      <c r="F15" s="53">
        <f>+'Costo Accidentalidad'!AO33</f>
        <v>225000</v>
      </c>
      <c r="G15" s="53">
        <f>+'Costo Accidentalidad'!AP33</f>
        <v>225000</v>
      </c>
    </row>
    <row r="16" spans="2:8" x14ac:dyDescent="0.25">
      <c r="B16" s="254"/>
      <c r="C16" s="159" t="s">
        <v>697</v>
      </c>
      <c r="D16" s="59">
        <f>+'Costo Accidentalidad'!AQ33</f>
        <v>8</v>
      </c>
      <c r="E16" s="59">
        <f>+'Costo Accidentalidad'!AR33</f>
        <v>7</v>
      </c>
      <c r="F16" s="53">
        <f>+'Costo Accidentalidad'!AS33</f>
        <v>104270.83333333333</v>
      </c>
      <c r="G16" s="53">
        <f>+'Costo Accidentalidad'!AT33</f>
        <v>252291.66666666669</v>
      </c>
    </row>
    <row r="17" spans="2:7" x14ac:dyDescent="0.25">
      <c r="B17" s="254"/>
      <c r="C17" s="159" t="s">
        <v>216</v>
      </c>
      <c r="D17" s="59">
        <f>+'Costo Accidentalidad'!AU33</f>
        <v>28</v>
      </c>
      <c r="E17" s="59">
        <f>+'Costo Accidentalidad'!AV33</f>
        <v>33</v>
      </c>
      <c r="F17" s="53">
        <f>+'Costo Accidentalidad'!AW33</f>
        <v>457083.33333333337</v>
      </c>
      <c r="G17" s="53">
        <f>+'Costo Accidentalidad'!AX33</f>
        <v>1006250.0000000001</v>
      </c>
    </row>
    <row r="18" spans="2:7" x14ac:dyDescent="0.25">
      <c r="B18" s="254"/>
      <c r="C18" s="159" t="s">
        <v>223</v>
      </c>
      <c r="D18" s="59">
        <f>+'Costo Accidentalidad'!AY33</f>
        <v>27</v>
      </c>
      <c r="E18" s="59">
        <f>+'Costo Accidentalidad'!AZ33</f>
        <v>141</v>
      </c>
      <c r="F18" s="53">
        <f>+'Costo Accidentalidad'!BA33</f>
        <v>18640000</v>
      </c>
      <c r="G18" s="53">
        <f>+'Costo Accidentalidad'!BB33</f>
        <v>151018333.33333337</v>
      </c>
    </row>
    <row r="19" spans="2:7" x14ac:dyDescent="0.25">
      <c r="B19" s="254"/>
      <c r="C19" s="159" t="s">
        <v>224</v>
      </c>
      <c r="D19" s="59">
        <f>+'Costo Accidentalidad'!BC33</f>
        <v>24</v>
      </c>
      <c r="E19" s="59">
        <f>+'Costo Accidentalidad'!BD33</f>
        <v>51</v>
      </c>
      <c r="F19" s="53">
        <f>+'Costo Accidentalidad'!BE33</f>
        <v>627916.66666666674</v>
      </c>
      <c r="G19" s="53">
        <f>+'Costo Accidentalidad'!BF33</f>
        <v>1403749.9999999998</v>
      </c>
    </row>
    <row r="20" spans="2:7" x14ac:dyDescent="0.25">
      <c r="B20" s="254"/>
      <c r="C20" s="159" t="s">
        <v>233</v>
      </c>
      <c r="D20" s="59">
        <f>+'Costo Accidentalidad'!BG33</f>
        <v>29</v>
      </c>
      <c r="E20" s="59">
        <f>+'Costo Accidentalidad'!BH33</f>
        <v>2</v>
      </c>
      <c r="F20" s="53">
        <f>+'Costo Accidentalidad'!BI33</f>
        <v>19583.333333333336</v>
      </c>
      <c r="G20" s="53">
        <f>+'Costo Accidentalidad'!BJ33</f>
        <v>370000</v>
      </c>
    </row>
    <row r="21" spans="2:7" x14ac:dyDescent="0.25">
      <c r="B21" s="254"/>
      <c r="C21" s="159" t="s">
        <v>796</v>
      </c>
      <c r="D21" s="59">
        <f>+'Costo Accidentalidad'!BK33</f>
        <v>29</v>
      </c>
      <c r="E21" s="59">
        <f>+'Costo Accidentalidad'!BL33</f>
        <v>29</v>
      </c>
      <c r="F21" s="53">
        <f>+'Costo Accidentalidad'!BM33</f>
        <v>604166.66666666663</v>
      </c>
      <c r="G21" s="53">
        <f>+'Costo Accidentalidad'!BN33</f>
        <v>604166.66666666663</v>
      </c>
    </row>
    <row r="22" spans="2:7" x14ac:dyDescent="0.25">
      <c r="B22" s="254"/>
      <c r="C22" s="159" t="s">
        <v>693</v>
      </c>
      <c r="D22" s="59">
        <f>+'Costo Accidentalidad'!BO33</f>
        <v>28</v>
      </c>
      <c r="E22" s="59">
        <f>+'Costo Accidentalidad'!BP33</f>
        <v>24</v>
      </c>
      <c r="F22" s="53">
        <f>+'Costo Accidentalidad'!BQ33</f>
        <v>154583.33333333331</v>
      </c>
      <c r="G22" s="53">
        <f>+'Costo Accidentalidad'!BR33</f>
        <v>221666.66666666677</v>
      </c>
    </row>
    <row r="23" spans="2:7" x14ac:dyDescent="0.25">
      <c r="B23" s="254"/>
      <c r="C23" s="159" t="s">
        <v>797</v>
      </c>
      <c r="D23" s="59">
        <f>+'Costo Accidentalidad'!BS33</f>
        <v>5</v>
      </c>
      <c r="E23" s="59">
        <f>+'Costo Accidentalidad'!BT33</f>
        <v>9</v>
      </c>
      <c r="F23" s="53">
        <f>+'Costo Accidentalidad'!BU33</f>
        <v>78750</v>
      </c>
      <c r="G23" s="53">
        <f>+'Costo Accidentalidad'!BV33</f>
        <v>239166.66666666669</v>
      </c>
    </row>
    <row r="24" spans="2:7" x14ac:dyDescent="0.25">
      <c r="B24" s="254"/>
      <c r="C24" s="159" t="s">
        <v>803</v>
      </c>
      <c r="D24" s="59">
        <f>+'Costo Accidentalidad'!BW33</f>
        <v>5</v>
      </c>
      <c r="E24" s="59">
        <f>+'Costo Accidentalidad'!BX33</f>
        <v>7</v>
      </c>
      <c r="F24" s="53">
        <f>+'Costo Accidentalidad'!BY33</f>
        <v>58333.333333333336</v>
      </c>
      <c r="G24" s="53">
        <f>+'Costo Accidentalidad'!BZ33</f>
        <v>128333.33333333333</v>
      </c>
    </row>
    <row r="25" spans="2:7" x14ac:dyDescent="0.25">
      <c r="B25" s="254"/>
      <c r="C25" s="158" t="s">
        <v>698</v>
      </c>
      <c r="D25" s="59">
        <f>+'Costo Accidentalidad'!CA33</f>
        <v>13</v>
      </c>
      <c r="E25" s="59">
        <f>+'Costo Accidentalidad'!CB33</f>
        <v>7</v>
      </c>
      <c r="F25" s="53">
        <f>+'Costo Accidentalidad'!CC33</f>
        <v>55416.666666666664</v>
      </c>
      <c r="G25" s="53">
        <f>+'Costo Accidentalidad'!CD33</f>
        <v>3723750</v>
      </c>
    </row>
    <row r="26" spans="2:7" x14ac:dyDescent="0.25">
      <c r="B26" s="254"/>
      <c r="C26" s="158" t="s">
        <v>804</v>
      </c>
      <c r="D26" s="59">
        <f>+'Costo Accidentalidad'!CE33</f>
        <v>4</v>
      </c>
      <c r="E26" s="59">
        <f>+'Costo Accidentalidad'!CF33</f>
        <v>8</v>
      </c>
      <c r="F26" s="53">
        <f>+'Costo Accidentalidad'!CG33</f>
        <v>72916.666666666672</v>
      </c>
      <c r="G26" s="53">
        <f>+'Costo Accidentalidad'!CH33</f>
        <v>189583.33333333334</v>
      </c>
    </row>
    <row r="27" spans="2:7" x14ac:dyDescent="0.25">
      <c r="B27" s="254"/>
      <c r="C27" s="159" t="s">
        <v>805</v>
      </c>
      <c r="D27" s="59">
        <f>+'Costo Accidentalidad'!CI33</f>
        <v>1</v>
      </c>
      <c r="E27" s="59">
        <f>+'Costo Accidentalidad'!CJ33</f>
        <v>2</v>
      </c>
      <c r="F27" s="53">
        <f>+'Costo Accidentalidad'!CK33</f>
        <v>14729.166666666666</v>
      </c>
      <c r="G27" s="53">
        <f>+'Costo Accidentalidad'!CL33</f>
        <v>29458.333333333332</v>
      </c>
    </row>
    <row r="28" spans="2:7" x14ac:dyDescent="0.25">
      <c r="B28" s="254"/>
      <c r="C28" s="159" t="s">
        <v>694</v>
      </c>
      <c r="D28" s="59">
        <f>+'Costo Accidentalidad'!CM33</f>
        <v>595</v>
      </c>
      <c r="E28" s="59">
        <f>+'Costo Accidentalidad'!CN33</f>
        <v>15</v>
      </c>
      <c r="F28" s="53">
        <f>+'Costo Accidentalidad'!CO33</f>
        <v>178750</v>
      </c>
      <c r="G28" s="53">
        <f>+'Costo Accidentalidad'!CP33</f>
        <v>76008750</v>
      </c>
    </row>
    <row r="29" spans="2:7" ht="15.75" thickBot="1" x14ac:dyDescent="0.3">
      <c r="B29" s="254"/>
      <c r="C29" s="159" t="s">
        <v>234</v>
      </c>
      <c r="D29" s="59">
        <f>+'Costo Accidentalidad'!CQ33</f>
        <v>27</v>
      </c>
      <c r="E29" s="59">
        <f>+'Costo Accidentalidad'!CR33</f>
        <v>5</v>
      </c>
      <c r="F29" s="227">
        <f>+'Costo Accidentalidad'!CS33</f>
        <v>47499.999999999993</v>
      </c>
      <c r="G29" s="227">
        <f>+'Costo Accidentalidad'!CT33</f>
        <v>811249.99999999988</v>
      </c>
    </row>
    <row r="30" spans="2:7" ht="15.75" thickBot="1" x14ac:dyDescent="0.3">
      <c r="B30" s="255"/>
      <c r="C30" s="266"/>
      <c r="D30" s="267"/>
      <c r="E30" s="268"/>
      <c r="F30" s="65" t="s">
        <v>161</v>
      </c>
      <c r="G30" s="66">
        <f>SUM(G6:G29)</f>
        <v>371963537.25744683</v>
      </c>
    </row>
    <row r="31" spans="2:7" ht="15.75" thickBot="1" x14ac:dyDescent="0.3">
      <c r="D31" s="35"/>
      <c r="F31" s="5"/>
      <c r="G31" s="52"/>
    </row>
    <row r="32" spans="2:7" ht="30.75" thickBot="1" x14ac:dyDescent="0.3">
      <c r="B32" s="49" t="s">
        <v>806</v>
      </c>
      <c r="C32" s="49" t="s">
        <v>0</v>
      </c>
      <c r="D32" s="51" t="s">
        <v>163</v>
      </c>
      <c r="E32" s="51" t="s">
        <v>158</v>
      </c>
      <c r="F32" s="51" t="s">
        <v>162</v>
      </c>
      <c r="G32" s="51" t="s">
        <v>160</v>
      </c>
    </row>
    <row r="33" spans="2:7" ht="15" customHeight="1" x14ac:dyDescent="0.25">
      <c r="B33" s="253" t="s">
        <v>225</v>
      </c>
      <c r="C33" s="159" t="s">
        <v>152</v>
      </c>
      <c r="D33" s="31" t="str">
        <f>+'Costo Accidentalidad'!CU33</f>
        <v>No aplica</v>
      </c>
      <c r="E33" s="59">
        <f>+'Costo Accidentalidad'!CV33</f>
        <v>0</v>
      </c>
      <c r="F33" s="227">
        <f>+'Costo Accidentalidad'!CW33</f>
        <v>0</v>
      </c>
      <c r="G33" s="227">
        <f>+'Costo Accidentalidad'!CX33</f>
        <v>0</v>
      </c>
    </row>
    <row r="34" spans="2:7" x14ac:dyDescent="0.25">
      <c r="B34" s="254"/>
      <c r="C34" s="160" t="s">
        <v>7</v>
      </c>
      <c r="D34" s="31" t="s">
        <v>945</v>
      </c>
      <c r="E34" s="59">
        <f>+'Costo Accidentalidad'!CZ33</f>
        <v>4</v>
      </c>
      <c r="F34" s="53">
        <f>+'Costo Accidentalidad'!DA33</f>
        <v>115000</v>
      </c>
      <c r="G34" s="53">
        <f>+'Costo Accidentalidad'!DB33</f>
        <v>115000</v>
      </c>
    </row>
    <row r="35" spans="2:7" x14ac:dyDescent="0.25">
      <c r="B35" s="254"/>
      <c r="C35" s="161" t="s">
        <v>153</v>
      </c>
      <c r="D35" s="225" t="s">
        <v>827</v>
      </c>
      <c r="E35" s="59">
        <f>+'Costo Accidentalidad'!DD33</f>
        <v>0</v>
      </c>
      <c r="F35" s="53">
        <f>+'Costo Accidentalidad'!DE33</f>
        <v>0</v>
      </c>
      <c r="G35" s="53">
        <f>+'Costo Accidentalidad'!DF33</f>
        <v>0</v>
      </c>
    </row>
    <row r="36" spans="2:7" x14ac:dyDescent="0.25">
      <c r="B36" s="254"/>
      <c r="C36" s="158" t="s">
        <v>27</v>
      </c>
      <c r="D36" s="31" t="s">
        <v>947</v>
      </c>
      <c r="E36" s="59">
        <f>+'Costo Accidentalidad'!DH33</f>
        <v>10</v>
      </c>
      <c r="F36" s="53">
        <f>+'Costo Accidentalidad'!DI33</f>
        <v>30000</v>
      </c>
      <c r="G36" s="53">
        <f>+'Costo Accidentalidad'!DJ33</f>
        <v>300000</v>
      </c>
    </row>
    <row r="37" spans="2:7" x14ac:dyDescent="0.25">
      <c r="B37" s="254"/>
      <c r="C37" s="158" t="s">
        <v>807</v>
      </c>
      <c r="D37" s="31" t="s">
        <v>946</v>
      </c>
      <c r="E37" s="59">
        <f>+'Costo Accidentalidad'!DL33</f>
        <v>1</v>
      </c>
      <c r="F37" s="53">
        <f>+'Costo Accidentalidad'!DM33</f>
        <v>200000</v>
      </c>
      <c r="G37" s="53">
        <f>+'Costo Accidentalidad'!DN33</f>
        <v>200000</v>
      </c>
    </row>
    <row r="38" spans="2:7" x14ac:dyDescent="0.25">
      <c r="B38" s="254"/>
      <c r="C38" s="158" t="s">
        <v>236</v>
      </c>
      <c r="D38" s="31" t="s">
        <v>827</v>
      </c>
      <c r="E38" s="59">
        <f>+'Costo Accidentalidad'!DP33</f>
        <v>0</v>
      </c>
      <c r="F38" s="53">
        <f>+'Costo Accidentalidad'!DQ33</f>
        <v>0</v>
      </c>
      <c r="G38" s="53">
        <f>+'Costo Accidentalidad'!DR33</f>
        <v>0</v>
      </c>
    </row>
    <row r="39" spans="2:7" x14ac:dyDescent="0.25">
      <c r="B39" s="254"/>
      <c r="C39" s="160" t="s">
        <v>212</v>
      </c>
      <c r="D39" s="31" t="s">
        <v>827</v>
      </c>
      <c r="E39" s="59">
        <f>+'Costo Accidentalidad'!DT33</f>
        <v>0</v>
      </c>
      <c r="F39" s="53">
        <f>+'Costo Accidentalidad'!DU33</f>
        <v>0</v>
      </c>
      <c r="G39" s="53">
        <f>+'Costo Accidentalidad'!DV33</f>
        <v>0</v>
      </c>
    </row>
    <row r="40" spans="2:7" x14ac:dyDescent="0.25">
      <c r="B40" s="254"/>
      <c r="C40" s="160" t="s">
        <v>228</v>
      </c>
      <c r="D40" s="31" t="s">
        <v>827</v>
      </c>
      <c r="E40" s="59">
        <f>+'Costo Accidentalidad'!DX33</f>
        <v>0</v>
      </c>
      <c r="F40" s="53">
        <f>+'Costo Accidentalidad'!DY33</f>
        <v>0</v>
      </c>
      <c r="G40" s="53">
        <f>+'Costo Accidentalidad'!DZ33</f>
        <v>0</v>
      </c>
    </row>
    <row r="41" spans="2:7" x14ac:dyDescent="0.25">
      <c r="B41" s="254"/>
      <c r="C41" s="159" t="s">
        <v>214</v>
      </c>
      <c r="D41" s="31" t="s">
        <v>827</v>
      </c>
      <c r="E41" s="59">
        <f>+'Costo Accidentalidad'!EB33</f>
        <v>0</v>
      </c>
      <c r="F41" s="53">
        <f>+'Costo Accidentalidad'!EC33</f>
        <v>0</v>
      </c>
      <c r="G41" s="53">
        <f>+'Costo Accidentalidad'!ED33</f>
        <v>0</v>
      </c>
    </row>
    <row r="42" spans="2:7" x14ac:dyDescent="0.25">
      <c r="B42" s="254"/>
      <c r="C42" s="158" t="s">
        <v>226</v>
      </c>
      <c r="D42" s="31" t="s">
        <v>948</v>
      </c>
      <c r="E42" s="59">
        <f>+'Costo Accidentalidad'!EF33</f>
        <v>2</v>
      </c>
      <c r="F42" s="53">
        <f>+'Costo Accidentalidad'!EG33</f>
        <v>550000</v>
      </c>
      <c r="G42" s="53">
        <f>+'Costo Accidentalidad'!EH33</f>
        <v>550000</v>
      </c>
    </row>
    <row r="43" spans="2:7" x14ac:dyDescent="0.25">
      <c r="B43" s="254"/>
      <c r="C43" s="160" t="s">
        <v>227</v>
      </c>
      <c r="D43" s="31" t="s">
        <v>827</v>
      </c>
      <c r="E43" s="59">
        <f>+'Costo Accidentalidad'!EJ33</f>
        <v>0</v>
      </c>
      <c r="F43" s="53">
        <f>+'Costo Accidentalidad'!EK33</f>
        <v>0</v>
      </c>
      <c r="G43" s="53">
        <f>+'Costo Accidentalidad'!EL33</f>
        <v>0</v>
      </c>
    </row>
    <row r="44" spans="2:7" ht="15.75" thickBot="1" x14ac:dyDescent="0.3">
      <c r="B44" s="254"/>
      <c r="C44" s="162" t="s">
        <v>750</v>
      </c>
      <c r="D44" s="60" t="s">
        <v>827</v>
      </c>
      <c r="E44" s="63">
        <f>+'Costo Accidentalidad'!EN33</f>
        <v>0</v>
      </c>
      <c r="F44" s="228">
        <f>+'Costo Accidentalidad'!EO33</f>
        <v>0</v>
      </c>
      <c r="G44" s="228">
        <f>+'Costo Accidentalidad'!EP33</f>
        <v>0</v>
      </c>
    </row>
    <row r="45" spans="2:7" ht="15.75" thickBot="1" x14ac:dyDescent="0.3">
      <c r="B45" s="254"/>
      <c r="C45" s="266"/>
      <c r="D45" s="267"/>
      <c r="E45" s="268"/>
      <c r="F45" s="56" t="s">
        <v>161</v>
      </c>
      <c r="G45" s="54">
        <f>+SUM(G33:G44)</f>
        <v>1165000</v>
      </c>
    </row>
    <row r="46" spans="2:7" ht="15.75" thickBot="1" x14ac:dyDescent="0.3">
      <c r="F46" s="5"/>
      <c r="G46" s="10"/>
    </row>
    <row r="47" spans="2:7" ht="15.75" thickBot="1" x14ac:dyDescent="0.3">
      <c r="B47" s="49" t="s">
        <v>806</v>
      </c>
      <c r="C47" s="49" t="s">
        <v>0</v>
      </c>
      <c r="D47" s="262" t="s">
        <v>164</v>
      </c>
      <c r="E47" s="263"/>
      <c r="F47" s="50" t="s">
        <v>157</v>
      </c>
      <c r="G47" s="51" t="s">
        <v>160</v>
      </c>
    </row>
    <row r="48" spans="2:7" x14ac:dyDescent="0.25">
      <c r="B48" s="254" t="s">
        <v>41</v>
      </c>
      <c r="C48" s="167" t="s">
        <v>751</v>
      </c>
      <c r="D48" s="264" t="str">
        <f>+'Costo Accidentalidad'!EQ33</f>
        <v>Cierre temporal del servicio del Consultorio Juridico, del Laboratorio de Suelos, de actividades de consultoria e Investigación</v>
      </c>
      <c r="E48" s="265"/>
      <c r="F48" s="229" t="str">
        <f>+'Costo Accidentalidad'!ER33</f>
        <v>$</v>
      </c>
      <c r="G48" s="53">
        <f>+'Costo Accidentalidad'!ES33</f>
        <v>60598660</v>
      </c>
    </row>
    <row r="49" spans="2:7" x14ac:dyDescent="0.25">
      <c r="B49" s="254"/>
      <c r="C49" s="167" t="s">
        <v>808</v>
      </c>
      <c r="D49" s="264" t="str">
        <f>+'Costo Accidentalidad'!ET33</f>
        <v>No aplica</v>
      </c>
      <c r="E49" s="265"/>
      <c r="F49" s="69" t="str">
        <f>+'Costo Accidentalidad'!EU33</f>
        <v>$</v>
      </c>
      <c r="G49" s="53">
        <f>+'Costo Accidentalidad'!EV33</f>
        <v>0</v>
      </c>
    </row>
    <row r="50" spans="2:7" x14ac:dyDescent="0.25">
      <c r="B50" s="254"/>
      <c r="C50" s="167" t="s">
        <v>752</v>
      </c>
      <c r="D50" s="264" t="str">
        <f>+'Costo Accidentalidad'!EW33</f>
        <v>No aplica</v>
      </c>
      <c r="E50" s="265"/>
      <c r="F50" s="69" t="str">
        <f>+'Costo Accidentalidad'!EX33</f>
        <v>$</v>
      </c>
      <c r="G50" s="53">
        <f>+'Costo Accidentalidad'!EY33</f>
        <v>0</v>
      </c>
    </row>
    <row r="51" spans="2:7" x14ac:dyDescent="0.25">
      <c r="B51" s="254"/>
      <c r="C51" s="167" t="s">
        <v>753</v>
      </c>
      <c r="D51" s="264" t="str">
        <f>+'Costo Accidentalidad'!EZ33</f>
        <v>No aplica</v>
      </c>
      <c r="E51" s="265"/>
      <c r="F51" s="69" t="s">
        <v>167</v>
      </c>
      <c r="G51" s="53">
        <f>+'Costo Accidentalidad'!FA33</f>
        <v>0</v>
      </c>
    </row>
    <row r="52" spans="2:7" x14ac:dyDescent="0.25">
      <c r="B52" s="254"/>
      <c r="C52" s="158" t="s">
        <v>168</v>
      </c>
      <c r="D52" s="264" t="str">
        <f>+'Costo Accidentalidad'!FB33</f>
        <v>No aplica</v>
      </c>
      <c r="E52" s="265"/>
      <c r="F52" s="69" t="s">
        <v>167</v>
      </c>
      <c r="G52" s="53">
        <f>+'Costo Accidentalidad'!FC33</f>
        <v>0</v>
      </c>
    </row>
    <row r="53" spans="2:7" x14ac:dyDescent="0.25">
      <c r="B53" s="254"/>
      <c r="C53" s="167" t="s">
        <v>213</v>
      </c>
      <c r="D53" s="264" t="str">
        <f>+'Costo Accidentalidad'!FD33</f>
        <v>No aplica</v>
      </c>
      <c r="E53" s="265"/>
      <c r="F53" s="69" t="s">
        <v>167</v>
      </c>
      <c r="G53" s="53">
        <f>+'Costo Accidentalidad'!FE33</f>
        <v>0</v>
      </c>
    </row>
    <row r="54" spans="2:7" x14ac:dyDescent="0.25">
      <c r="B54" s="254"/>
      <c r="C54" s="158" t="s">
        <v>493</v>
      </c>
      <c r="D54" s="264" t="str">
        <f>+'Costo Accidentalidad'!FF33</f>
        <v>No aplica</v>
      </c>
      <c r="E54" s="265"/>
      <c r="F54" s="69" t="s">
        <v>167</v>
      </c>
      <c r="G54" s="53">
        <f>+'Costo Accidentalidad'!FG33</f>
        <v>0</v>
      </c>
    </row>
    <row r="55" spans="2:7" ht="15.75" thickBot="1" x14ac:dyDescent="0.3">
      <c r="B55" s="254"/>
      <c r="C55" s="172" t="s">
        <v>75</v>
      </c>
      <c r="D55" s="270" t="str">
        <f>+'Costo Accidentalidad'!FH33</f>
        <v>No aplica</v>
      </c>
      <c r="E55" s="271"/>
      <c r="F55" s="71" t="s">
        <v>167</v>
      </c>
      <c r="G55" s="64">
        <f>+'Costo Accidentalidad'!FI33</f>
        <v>0</v>
      </c>
    </row>
    <row r="56" spans="2:7" ht="15.75" thickBot="1" x14ac:dyDescent="0.3">
      <c r="B56" s="254"/>
      <c r="C56" s="266"/>
      <c r="D56" s="267"/>
      <c r="E56" s="268"/>
      <c r="F56" s="70" t="s">
        <v>161</v>
      </c>
      <c r="G56" s="54">
        <f>SUM(G48:G55)</f>
        <v>60598660</v>
      </c>
    </row>
    <row r="57" spans="2:7" ht="15.75" thickBot="1" x14ac:dyDescent="0.3"/>
    <row r="58" spans="2:7" ht="30.75" thickBot="1" x14ac:dyDescent="0.3">
      <c r="B58" s="49" t="s">
        <v>806</v>
      </c>
      <c r="C58" s="49" t="s">
        <v>0</v>
      </c>
      <c r="D58" s="50" t="s">
        <v>206</v>
      </c>
      <c r="E58" s="74" t="s">
        <v>158</v>
      </c>
      <c r="F58" s="50" t="s">
        <v>162</v>
      </c>
      <c r="G58" s="51" t="s">
        <v>160</v>
      </c>
    </row>
    <row r="59" spans="2:7" ht="15" customHeight="1" x14ac:dyDescent="0.25">
      <c r="B59" s="253" t="s">
        <v>42</v>
      </c>
      <c r="C59" s="176" t="s">
        <v>169</v>
      </c>
      <c r="D59" s="68" t="str">
        <f>+'Costo Accidentalidad'!FJ33</f>
        <v>No se presentaron</v>
      </c>
      <c r="E59" s="67">
        <v>0</v>
      </c>
      <c r="F59" s="75">
        <v>0</v>
      </c>
      <c r="G59" s="62">
        <f>+E59*F59</f>
        <v>0</v>
      </c>
    </row>
    <row r="60" spans="2:7" x14ac:dyDescent="0.25">
      <c r="B60" s="254"/>
      <c r="C60" s="159" t="s">
        <v>170</v>
      </c>
      <c r="D60" s="30" t="str">
        <f>+'Costo Accidentalidad'!FK33</f>
        <v>No se presentaron</v>
      </c>
      <c r="E60" s="57">
        <v>0</v>
      </c>
      <c r="F60" s="76">
        <v>0</v>
      </c>
      <c r="G60" s="53">
        <f>+E60*F60</f>
        <v>0</v>
      </c>
    </row>
    <row r="61" spans="2:7" x14ac:dyDescent="0.25">
      <c r="B61" s="254"/>
      <c r="C61" s="159" t="s">
        <v>11</v>
      </c>
      <c r="D61" s="30" t="str">
        <f>+'Costo Accidentalidad'!FL33</f>
        <v>Laboratorio de suelos y Servicio de Aseo y Encicla</v>
      </c>
      <c r="E61" s="57">
        <f>+'Costo Accidentalidad'!FM33</f>
        <v>18</v>
      </c>
      <c r="F61" s="76">
        <f>+'Costo Accidentalidad'!FN33</f>
        <v>10574440.399999999</v>
      </c>
      <c r="G61" s="76">
        <f>+'Costo Accidentalidad'!FO33</f>
        <v>10574440.399999999</v>
      </c>
    </row>
    <row r="62" spans="2:7" x14ac:dyDescent="0.25">
      <c r="B62" s="254"/>
      <c r="C62" s="159" t="s">
        <v>832</v>
      </c>
      <c r="D62" s="30" t="str">
        <f>+'Costo Accidentalidad'!FP33</f>
        <v>CEM</v>
      </c>
      <c r="E62" s="57">
        <f>+'Costo Accidentalidad'!FQ33</f>
        <v>2</v>
      </c>
      <c r="F62" s="76">
        <f>+'Costo Accidentalidad'!FR33</f>
        <v>500000</v>
      </c>
      <c r="G62" s="53">
        <f>+'Costo Accidentalidad'!FS33</f>
        <v>500000</v>
      </c>
    </row>
    <row r="63" spans="2:7" x14ac:dyDescent="0.25">
      <c r="B63" s="254"/>
      <c r="C63" s="159" t="s">
        <v>220</v>
      </c>
      <c r="D63" s="30" t="str">
        <f>+'Costo Accidentalidad'!FT33</f>
        <v>No se presentaron</v>
      </c>
      <c r="E63" s="57">
        <v>0</v>
      </c>
      <c r="F63" s="76">
        <v>0</v>
      </c>
      <c r="G63" s="53">
        <f t="shared" ref="G63:G79" si="0">+E63*F63</f>
        <v>0</v>
      </c>
    </row>
    <row r="64" spans="2:7" x14ac:dyDescent="0.25">
      <c r="B64" s="254"/>
      <c r="C64" s="158" t="s">
        <v>15</v>
      </c>
      <c r="D64" s="30" t="str">
        <f>+'Costo Accidentalidad'!FU33</f>
        <v>No se presentaron</v>
      </c>
      <c r="E64" s="57">
        <v>0</v>
      </c>
      <c r="F64" s="76">
        <v>0</v>
      </c>
      <c r="G64" s="53">
        <f t="shared" si="0"/>
        <v>0</v>
      </c>
    </row>
    <row r="65" spans="2:7" x14ac:dyDescent="0.25">
      <c r="B65" s="254"/>
      <c r="C65" s="158" t="s">
        <v>16</v>
      </c>
      <c r="D65" s="30" t="str">
        <f>+'Costo Accidentalidad'!FV33</f>
        <v>Asesoria en anclajes y movimiento de carga</v>
      </c>
      <c r="E65" s="57">
        <f>+'Costo Accidentalidad'!FW33</f>
        <v>1</v>
      </c>
      <c r="F65" s="76">
        <f>+'Costo Accidentalidad'!FX33</f>
        <v>300000</v>
      </c>
      <c r="G65" s="53">
        <f>+'Costo Accidentalidad'!FY33</f>
        <v>300000</v>
      </c>
    </row>
    <row r="66" spans="2:7" x14ac:dyDescent="0.25">
      <c r="B66" s="254"/>
      <c r="C66" s="159" t="s">
        <v>18</v>
      </c>
      <c r="D66" s="30" t="str">
        <f>+'Costo Accidentalidad'!FZ33</f>
        <v>No se presentaron</v>
      </c>
      <c r="E66" s="57">
        <v>0</v>
      </c>
      <c r="F66" s="76">
        <v>0</v>
      </c>
      <c r="G66" s="53">
        <f t="shared" si="0"/>
        <v>0</v>
      </c>
    </row>
    <row r="67" spans="2:7" x14ac:dyDescent="0.25">
      <c r="B67" s="254"/>
      <c r="C67" s="159" t="s">
        <v>171</v>
      </c>
      <c r="D67" s="30" t="str">
        <f>+'Costo Accidentalidad'!GA33</f>
        <v>Ayuda medio tiempo</v>
      </c>
      <c r="E67" s="57">
        <f>+'Costo Accidentalidad'!GB33</f>
        <v>3</v>
      </c>
      <c r="F67" s="76">
        <f>+'Costo Accidentalidad'!GC33</f>
        <v>1701364.2553191488</v>
      </c>
      <c r="G67" s="53">
        <f>+'Costo Accidentalidad'!GD33</f>
        <v>1701364.2553191488</v>
      </c>
    </row>
    <row r="68" spans="2:7" x14ac:dyDescent="0.25">
      <c r="B68" s="254"/>
      <c r="C68" s="158" t="s">
        <v>792</v>
      </c>
      <c r="D68" s="30" t="str">
        <f>+'Costo Accidentalidad'!GE33</f>
        <v>Botiquines de primeros auxilios, bolsas, detergentes</v>
      </c>
      <c r="E68" s="69">
        <f>+'Costo Accidentalidad'!GF33</f>
        <v>12</v>
      </c>
      <c r="F68" s="76">
        <f>+'Costo Accidentalidad'!GG33</f>
        <v>210000</v>
      </c>
      <c r="G68" s="53">
        <f>+'Costo Accidentalidad'!GH33</f>
        <v>340000</v>
      </c>
    </row>
    <row r="69" spans="2:7" x14ac:dyDescent="0.25">
      <c r="B69" s="254"/>
      <c r="C69" s="158" t="s">
        <v>218</v>
      </c>
      <c r="D69" s="30" t="str">
        <f>+'Costo Accidentalidad'!GI33</f>
        <v>Quimicos de desinfección especializados (Glutacidex)</v>
      </c>
      <c r="E69" s="69">
        <f>+'Costo Accidentalidad'!GJ33</f>
        <v>3</v>
      </c>
      <c r="F69" s="76">
        <f>+'Costo Accidentalidad'!GK33</f>
        <v>50000</v>
      </c>
      <c r="G69" s="53">
        <f>+'Costo Accidentalidad'!GL33</f>
        <v>150000</v>
      </c>
    </row>
    <row r="70" spans="2:7" x14ac:dyDescent="0.25">
      <c r="B70" s="254"/>
      <c r="C70" s="159" t="s">
        <v>229</v>
      </c>
      <c r="D70" s="30" t="str">
        <f>+'Costo Accidentalidad'!GM33</f>
        <v>Sustitutos</v>
      </c>
      <c r="E70" s="69">
        <f>+'Costo Accidentalidad'!GN33</f>
        <v>6</v>
      </c>
      <c r="F70" s="76">
        <f>+'Costo Accidentalidad'!GO33</f>
        <v>35833.333333333336</v>
      </c>
      <c r="G70" s="53">
        <f>+'Costo Accidentalidad'!GP33</f>
        <v>107500</v>
      </c>
    </row>
    <row r="71" spans="2:7" x14ac:dyDescent="0.25">
      <c r="B71" s="254"/>
      <c r="C71" s="158" t="s">
        <v>35</v>
      </c>
      <c r="D71" s="30" t="str">
        <f>+'Costo Accidentalidad'!GQ33</f>
        <v>No se presentaron datos</v>
      </c>
      <c r="E71" s="69">
        <f>+'Costo Accidentalidad'!GR33</f>
        <v>0</v>
      </c>
      <c r="F71" s="76">
        <f>+'Costo Accidentalidad'!GS33</f>
        <v>0</v>
      </c>
      <c r="G71" s="53">
        <f>+'Costo Accidentalidad'!GT33</f>
        <v>0</v>
      </c>
    </row>
    <row r="72" spans="2:7" x14ac:dyDescent="0.25">
      <c r="B72" s="254"/>
      <c r="C72" s="158" t="s">
        <v>54</v>
      </c>
      <c r="D72" s="30" t="str">
        <f>+'Costo Accidentalidad'!GU33</f>
        <v>Montacargas</v>
      </c>
      <c r="E72" s="69">
        <f>+'Costo Accidentalidad'!GV33</f>
        <v>1</v>
      </c>
      <c r="F72" s="76">
        <f>+'Costo Accidentalidad'!GW33</f>
        <v>300000</v>
      </c>
      <c r="G72" s="53">
        <f>+'Costo Accidentalidad'!GX33</f>
        <v>300000</v>
      </c>
    </row>
    <row r="73" spans="2:7" x14ac:dyDescent="0.25">
      <c r="B73" s="254"/>
      <c r="C73" s="159" t="s">
        <v>221</v>
      </c>
      <c r="D73" s="30" t="s">
        <v>831</v>
      </c>
      <c r="E73" s="57">
        <v>0</v>
      </c>
      <c r="F73" s="76">
        <v>0</v>
      </c>
      <c r="G73" s="53">
        <f t="shared" si="0"/>
        <v>0</v>
      </c>
    </row>
    <row r="74" spans="2:7" x14ac:dyDescent="0.25">
      <c r="B74" s="254"/>
      <c r="C74" s="159" t="s">
        <v>833</v>
      </c>
      <c r="D74" s="30" t="str">
        <f>+'Costo Accidentalidad'!GZ33</f>
        <v>Alquiler Montacargas</v>
      </c>
      <c r="E74" s="69">
        <f>+'Costo Accidentalidad'!HA33</f>
        <v>2</v>
      </c>
      <c r="F74" s="76">
        <f>+'Costo Accidentalidad'!HB33</f>
        <v>90333.333333333328</v>
      </c>
      <c r="G74" s="53">
        <f>+'Costo Accidentalidad'!HC33</f>
        <v>88333.333333333328</v>
      </c>
    </row>
    <row r="75" spans="2:7" x14ac:dyDescent="0.25">
      <c r="B75" s="254"/>
      <c r="C75" s="158" t="s">
        <v>696</v>
      </c>
      <c r="D75" s="30" t="str">
        <f>+'Costo Accidentalidad'!HD33</f>
        <v>No se presentaron</v>
      </c>
      <c r="E75" s="69">
        <f>+'Costo Accidentalidad'!HE33</f>
        <v>0</v>
      </c>
      <c r="F75" s="76">
        <f>+'Costo Accidentalidad'!HF33</f>
        <v>0</v>
      </c>
      <c r="G75" s="53">
        <f>+'Costo Accidentalidad'!HG33</f>
        <v>0</v>
      </c>
    </row>
    <row r="76" spans="2:7" x14ac:dyDescent="0.25">
      <c r="B76" s="254"/>
      <c r="C76" s="158" t="s">
        <v>695</v>
      </c>
      <c r="D76" s="30" t="s">
        <v>831</v>
      </c>
      <c r="E76" s="57">
        <v>0</v>
      </c>
      <c r="F76" s="76">
        <v>0</v>
      </c>
      <c r="G76" s="53">
        <v>0</v>
      </c>
    </row>
    <row r="77" spans="2:7" x14ac:dyDescent="0.25">
      <c r="B77" s="254"/>
      <c r="C77" s="158" t="s">
        <v>231</v>
      </c>
      <c r="D77" s="30" t="str">
        <f>+'Costo Accidentalidad'!HI33</f>
        <v>Residuos biologicos</v>
      </c>
      <c r="E77" s="69">
        <f>+'Costo Accidentalidad'!HJ33</f>
        <v>9</v>
      </c>
      <c r="F77" s="76">
        <f>+'Costo Accidentalidad'!HK33</f>
        <v>140000</v>
      </c>
      <c r="G77" s="53">
        <f>+'Costo Accidentalidad'!HL33</f>
        <v>315000</v>
      </c>
    </row>
    <row r="78" spans="2:7" x14ac:dyDescent="0.25">
      <c r="B78" s="254"/>
      <c r="C78" s="158" t="s">
        <v>793</v>
      </c>
      <c r="D78" s="30" t="str">
        <f>+'Costo Accidentalidad'!HM33</f>
        <v>No se presentaron</v>
      </c>
      <c r="E78" s="57">
        <v>0</v>
      </c>
      <c r="F78" s="76">
        <v>0</v>
      </c>
      <c r="G78" s="53">
        <f t="shared" si="0"/>
        <v>0</v>
      </c>
    </row>
    <row r="79" spans="2:7" x14ac:dyDescent="0.25">
      <c r="B79" s="254"/>
      <c r="C79" s="159" t="s">
        <v>232</v>
      </c>
      <c r="D79" s="30" t="str">
        <f>+'Costo Accidentalidad'!HN33</f>
        <v>Sin datos de calculo</v>
      </c>
      <c r="E79" s="57">
        <v>0</v>
      </c>
      <c r="F79" s="76">
        <v>0</v>
      </c>
      <c r="G79" s="53">
        <f t="shared" si="0"/>
        <v>0</v>
      </c>
    </row>
    <row r="80" spans="2:7" ht="15.75" thickBot="1" x14ac:dyDescent="0.3">
      <c r="B80" s="254"/>
      <c r="C80" s="178" t="s">
        <v>235</v>
      </c>
      <c r="D80" s="61" t="str">
        <f>+'Costo Accidentalidad'!HO33</f>
        <v>No se presentaron datos</v>
      </c>
      <c r="E80" s="71">
        <f>+'Costo Accidentalidad'!HP33</f>
        <v>0</v>
      </c>
      <c r="F80" s="241">
        <f>+'Costo Accidentalidad'!HQ33</f>
        <v>0</v>
      </c>
      <c r="G80" s="241">
        <f>+'Costo Accidentalidad'!HR33</f>
        <v>0</v>
      </c>
    </row>
    <row r="81" spans="2:7" ht="15.75" thickBot="1" x14ac:dyDescent="0.3">
      <c r="B81" s="255"/>
      <c r="C81" s="266"/>
      <c r="D81" s="267"/>
      <c r="E81" s="268"/>
      <c r="F81" s="70" t="s">
        <v>161</v>
      </c>
      <c r="G81" s="54">
        <f>SUM(G59:G80)</f>
        <v>14376637.988652481</v>
      </c>
    </row>
    <row r="82" spans="2:7" ht="15.75" thickBot="1" x14ac:dyDescent="0.3">
      <c r="F82" s="5"/>
      <c r="G82" s="10"/>
    </row>
    <row r="83" spans="2:7" ht="30.75" thickBot="1" x14ac:dyDescent="0.3">
      <c r="B83" s="72" t="s">
        <v>806</v>
      </c>
      <c r="C83" s="49" t="s">
        <v>0</v>
      </c>
      <c r="D83" s="50" t="s">
        <v>163</v>
      </c>
      <c r="E83" s="50" t="s">
        <v>158</v>
      </c>
      <c r="F83" s="50" t="s">
        <v>162</v>
      </c>
      <c r="G83" s="50" t="s">
        <v>160</v>
      </c>
    </row>
    <row r="84" spans="2:7" x14ac:dyDescent="0.25">
      <c r="B84" s="253" t="s">
        <v>33</v>
      </c>
      <c r="C84" s="179" t="s">
        <v>204</v>
      </c>
      <c r="D84" s="68" t="s">
        <v>968</v>
      </c>
      <c r="E84" s="67">
        <v>0</v>
      </c>
      <c r="F84" s="75">
        <v>0</v>
      </c>
      <c r="G84" s="62">
        <f>E84*F84</f>
        <v>0</v>
      </c>
    </row>
    <row r="85" spans="2:7" x14ac:dyDescent="0.25">
      <c r="B85" s="254"/>
      <c r="C85" s="180" t="s">
        <v>794</v>
      </c>
      <c r="D85" s="30" t="s">
        <v>968</v>
      </c>
      <c r="E85" s="57">
        <v>0</v>
      </c>
      <c r="F85" s="76">
        <v>0</v>
      </c>
      <c r="G85" s="53">
        <f t="shared" ref="G85:G89" si="1">E85*F85</f>
        <v>0</v>
      </c>
    </row>
    <row r="86" spans="2:7" x14ac:dyDescent="0.25">
      <c r="B86" s="254"/>
      <c r="C86" s="180" t="s">
        <v>209</v>
      </c>
      <c r="D86" s="30" t="s">
        <v>968</v>
      </c>
      <c r="E86" s="57">
        <v>0</v>
      </c>
      <c r="F86" s="76">
        <v>0</v>
      </c>
      <c r="G86" s="53">
        <f t="shared" si="1"/>
        <v>0</v>
      </c>
    </row>
    <row r="87" spans="2:7" x14ac:dyDescent="0.25">
      <c r="B87" s="254"/>
      <c r="C87" s="180" t="s">
        <v>210</v>
      </c>
      <c r="D87" s="30" t="s">
        <v>968</v>
      </c>
      <c r="E87" s="57">
        <v>0</v>
      </c>
      <c r="F87" s="76">
        <v>0</v>
      </c>
      <c r="G87" s="53">
        <f t="shared" si="1"/>
        <v>0</v>
      </c>
    </row>
    <row r="88" spans="2:7" x14ac:dyDescent="0.25">
      <c r="B88" s="254"/>
      <c r="C88" s="180" t="s">
        <v>34</v>
      </c>
      <c r="D88" s="30" t="s">
        <v>968</v>
      </c>
      <c r="E88" s="57">
        <v>0</v>
      </c>
      <c r="F88" s="76">
        <v>0</v>
      </c>
      <c r="G88" s="53">
        <f t="shared" si="1"/>
        <v>0</v>
      </c>
    </row>
    <row r="89" spans="2:7" ht="15.75" thickBot="1" x14ac:dyDescent="0.3">
      <c r="B89" s="254"/>
      <c r="C89" s="181" t="s">
        <v>207</v>
      </c>
      <c r="D89" s="61" t="s">
        <v>968</v>
      </c>
      <c r="E89" s="77">
        <v>0</v>
      </c>
      <c r="F89" s="73">
        <v>0</v>
      </c>
      <c r="G89" s="64">
        <f t="shared" si="1"/>
        <v>0</v>
      </c>
    </row>
    <row r="90" spans="2:7" ht="15.75" thickBot="1" x14ac:dyDescent="0.3">
      <c r="B90" s="255"/>
      <c r="C90" s="266"/>
      <c r="D90" s="267"/>
      <c r="E90" s="268"/>
      <c r="F90" s="70" t="s">
        <v>161</v>
      </c>
      <c r="G90" s="54">
        <f>SUM(G84:G89)</f>
        <v>0</v>
      </c>
    </row>
    <row r="91" spans="2:7" ht="15.75" thickBot="1" x14ac:dyDescent="0.3">
      <c r="F91" s="5"/>
      <c r="G91" s="10"/>
    </row>
    <row r="92" spans="2:7" ht="15.75" thickBot="1" x14ac:dyDescent="0.3">
      <c r="B92" s="49" t="s">
        <v>806</v>
      </c>
      <c r="C92" s="49" t="s">
        <v>0</v>
      </c>
      <c r="D92" s="272" t="s">
        <v>164</v>
      </c>
      <c r="E92" s="263"/>
      <c r="F92" s="50" t="s">
        <v>157</v>
      </c>
      <c r="G92" s="51" t="s">
        <v>160</v>
      </c>
    </row>
    <row r="93" spans="2:7" x14ac:dyDescent="0.25">
      <c r="B93" s="253" t="s">
        <v>96</v>
      </c>
      <c r="C93" s="167" t="s">
        <v>166</v>
      </c>
      <c r="D93" s="273" t="s">
        <v>834</v>
      </c>
      <c r="E93" s="273"/>
      <c r="F93" s="69" t="s">
        <v>167</v>
      </c>
      <c r="G93" s="53">
        <v>0</v>
      </c>
    </row>
    <row r="94" spans="2:7" x14ac:dyDescent="0.25">
      <c r="B94" s="254"/>
      <c r="C94" s="167" t="s">
        <v>165</v>
      </c>
      <c r="D94" s="269" t="s">
        <v>834</v>
      </c>
      <c r="E94" s="269"/>
      <c r="F94" s="69" t="s">
        <v>167</v>
      </c>
      <c r="G94" s="53">
        <v>0</v>
      </c>
    </row>
    <row r="95" spans="2:7" x14ac:dyDescent="0.25">
      <c r="B95" s="254"/>
      <c r="C95" s="167" t="s">
        <v>29</v>
      </c>
      <c r="D95" s="269" t="s">
        <v>834</v>
      </c>
      <c r="E95" s="269"/>
      <c r="F95" s="69" t="s">
        <v>167</v>
      </c>
      <c r="G95" s="53">
        <v>0</v>
      </c>
    </row>
    <row r="96" spans="2:7" x14ac:dyDescent="0.25">
      <c r="B96" s="254"/>
      <c r="C96" s="167" t="s">
        <v>809</v>
      </c>
      <c r="D96" s="269" t="s">
        <v>834</v>
      </c>
      <c r="E96" s="269"/>
      <c r="F96" s="69" t="s">
        <v>167</v>
      </c>
      <c r="G96" s="78">
        <v>0</v>
      </c>
    </row>
    <row r="97" spans="2:7" x14ac:dyDescent="0.25">
      <c r="B97" s="254"/>
      <c r="C97" s="167" t="s">
        <v>237</v>
      </c>
      <c r="D97" s="269" t="s">
        <v>834</v>
      </c>
      <c r="E97" s="269"/>
      <c r="F97" s="69" t="s">
        <v>167</v>
      </c>
      <c r="G97" s="79">
        <v>0</v>
      </c>
    </row>
    <row r="98" spans="2:7" ht="15.75" thickBot="1" x14ac:dyDescent="0.3">
      <c r="B98" s="254"/>
      <c r="C98" s="172" t="s">
        <v>238</v>
      </c>
      <c r="D98" s="269" t="s">
        <v>834</v>
      </c>
      <c r="E98" s="269"/>
      <c r="F98" s="69" t="s">
        <v>167</v>
      </c>
      <c r="G98" s="79">
        <v>0</v>
      </c>
    </row>
    <row r="99" spans="2:7" ht="15.75" thickBot="1" x14ac:dyDescent="0.3">
      <c r="B99" s="255"/>
      <c r="C99" s="266"/>
      <c r="D99" s="267"/>
      <c r="E99" s="268"/>
      <c r="F99" s="80" t="s">
        <v>161</v>
      </c>
      <c r="G99" s="82">
        <f>SUM(G93:G98)</f>
        <v>0</v>
      </c>
    </row>
    <row r="100" spans="2:7" x14ac:dyDescent="0.25">
      <c r="F100" s="245" t="s">
        <v>974</v>
      </c>
      <c r="G100" s="246">
        <f>+G30+G45+G56+G81+G90+G99</f>
        <v>448103835.24609929</v>
      </c>
    </row>
    <row r="102" spans="2:7" x14ac:dyDescent="0.25">
      <c r="C102" s="5"/>
    </row>
  </sheetData>
  <mergeCells count="30">
    <mergeCell ref="D49:E49"/>
    <mergeCell ref="D51:E51"/>
    <mergeCell ref="D96:E96"/>
    <mergeCell ref="D97:E97"/>
    <mergeCell ref="D98:E98"/>
    <mergeCell ref="D52:E52"/>
    <mergeCell ref="D53:E53"/>
    <mergeCell ref="D54:E54"/>
    <mergeCell ref="D55:E55"/>
    <mergeCell ref="D94:E94"/>
    <mergeCell ref="D95:E95"/>
    <mergeCell ref="C81:E81"/>
    <mergeCell ref="D92:E92"/>
    <mergeCell ref="D93:E93"/>
    <mergeCell ref="B84:B90"/>
    <mergeCell ref="B93:B99"/>
    <mergeCell ref="B48:B56"/>
    <mergeCell ref="B2:G2"/>
    <mergeCell ref="B3:G3"/>
    <mergeCell ref="D47:E47"/>
    <mergeCell ref="D50:E50"/>
    <mergeCell ref="C30:E30"/>
    <mergeCell ref="B6:B30"/>
    <mergeCell ref="B33:B45"/>
    <mergeCell ref="C45:E45"/>
    <mergeCell ref="C90:E90"/>
    <mergeCell ref="B59:B81"/>
    <mergeCell ref="C99:E99"/>
    <mergeCell ref="C56:E56"/>
    <mergeCell ref="D48:E48"/>
  </mergeCells>
  <pageMargins left="0.7" right="0.7" top="0.75" bottom="0.75" header="0.3" footer="0.3"/>
  <pageSetup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B1:H87"/>
  <sheetViews>
    <sheetView showGridLines="0" topLeftCell="A75" workbookViewId="0"/>
  </sheetViews>
  <sheetFormatPr baseColWidth="10" defaultRowHeight="15" x14ac:dyDescent="0.25"/>
  <cols>
    <col min="2" max="2" width="30.140625" customWidth="1"/>
    <col min="3" max="3" width="55" customWidth="1"/>
    <col min="4" max="4" width="12.85546875" style="118" bestFit="1" customWidth="1"/>
    <col min="5" max="5" width="22.42578125" customWidth="1"/>
    <col min="6" max="6" width="30" customWidth="1"/>
    <col min="7" max="7" width="24.85546875" customWidth="1"/>
  </cols>
  <sheetData>
    <row r="1" spans="2:8" ht="15.75" thickBot="1" x14ac:dyDescent="0.3"/>
    <row r="2" spans="2:8" ht="29.25" thickBot="1" x14ac:dyDescent="0.5">
      <c r="B2" s="256" t="s">
        <v>370</v>
      </c>
      <c r="C2" s="257"/>
      <c r="D2" s="257"/>
      <c r="E2" s="257"/>
      <c r="F2" s="257"/>
      <c r="G2" s="258"/>
    </row>
    <row r="3" spans="2:8" ht="16.5" thickBot="1" x14ac:dyDescent="0.3">
      <c r="B3" s="259" t="s">
        <v>812</v>
      </c>
      <c r="C3" s="260"/>
      <c r="D3" s="260"/>
      <c r="E3" s="260"/>
      <c r="F3" s="260"/>
      <c r="G3" s="261"/>
    </row>
    <row r="4" spans="2:8" ht="14.25" customHeight="1" thickBot="1" x14ac:dyDescent="0.3">
      <c r="B4" s="135"/>
      <c r="C4" s="135"/>
      <c r="D4" s="135"/>
      <c r="E4" s="135"/>
      <c r="F4" s="135"/>
      <c r="G4" s="135"/>
      <c r="H4" s="37"/>
    </row>
    <row r="5" spans="2:8" x14ac:dyDescent="0.25">
      <c r="B5" s="274" t="s">
        <v>798</v>
      </c>
      <c r="C5" s="278" t="s">
        <v>0</v>
      </c>
      <c r="D5" s="280" t="s">
        <v>367</v>
      </c>
      <c r="E5" s="274" t="s">
        <v>727</v>
      </c>
      <c r="F5" s="276"/>
      <c r="G5" s="277"/>
    </row>
    <row r="6" spans="2:8" ht="15.75" thickBot="1" x14ac:dyDescent="0.3">
      <c r="B6" s="275"/>
      <c r="C6" s="279"/>
      <c r="D6" s="281"/>
      <c r="E6" s="145" t="s">
        <v>368</v>
      </c>
      <c r="F6" s="139" t="s">
        <v>369</v>
      </c>
      <c r="G6" s="140" t="s">
        <v>373</v>
      </c>
    </row>
    <row r="7" spans="2:8" ht="30" x14ac:dyDescent="0.25">
      <c r="B7" s="142" t="s">
        <v>102</v>
      </c>
      <c r="C7" s="138" t="s">
        <v>156</v>
      </c>
      <c r="D7" s="143">
        <v>6</v>
      </c>
      <c r="E7" s="146"/>
      <c r="F7" s="152" t="s">
        <v>747</v>
      </c>
      <c r="G7" s="235" t="s">
        <v>942</v>
      </c>
    </row>
    <row r="8" spans="2:8" ht="30" x14ac:dyDescent="0.25">
      <c r="B8" s="141" t="s">
        <v>102</v>
      </c>
      <c r="C8" s="136" t="s">
        <v>2</v>
      </c>
      <c r="D8" s="144">
        <v>6</v>
      </c>
      <c r="E8" s="147"/>
      <c r="F8" s="152" t="s">
        <v>747</v>
      </c>
      <c r="G8" s="236" t="s">
        <v>942</v>
      </c>
    </row>
    <row r="9" spans="2:8" ht="30" x14ac:dyDescent="0.25">
      <c r="B9" s="141" t="s">
        <v>102</v>
      </c>
      <c r="C9" s="136" t="s">
        <v>3</v>
      </c>
      <c r="D9" s="144">
        <v>6</v>
      </c>
      <c r="E9" s="147"/>
      <c r="F9" s="152" t="s">
        <v>747</v>
      </c>
      <c r="G9" s="236" t="s">
        <v>942</v>
      </c>
    </row>
    <row r="10" spans="2:8" ht="45" x14ac:dyDescent="0.25">
      <c r="B10" s="141" t="s">
        <v>102</v>
      </c>
      <c r="C10" s="136" t="s">
        <v>4</v>
      </c>
      <c r="D10" s="144">
        <v>6</v>
      </c>
      <c r="E10" s="147"/>
      <c r="F10" s="154" t="s">
        <v>748</v>
      </c>
      <c r="G10" s="236" t="s">
        <v>943</v>
      </c>
    </row>
    <row r="11" spans="2:8" ht="45" x14ac:dyDescent="0.25">
      <c r="B11" s="141" t="s">
        <v>102</v>
      </c>
      <c r="C11" s="136" t="s">
        <v>5</v>
      </c>
      <c r="D11" s="144">
        <v>6</v>
      </c>
      <c r="E11" s="147"/>
      <c r="F11" s="154" t="s">
        <v>748</v>
      </c>
      <c r="G11" s="236" t="s">
        <v>943</v>
      </c>
    </row>
    <row r="12" spans="2:8" ht="30" customHeight="1" x14ac:dyDescent="0.25">
      <c r="B12" s="141" t="s">
        <v>102</v>
      </c>
      <c r="C12" s="136" t="s">
        <v>795</v>
      </c>
      <c r="D12" s="144">
        <v>6</v>
      </c>
      <c r="E12" s="148"/>
      <c r="F12" s="152" t="s">
        <v>730</v>
      </c>
      <c r="G12" s="236" t="s">
        <v>942</v>
      </c>
    </row>
    <row r="13" spans="2:8" ht="30" x14ac:dyDescent="0.25">
      <c r="B13" s="141" t="s">
        <v>102</v>
      </c>
      <c r="C13" s="136" t="s">
        <v>211</v>
      </c>
      <c r="D13" s="144">
        <v>6</v>
      </c>
      <c r="E13" s="148"/>
      <c r="F13" s="152" t="s">
        <v>747</v>
      </c>
      <c r="G13" s="236" t="s">
        <v>942</v>
      </c>
    </row>
    <row r="14" spans="2:8" ht="30" x14ac:dyDescent="0.25">
      <c r="B14" s="141" t="s">
        <v>102</v>
      </c>
      <c r="C14" s="136" t="s">
        <v>215</v>
      </c>
      <c r="D14" s="144">
        <v>6</v>
      </c>
      <c r="E14" s="148"/>
      <c r="F14" s="152" t="s">
        <v>747</v>
      </c>
      <c r="G14" s="236" t="s">
        <v>942</v>
      </c>
    </row>
    <row r="15" spans="2:8" ht="30" x14ac:dyDescent="0.25">
      <c r="B15" s="141" t="s">
        <v>102</v>
      </c>
      <c r="C15" s="136" t="s">
        <v>222</v>
      </c>
      <c r="D15" s="144">
        <v>6</v>
      </c>
      <c r="E15" s="147"/>
      <c r="F15" s="152" t="s">
        <v>747</v>
      </c>
      <c r="G15" s="236" t="s">
        <v>942</v>
      </c>
    </row>
    <row r="16" spans="2:8" ht="30" x14ac:dyDescent="0.25">
      <c r="B16" s="141" t="s">
        <v>102</v>
      </c>
      <c r="C16" s="136" t="s">
        <v>217</v>
      </c>
      <c r="D16" s="144">
        <v>6</v>
      </c>
      <c r="E16" s="147"/>
      <c r="F16" s="152" t="s">
        <v>747</v>
      </c>
      <c r="G16" s="236" t="s">
        <v>942</v>
      </c>
    </row>
    <row r="17" spans="2:7" ht="30" x14ac:dyDescent="0.25">
      <c r="B17" s="141" t="s">
        <v>102</v>
      </c>
      <c r="C17" s="136" t="s">
        <v>697</v>
      </c>
      <c r="D17" s="144">
        <v>6</v>
      </c>
      <c r="E17" s="147"/>
      <c r="F17" s="152" t="s">
        <v>747</v>
      </c>
      <c r="G17" s="236" t="s">
        <v>942</v>
      </c>
    </row>
    <row r="18" spans="2:7" ht="30" x14ac:dyDescent="0.25">
      <c r="B18" s="141" t="s">
        <v>102</v>
      </c>
      <c r="C18" s="136" t="s">
        <v>216</v>
      </c>
      <c r="D18" s="144">
        <v>6</v>
      </c>
      <c r="E18" s="147"/>
      <c r="F18" s="152" t="s">
        <v>747</v>
      </c>
      <c r="G18" s="236" t="s">
        <v>942</v>
      </c>
    </row>
    <row r="19" spans="2:7" ht="30" x14ac:dyDescent="0.25">
      <c r="B19" s="141" t="s">
        <v>102</v>
      </c>
      <c r="C19" s="136" t="s">
        <v>223</v>
      </c>
      <c r="D19" s="144">
        <v>6</v>
      </c>
      <c r="E19" s="148"/>
      <c r="F19" s="152" t="s">
        <v>747</v>
      </c>
      <c r="G19" s="236" t="s">
        <v>942</v>
      </c>
    </row>
    <row r="20" spans="2:7" ht="30" x14ac:dyDescent="0.25">
      <c r="B20" s="141" t="s">
        <v>102</v>
      </c>
      <c r="C20" s="136" t="s">
        <v>224</v>
      </c>
      <c r="D20" s="144">
        <v>6</v>
      </c>
      <c r="E20" s="148"/>
      <c r="F20" s="152" t="s">
        <v>747</v>
      </c>
      <c r="G20" s="236" t="s">
        <v>942</v>
      </c>
    </row>
    <row r="21" spans="2:7" ht="30" x14ac:dyDescent="0.25">
      <c r="B21" s="141" t="s">
        <v>102</v>
      </c>
      <c r="C21" s="136" t="s">
        <v>233</v>
      </c>
      <c r="D21" s="144">
        <v>6</v>
      </c>
      <c r="E21" s="147"/>
      <c r="F21" s="152" t="s">
        <v>747</v>
      </c>
      <c r="G21" s="236" t="s">
        <v>942</v>
      </c>
    </row>
    <row r="22" spans="2:7" ht="30" x14ac:dyDescent="0.25">
      <c r="B22" s="141" t="s">
        <v>102</v>
      </c>
      <c r="C22" s="136" t="s">
        <v>796</v>
      </c>
      <c r="D22" s="144">
        <v>6</v>
      </c>
      <c r="E22" s="148"/>
      <c r="F22" s="152" t="s">
        <v>747</v>
      </c>
      <c r="G22" s="236" t="s">
        <v>942</v>
      </c>
    </row>
    <row r="23" spans="2:7" ht="30" x14ac:dyDescent="0.25">
      <c r="B23" s="141" t="s">
        <v>102</v>
      </c>
      <c r="C23" s="136" t="s">
        <v>693</v>
      </c>
      <c r="D23" s="144">
        <v>6</v>
      </c>
      <c r="E23" s="148"/>
      <c r="F23" s="152" t="s">
        <v>747</v>
      </c>
      <c r="G23" s="236" t="s">
        <v>942</v>
      </c>
    </row>
    <row r="24" spans="2:7" ht="30" x14ac:dyDescent="0.25">
      <c r="B24" s="141" t="s">
        <v>102</v>
      </c>
      <c r="C24" s="136" t="s">
        <v>797</v>
      </c>
      <c r="D24" s="144">
        <v>6</v>
      </c>
      <c r="E24" s="148"/>
      <c r="F24" s="152" t="s">
        <v>747</v>
      </c>
      <c r="G24" s="236" t="s">
        <v>942</v>
      </c>
    </row>
    <row r="25" spans="2:7" ht="30" x14ac:dyDescent="0.25">
      <c r="B25" s="141" t="s">
        <v>102</v>
      </c>
      <c r="C25" s="136" t="s">
        <v>803</v>
      </c>
      <c r="D25" s="144">
        <v>6</v>
      </c>
      <c r="E25" s="148"/>
      <c r="F25" s="152" t="s">
        <v>747</v>
      </c>
      <c r="G25" s="236" t="s">
        <v>942</v>
      </c>
    </row>
    <row r="26" spans="2:7" ht="30" x14ac:dyDescent="0.25">
      <c r="B26" s="141" t="s">
        <v>102</v>
      </c>
      <c r="C26" s="136" t="s">
        <v>698</v>
      </c>
      <c r="D26" s="144">
        <v>5</v>
      </c>
      <c r="E26" s="148"/>
      <c r="F26" s="152" t="s">
        <v>749</v>
      </c>
      <c r="G26" s="236" t="s">
        <v>942</v>
      </c>
    </row>
    <row r="27" spans="2:7" ht="30" x14ac:dyDescent="0.25">
      <c r="B27" s="141" t="s">
        <v>102</v>
      </c>
      <c r="C27" s="136" t="s">
        <v>804</v>
      </c>
      <c r="D27" s="144">
        <v>5</v>
      </c>
      <c r="E27" s="148"/>
      <c r="F27" s="152" t="s">
        <v>749</v>
      </c>
      <c r="G27" s="236" t="s">
        <v>942</v>
      </c>
    </row>
    <row r="28" spans="2:7" ht="30" x14ac:dyDescent="0.25">
      <c r="B28" s="141" t="s">
        <v>102</v>
      </c>
      <c r="C28" s="136" t="s">
        <v>805</v>
      </c>
      <c r="D28" s="144">
        <v>6</v>
      </c>
      <c r="E28" s="148"/>
      <c r="F28" s="152" t="s">
        <v>747</v>
      </c>
      <c r="G28" s="236" t="s">
        <v>942</v>
      </c>
    </row>
    <row r="29" spans="2:7" ht="30" x14ac:dyDescent="0.25">
      <c r="B29" s="141" t="s">
        <v>102</v>
      </c>
      <c r="C29" s="136" t="s">
        <v>694</v>
      </c>
      <c r="D29" s="144">
        <v>6</v>
      </c>
      <c r="E29" s="148"/>
      <c r="F29" s="152" t="s">
        <v>747</v>
      </c>
      <c r="G29" s="236" t="s">
        <v>942</v>
      </c>
    </row>
    <row r="30" spans="2:7" ht="30" x14ac:dyDescent="0.25">
      <c r="B30" s="141" t="s">
        <v>102</v>
      </c>
      <c r="C30" s="136" t="s">
        <v>234</v>
      </c>
      <c r="D30" s="144">
        <v>6</v>
      </c>
      <c r="E30" s="148"/>
      <c r="F30" s="152" t="s">
        <v>747</v>
      </c>
      <c r="G30" s="236" t="s">
        <v>942</v>
      </c>
    </row>
    <row r="31" spans="2:7" ht="35.25" customHeight="1" x14ac:dyDescent="0.25">
      <c r="B31" s="141" t="s">
        <v>225</v>
      </c>
      <c r="C31" s="11" t="s">
        <v>152</v>
      </c>
      <c r="D31" s="121">
        <v>6</v>
      </c>
      <c r="E31" s="147"/>
      <c r="F31" s="152" t="s">
        <v>747</v>
      </c>
      <c r="G31" s="236" t="s">
        <v>942</v>
      </c>
    </row>
    <row r="32" spans="2:7" ht="30" x14ac:dyDescent="0.25">
      <c r="B32" s="168" t="s">
        <v>225</v>
      </c>
      <c r="C32" s="28" t="s">
        <v>7</v>
      </c>
      <c r="D32" s="144">
        <v>15</v>
      </c>
      <c r="E32" s="149" t="s">
        <v>746</v>
      </c>
      <c r="F32" s="11"/>
      <c r="G32" s="236" t="s">
        <v>944</v>
      </c>
    </row>
    <row r="33" spans="2:7" ht="30" x14ac:dyDescent="0.25">
      <c r="B33" s="141" t="s">
        <v>225</v>
      </c>
      <c r="C33" s="11" t="s">
        <v>153</v>
      </c>
      <c r="D33" s="121">
        <v>14</v>
      </c>
      <c r="E33" s="147" t="s">
        <v>371</v>
      </c>
      <c r="F33" s="14"/>
      <c r="G33" s="236" t="s">
        <v>942</v>
      </c>
    </row>
    <row r="34" spans="2:7" ht="30" x14ac:dyDescent="0.25">
      <c r="B34" s="141" t="s">
        <v>225</v>
      </c>
      <c r="C34" s="11" t="s">
        <v>27</v>
      </c>
      <c r="D34" s="121">
        <v>5</v>
      </c>
      <c r="E34" s="147"/>
      <c r="F34" s="152" t="s">
        <v>749</v>
      </c>
      <c r="G34" s="236" t="s">
        <v>942</v>
      </c>
    </row>
    <row r="35" spans="2:7" ht="30" x14ac:dyDescent="0.25">
      <c r="B35" s="141" t="s">
        <v>225</v>
      </c>
      <c r="C35" s="11" t="s">
        <v>807</v>
      </c>
      <c r="D35" s="121">
        <v>5</v>
      </c>
      <c r="E35" s="147"/>
      <c r="F35" s="152" t="s">
        <v>749</v>
      </c>
      <c r="G35" s="236" t="s">
        <v>942</v>
      </c>
    </row>
    <row r="36" spans="2:7" ht="30" x14ac:dyDescent="0.25">
      <c r="B36" s="141" t="s">
        <v>225</v>
      </c>
      <c r="C36" s="11" t="s">
        <v>236</v>
      </c>
      <c r="D36" s="121">
        <v>5</v>
      </c>
      <c r="E36" s="147"/>
      <c r="F36" s="152" t="s">
        <v>749</v>
      </c>
      <c r="G36" s="236" t="s">
        <v>942</v>
      </c>
    </row>
    <row r="37" spans="2:7" ht="30" x14ac:dyDescent="0.25">
      <c r="B37" s="168" t="s">
        <v>225</v>
      </c>
      <c r="C37" s="28" t="s">
        <v>212</v>
      </c>
      <c r="D37" s="144">
        <v>15</v>
      </c>
      <c r="E37" s="149" t="s">
        <v>746</v>
      </c>
      <c r="F37" s="137"/>
      <c r="G37" s="236" t="s">
        <v>944</v>
      </c>
    </row>
    <row r="38" spans="2:7" ht="30" x14ac:dyDescent="0.25">
      <c r="B38" s="168" t="s">
        <v>225</v>
      </c>
      <c r="C38" s="28" t="s">
        <v>228</v>
      </c>
      <c r="D38" s="144">
        <v>15</v>
      </c>
      <c r="E38" s="149" t="s">
        <v>746</v>
      </c>
      <c r="F38" s="13"/>
      <c r="G38" s="236" t="s">
        <v>944</v>
      </c>
    </row>
    <row r="39" spans="2:7" ht="30" x14ac:dyDescent="0.25">
      <c r="B39" s="168" t="s">
        <v>225</v>
      </c>
      <c r="C39" s="169" t="s">
        <v>214</v>
      </c>
      <c r="D39" s="144">
        <v>6</v>
      </c>
      <c r="E39" s="147"/>
      <c r="F39" s="152" t="s">
        <v>747</v>
      </c>
      <c r="G39" s="236" t="s">
        <v>942</v>
      </c>
    </row>
    <row r="40" spans="2:7" ht="30" x14ac:dyDescent="0.25">
      <c r="B40" s="168" t="s">
        <v>225</v>
      </c>
      <c r="C40" s="28" t="s">
        <v>226</v>
      </c>
      <c r="D40" s="144">
        <v>5</v>
      </c>
      <c r="E40" s="147"/>
      <c r="F40" s="152" t="s">
        <v>749</v>
      </c>
      <c r="G40" s="236" t="s">
        <v>942</v>
      </c>
    </row>
    <row r="41" spans="2:7" ht="30" x14ac:dyDescent="0.25">
      <c r="B41" s="168" t="s">
        <v>225</v>
      </c>
      <c r="C41" s="169" t="s">
        <v>227</v>
      </c>
      <c r="D41" s="144">
        <v>15</v>
      </c>
      <c r="E41" s="148" t="s">
        <v>372</v>
      </c>
      <c r="F41" s="13"/>
      <c r="G41" s="236" t="s">
        <v>944</v>
      </c>
    </row>
    <row r="42" spans="2:7" ht="30" x14ac:dyDescent="0.25">
      <c r="B42" s="170" t="s">
        <v>225</v>
      </c>
      <c r="C42" s="169" t="s">
        <v>750</v>
      </c>
      <c r="D42" s="171">
        <v>6</v>
      </c>
      <c r="E42" s="147"/>
      <c r="F42" s="152" t="s">
        <v>747</v>
      </c>
      <c r="G42" s="236" t="s">
        <v>942</v>
      </c>
    </row>
    <row r="43" spans="2:7" ht="48" customHeight="1" x14ac:dyDescent="0.25">
      <c r="B43" s="170" t="s">
        <v>41</v>
      </c>
      <c r="C43" s="169" t="s">
        <v>154</v>
      </c>
      <c r="D43" s="171">
        <v>6</v>
      </c>
      <c r="E43" s="150"/>
      <c r="F43" s="154" t="s">
        <v>748</v>
      </c>
      <c r="G43" s="236" t="s">
        <v>943</v>
      </c>
    </row>
    <row r="44" spans="2:7" ht="45" x14ac:dyDescent="0.25">
      <c r="B44" s="170" t="s">
        <v>41</v>
      </c>
      <c r="C44" s="169" t="s">
        <v>808</v>
      </c>
      <c r="D44" s="171">
        <v>6</v>
      </c>
      <c r="E44" s="150"/>
      <c r="F44" s="154" t="s">
        <v>748</v>
      </c>
      <c r="G44" s="236" t="s">
        <v>943</v>
      </c>
    </row>
    <row r="45" spans="2:7" ht="45" x14ac:dyDescent="0.25">
      <c r="B45" s="170" t="s">
        <v>41</v>
      </c>
      <c r="C45" s="169" t="s">
        <v>155</v>
      </c>
      <c r="D45" s="171">
        <v>6</v>
      </c>
      <c r="E45" s="150"/>
      <c r="F45" s="154" t="s">
        <v>748</v>
      </c>
      <c r="G45" s="236" t="s">
        <v>943</v>
      </c>
    </row>
    <row r="46" spans="2:7" ht="45" x14ac:dyDescent="0.25">
      <c r="B46" s="170" t="s">
        <v>41</v>
      </c>
      <c r="C46" s="11" t="s">
        <v>753</v>
      </c>
      <c r="D46" s="171">
        <v>6</v>
      </c>
      <c r="E46" s="150"/>
      <c r="F46" s="154" t="s">
        <v>748</v>
      </c>
      <c r="G46" s="236" t="s">
        <v>943</v>
      </c>
    </row>
    <row r="47" spans="2:7" ht="30" x14ac:dyDescent="0.25">
      <c r="B47" s="168" t="s">
        <v>41</v>
      </c>
      <c r="C47" s="28" t="s">
        <v>168</v>
      </c>
      <c r="D47" s="144">
        <v>5</v>
      </c>
      <c r="E47" s="150"/>
      <c r="F47" s="152" t="s">
        <v>749</v>
      </c>
      <c r="G47" s="236" t="s">
        <v>942</v>
      </c>
    </row>
    <row r="48" spans="2:7" ht="45" x14ac:dyDescent="0.25">
      <c r="B48" s="168" t="s">
        <v>41</v>
      </c>
      <c r="C48" s="28" t="s">
        <v>213</v>
      </c>
      <c r="D48" s="144">
        <v>6</v>
      </c>
      <c r="E48" s="150"/>
      <c r="F48" s="154" t="s">
        <v>748</v>
      </c>
      <c r="G48" s="236" t="s">
        <v>943</v>
      </c>
    </row>
    <row r="49" spans="2:7" ht="30" x14ac:dyDescent="0.25">
      <c r="B49" s="168" t="s">
        <v>41</v>
      </c>
      <c r="C49" s="28" t="s">
        <v>493</v>
      </c>
      <c r="D49" s="144">
        <v>5</v>
      </c>
      <c r="E49" s="150"/>
      <c r="F49" s="152" t="s">
        <v>749</v>
      </c>
      <c r="G49" s="236" t="s">
        <v>942</v>
      </c>
    </row>
    <row r="50" spans="2:7" ht="45" x14ac:dyDescent="0.25">
      <c r="B50" s="168" t="s">
        <v>41</v>
      </c>
      <c r="C50" s="28" t="s">
        <v>75</v>
      </c>
      <c r="D50" s="144">
        <v>6</v>
      </c>
      <c r="E50" s="150"/>
      <c r="F50" s="154" t="s">
        <v>748</v>
      </c>
      <c r="G50" s="236" t="s">
        <v>943</v>
      </c>
    </row>
    <row r="51" spans="2:7" ht="30" x14ac:dyDescent="0.25">
      <c r="B51" s="168" t="s">
        <v>42</v>
      </c>
      <c r="C51" s="28" t="s">
        <v>169</v>
      </c>
      <c r="D51" s="144">
        <v>6</v>
      </c>
      <c r="E51" s="147"/>
      <c r="F51" s="152" t="s">
        <v>747</v>
      </c>
      <c r="G51" s="236" t="s">
        <v>942</v>
      </c>
    </row>
    <row r="52" spans="2:7" ht="30" x14ac:dyDescent="0.25">
      <c r="B52" s="168" t="s">
        <v>42</v>
      </c>
      <c r="C52" s="28" t="s">
        <v>170</v>
      </c>
      <c r="D52" s="144">
        <v>6</v>
      </c>
      <c r="E52" s="147"/>
      <c r="F52" s="152" t="s">
        <v>747</v>
      </c>
      <c r="G52" s="236" t="s">
        <v>942</v>
      </c>
    </row>
    <row r="53" spans="2:7" ht="30" x14ac:dyDescent="0.25">
      <c r="B53" s="168" t="s">
        <v>42</v>
      </c>
      <c r="C53" s="28" t="s">
        <v>11</v>
      </c>
      <c r="D53" s="144">
        <v>6</v>
      </c>
      <c r="E53" s="147"/>
      <c r="F53" s="152" t="s">
        <v>747</v>
      </c>
      <c r="G53" s="236" t="s">
        <v>942</v>
      </c>
    </row>
    <row r="54" spans="2:7" ht="30" x14ac:dyDescent="0.25">
      <c r="B54" s="168" t="s">
        <v>42</v>
      </c>
      <c r="C54" s="28" t="s">
        <v>219</v>
      </c>
      <c r="D54" s="144">
        <v>6</v>
      </c>
      <c r="E54" s="147"/>
      <c r="F54" s="152" t="s">
        <v>747</v>
      </c>
      <c r="G54" s="236" t="s">
        <v>942</v>
      </c>
    </row>
    <row r="55" spans="2:7" ht="30" x14ac:dyDescent="0.25">
      <c r="B55" s="168" t="s">
        <v>42</v>
      </c>
      <c r="C55" s="28" t="s">
        <v>220</v>
      </c>
      <c r="D55" s="144">
        <v>6</v>
      </c>
      <c r="E55" s="147"/>
      <c r="F55" s="152" t="s">
        <v>747</v>
      </c>
      <c r="G55" s="236" t="s">
        <v>942</v>
      </c>
    </row>
    <row r="56" spans="2:7" ht="30" x14ac:dyDescent="0.25">
      <c r="B56" s="168" t="s">
        <v>42</v>
      </c>
      <c r="C56" s="28" t="s">
        <v>15</v>
      </c>
      <c r="D56" s="144">
        <v>5</v>
      </c>
      <c r="E56" s="147"/>
      <c r="F56" s="152" t="s">
        <v>749</v>
      </c>
      <c r="G56" s="236" t="s">
        <v>942</v>
      </c>
    </row>
    <row r="57" spans="2:7" ht="30" x14ac:dyDescent="0.25">
      <c r="B57" s="168" t="s">
        <v>42</v>
      </c>
      <c r="C57" s="28" t="s">
        <v>16</v>
      </c>
      <c r="D57" s="144">
        <v>5</v>
      </c>
      <c r="E57" s="147"/>
      <c r="F57" s="152" t="s">
        <v>749</v>
      </c>
      <c r="G57" s="236" t="s">
        <v>942</v>
      </c>
    </row>
    <row r="58" spans="2:7" ht="30" x14ac:dyDescent="0.25">
      <c r="B58" s="168" t="s">
        <v>42</v>
      </c>
      <c r="C58" s="169" t="s">
        <v>18</v>
      </c>
      <c r="D58" s="173">
        <v>6</v>
      </c>
      <c r="E58" s="147"/>
      <c r="F58" s="152" t="s">
        <v>747</v>
      </c>
      <c r="G58" s="236" t="s">
        <v>942</v>
      </c>
    </row>
    <row r="59" spans="2:7" ht="30" x14ac:dyDescent="0.25">
      <c r="B59" s="168" t="s">
        <v>42</v>
      </c>
      <c r="C59" s="28" t="s">
        <v>171</v>
      </c>
      <c r="D59" s="144">
        <v>6</v>
      </c>
      <c r="E59" s="147"/>
      <c r="F59" s="152" t="s">
        <v>747</v>
      </c>
      <c r="G59" s="236" t="s">
        <v>942</v>
      </c>
    </row>
    <row r="60" spans="2:7" ht="30" x14ac:dyDescent="0.25">
      <c r="B60" s="168" t="s">
        <v>42</v>
      </c>
      <c r="C60" s="28" t="s">
        <v>792</v>
      </c>
      <c r="D60" s="144">
        <v>5</v>
      </c>
      <c r="E60" s="147"/>
      <c r="F60" s="152" t="s">
        <v>749</v>
      </c>
      <c r="G60" s="236" t="s">
        <v>942</v>
      </c>
    </row>
    <row r="61" spans="2:7" ht="30" x14ac:dyDescent="0.25">
      <c r="B61" s="168" t="s">
        <v>42</v>
      </c>
      <c r="C61" s="28" t="s">
        <v>218</v>
      </c>
      <c r="D61" s="144">
        <v>5</v>
      </c>
      <c r="E61" s="147"/>
      <c r="F61" s="152" t="s">
        <v>749</v>
      </c>
      <c r="G61" s="236" t="s">
        <v>942</v>
      </c>
    </row>
    <row r="62" spans="2:7" ht="30" x14ac:dyDescent="0.25">
      <c r="B62" s="168" t="s">
        <v>42</v>
      </c>
      <c r="C62" s="28" t="s">
        <v>229</v>
      </c>
      <c r="D62" s="144">
        <v>6</v>
      </c>
      <c r="E62" s="147"/>
      <c r="F62" s="152" t="s">
        <v>747</v>
      </c>
      <c r="G62" s="236" t="s">
        <v>942</v>
      </c>
    </row>
    <row r="63" spans="2:7" ht="30" x14ac:dyDescent="0.25">
      <c r="B63" s="168" t="s">
        <v>42</v>
      </c>
      <c r="C63" s="28" t="s">
        <v>35</v>
      </c>
      <c r="D63" s="144">
        <v>5</v>
      </c>
      <c r="E63" s="147"/>
      <c r="F63" s="152" t="s">
        <v>749</v>
      </c>
      <c r="G63" s="236" t="s">
        <v>942</v>
      </c>
    </row>
    <row r="64" spans="2:7" ht="30" x14ac:dyDescent="0.25">
      <c r="B64" s="168" t="s">
        <v>42</v>
      </c>
      <c r="C64" s="28" t="s">
        <v>54</v>
      </c>
      <c r="D64" s="144">
        <v>5</v>
      </c>
      <c r="E64" s="147"/>
      <c r="F64" s="152" t="s">
        <v>749</v>
      </c>
      <c r="G64" s="236" t="s">
        <v>942</v>
      </c>
    </row>
    <row r="65" spans="2:7" ht="30" x14ac:dyDescent="0.25">
      <c r="B65" s="168" t="s">
        <v>42</v>
      </c>
      <c r="C65" s="28" t="s">
        <v>221</v>
      </c>
      <c r="D65" s="144">
        <v>6</v>
      </c>
      <c r="E65" s="147"/>
      <c r="F65" s="152" t="s">
        <v>747</v>
      </c>
      <c r="G65" s="236" t="s">
        <v>942</v>
      </c>
    </row>
    <row r="66" spans="2:7" ht="30" x14ac:dyDescent="0.25">
      <c r="B66" s="168" t="s">
        <v>42</v>
      </c>
      <c r="C66" s="169" t="s">
        <v>230</v>
      </c>
      <c r="D66" s="173">
        <v>6</v>
      </c>
      <c r="E66" s="147"/>
      <c r="F66" s="152" t="s">
        <v>747</v>
      </c>
      <c r="G66" s="236" t="s">
        <v>942</v>
      </c>
    </row>
    <row r="67" spans="2:7" ht="30" x14ac:dyDescent="0.25">
      <c r="B67" s="170" t="s">
        <v>42</v>
      </c>
      <c r="C67" s="136" t="s">
        <v>696</v>
      </c>
      <c r="D67" s="177">
        <v>5</v>
      </c>
      <c r="E67" s="147"/>
      <c r="F67" s="152" t="s">
        <v>749</v>
      </c>
      <c r="G67" s="236" t="s">
        <v>942</v>
      </c>
    </row>
    <row r="68" spans="2:7" ht="30" x14ac:dyDescent="0.25">
      <c r="B68" s="170" t="s">
        <v>42</v>
      </c>
      <c r="C68" s="136" t="s">
        <v>695</v>
      </c>
      <c r="D68" s="177">
        <v>5</v>
      </c>
      <c r="E68" s="147"/>
      <c r="F68" s="152" t="s">
        <v>749</v>
      </c>
      <c r="G68" s="236" t="s">
        <v>942</v>
      </c>
    </row>
    <row r="69" spans="2:7" ht="30" x14ac:dyDescent="0.25">
      <c r="B69" s="168" t="s">
        <v>42</v>
      </c>
      <c r="C69" s="169" t="s">
        <v>231</v>
      </c>
      <c r="D69" s="173">
        <v>5</v>
      </c>
      <c r="E69" s="147"/>
      <c r="F69" s="152" t="s">
        <v>749</v>
      </c>
      <c r="G69" s="236" t="s">
        <v>942</v>
      </c>
    </row>
    <row r="70" spans="2:7" ht="30" x14ac:dyDescent="0.25">
      <c r="B70" s="168" t="s">
        <v>42</v>
      </c>
      <c r="C70" s="169" t="s">
        <v>793</v>
      </c>
      <c r="D70" s="144">
        <v>5</v>
      </c>
      <c r="E70" s="147"/>
      <c r="F70" s="152" t="s">
        <v>749</v>
      </c>
      <c r="G70" s="236" t="s">
        <v>942</v>
      </c>
    </row>
    <row r="71" spans="2:7" ht="30" x14ac:dyDescent="0.25">
      <c r="B71" s="168" t="s">
        <v>42</v>
      </c>
      <c r="C71" s="28" t="s">
        <v>232</v>
      </c>
      <c r="D71" s="144">
        <v>6</v>
      </c>
      <c r="E71" s="147"/>
      <c r="F71" s="152" t="s">
        <v>747</v>
      </c>
      <c r="G71" s="236" t="s">
        <v>942</v>
      </c>
    </row>
    <row r="72" spans="2:7" ht="30" x14ac:dyDescent="0.25">
      <c r="B72" s="168" t="s">
        <v>42</v>
      </c>
      <c r="C72" s="28" t="s">
        <v>235</v>
      </c>
      <c r="D72" s="144">
        <v>5</v>
      </c>
      <c r="E72" s="147"/>
      <c r="F72" s="152" t="s">
        <v>749</v>
      </c>
      <c r="G72" s="236" t="s">
        <v>942</v>
      </c>
    </row>
    <row r="73" spans="2:7" ht="15" customHeight="1" x14ac:dyDescent="0.25">
      <c r="B73" s="168" t="s">
        <v>33</v>
      </c>
      <c r="C73" s="28" t="s">
        <v>204</v>
      </c>
      <c r="D73" s="144">
        <v>5</v>
      </c>
      <c r="E73" s="147"/>
      <c r="F73" s="152" t="s">
        <v>749</v>
      </c>
      <c r="G73" s="237" t="s">
        <v>942</v>
      </c>
    </row>
    <row r="74" spans="2:7" ht="30" x14ac:dyDescent="0.25">
      <c r="B74" s="168" t="s">
        <v>33</v>
      </c>
      <c r="C74" s="28" t="s">
        <v>208</v>
      </c>
      <c r="D74" s="144">
        <v>5</v>
      </c>
      <c r="E74" s="147"/>
      <c r="F74" s="152" t="s">
        <v>749</v>
      </c>
      <c r="G74" s="237" t="s">
        <v>942</v>
      </c>
    </row>
    <row r="75" spans="2:7" ht="30" x14ac:dyDescent="0.25">
      <c r="B75" s="168" t="s">
        <v>33</v>
      </c>
      <c r="C75" s="28" t="s">
        <v>209</v>
      </c>
      <c r="D75" s="144">
        <v>5</v>
      </c>
      <c r="E75" s="147"/>
      <c r="F75" s="152" t="s">
        <v>749</v>
      </c>
      <c r="G75" s="237" t="s">
        <v>942</v>
      </c>
    </row>
    <row r="76" spans="2:7" ht="30" x14ac:dyDescent="0.25">
      <c r="B76" s="168" t="s">
        <v>33</v>
      </c>
      <c r="C76" s="28" t="s">
        <v>210</v>
      </c>
      <c r="D76" s="144">
        <v>5</v>
      </c>
      <c r="E76" s="147"/>
      <c r="F76" s="152" t="s">
        <v>749</v>
      </c>
      <c r="G76" s="237" t="s">
        <v>942</v>
      </c>
    </row>
    <row r="77" spans="2:7" ht="30" x14ac:dyDescent="0.25">
      <c r="B77" s="168" t="s">
        <v>33</v>
      </c>
      <c r="C77" s="28" t="s">
        <v>34</v>
      </c>
      <c r="D77" s="144">
        <v>5</v>
      </c>
      <c r="E77" s="147"/>
      <c r="F77" s="152" t="s">
        <v>749</v>
      </c>
      <c r="G77" s="237" t="s">
        <v>942</v>
      </c>
    </row>
    <row r="78" spans="2:7" ht="30" x14ac:dyDescent="0.25">
      <c r="B78" s="168" t="s">
        <v>33</v>
      </c>
      <c r="C78" s="28" t="s">
        <v>207</v>
      </c>
      <c r="D78" s="144">
        <v>5</v>
      </c>
      <c r="E78" s="147"/>
      <c r="F78" s="152" t="s">
        <v>749</v>
      </c>
      <c r="G78" s="237" t="s">
        <v>942</v>
      </c>
    </row>
    <row r="79" spans="2:7" ht="48" customHeight="1" x14ac:dyDescent="0.25">
      <c r="B79" s="168" t="s">
        <v>96</v>
      </c>
      <c r="C79" s="28" t="s">
        <v>166</v>
      </c>
      <c r="D79" s="144">
        <v>6</v>
      </c>
      <c r="E79" s="150"/>
      <c r="F79" s="154" t="s">
        <v>748</v>
      </c>
      <c r="G79" s="236" t="s">
        <v>943</v>
      </c>
    </row>
    <row r="80" spans="2:7" ht="45" x14ac:dyDescent="0.25">
      <c r="B80" s="168" t="s">
        <v>96</v>
      </c>
      <c r="C80" s="28" t="s">
        <v>165</v>
      </c>
      <c r="D80" s="144">
        <v>6</v>
      </c>
      <c r="E80" s="150"/>
      <c r="F80" s="154" t="s">
        <v>748</v>
      </c>
      <c r="G80" s="236" t="s">
        <v>943</v>
      </c>
    </row>
    <row r="81" spans="2:7" ht="45" x14ac:dyDescent="0.25">
      <c r="B81" s="168" t="s">
        <v>96</v>
      </c>
      <c r="C81" s="28" t="s">
        <v>29</v>
      </c>
      <c r="D81" s="144">
        <v>6</v>
      </c>
      <c r="E81" s="150"/>
      <c r="F81" s="154" t="s">
        <v>748</v>
      </c>
      <c r="G81" s="236" t="s">
        <v>943</v>
      </c>
    </row>
    <row r="82" spans="2:7" ht="45" x14ac:dyDescent="0.25">
      <c r="B82" s="168" t="s">
        <v>96</v>
      </c>
      <c r="C82" s="28" t="s">
        <v>809</v>
      </c>
      <c r="D82" s="144">
        <v>6</v>
      </c>
      <c r="E82" s="150"/>
      <c r="F82" s="154" t="s">
        <v>748</v>
      </c>
      <c r="G82" s="238" t="s">
        <v>943</v>
      </c>
    </row>
    <row r="83" spans="2:7" ht="45" x14ac:dyDescent="0.25">
      <c r="B83" s="168" t="s">
        <v>96</v>
      </c>
      <c r="C83" s="28" t="s">
        <v>237</v>
      </c>
      <c r="D83" s="144">
        <v>6</v>
      </c>
      <c r="E83" s="150"/>
      <c r="F83" s="154" t="s">
        <v>748</v>
      </c>
      <c r="G83" s="238" t="s">
        <v>943</v>
      </c>
    </row>
    <row r="84" spans="2:7" ht="45.75" thickBot="1" x14ac:dyDescent="0.3">
      <c r="B84" s="174" t="s">
        <v>96</v>
      </c>
      <c r="C84" s="34" t="s">
        <v>238</v>
      </c>
      <c r="D84" s="175">
        <v>6</v>
      </c>
      <c r="E84" s="151"/>
      <c r="F84" s="155" t="s">
        <v>748</v>
      </c>
      <c r="G84" s="239" t="s">
        <v>943</v>
      </c>
    </row>
    <row r="85" spans="2:7" x14ac:dyDescent="0.25">
      <c r="E85" s="37"/>
      <c r="F85" s="37"/>
      <c r="G85" s="37"/>
    </row>
    <row r="87" spans="2:7" x14ac:dyDescent="0.25">
      <c r="C87" s="5"/>
    </row>
  </sheetData>
  <mergeCells count="6">
    <mergeCell ref="B2:G2"/>
    <mergeCell ref="B3:G3"/>
    <mergeCell ref="B5:B6"/>
    <mergeCell ref="E5:G5"/>
    <mergeCell ref="C5:C6"/>
    <mergeCell ref="D5:D6"/>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dimension ref="A1:F143"/>
  <sheetViews>
    <sheetView showGridLines="0" topLeftCell="A103" workbookViewId="0">
      <selection activeCell="D117" sqref="D117"/>
    </sheetView>
  </sheetViews>
  <sheetFormatPr baseColWidth="10" defaultRowHeight="15" x14ac:dyDescent="0.25"/>
  <cols>
    <col min="2" max="2" width="23.7109375" customWidth="1"/>
    <col min="3" max="3" width="38.7109375" customWidth="1"/>
    <col min="4" max="4" width="61.140625" style="157" customWidth="1"/>
    <col min="5" max="5" width="17" customWidth="1"/>
  </cols>
  <sheetData>
    <row r="1" spans="1:6" ht="29.25" thickBot="1" x14ac:dyDescent="0.5">
      <c r="A1" s="256" t="s">
        <v>729</v>
      </c>
      <c r="B1" s="257"/>
      <c r="C1" s="257"/>
      <c r="D1" s="257"/>
      <c r="E1" s="258"/>
      <c r="F1" s="105"/>
    </row>
    <row r="2" spans="1:6" ht="54.75" customHeight="1" thickBot="1" x14ac:dyDescent="0.3">
      <c r="A2" s="259" t="s">
        <v>813</v>
      </c>
      <c r="B2" s="260"/>
      <c r="C2" s="260"/>
      <c r="D2" s="260"/>
      <c r="E2" s="261"/>
      <c r="F2" s="106"/>
    </row>
    <row r="3" spans="1:6" ht="15" customHeight="1" thickBot="1" x14ac:dyDescent="0.3">
      <c r="C3" s="84"/>
      <c r="D3" s="166"/>
      <c r="E3" s="37"/>
    </row>
    <row r="4" spans="1:6" ht="30.75" thickBot="1" x14ac:dyDescent="0.3">
      <c r="A4" s="189" t="s">
        <v>367</v>
      </c>
      <c r="B4" s="190" t="s">
        <v>690</v>
      </c>
      <c r="C4" s="191" t="s">
        <v>691</v>
      </c>
      <c r="D4" s="192" t="s">
        <v>814</v>
      </c>
      <c r="E4" s="193" t="s">
        <v>815</v>
      </c>
    </row>
    <row r="5" spans="1:6" x14ac:dyDescent="0.25">
      <c r="A5" s="284">
        <v>5</v>
      </c>
      <c r="B5" s="287" t="s">
        <v>728</v>
      </c>
      <c r="C5" s="298" t="s">
        <v>630</v>
      </c>
      <c r="D5" s="194" t="str">
        <f>+'Metodo Simplificado'!C65</f>
        <v>Gastos por honorarios profesionales</v>
      </c>
      <c r="E5" s="195">
        <f>+'Metodo Simplificado'!G65</f>
        <v>300000</v>
      </c>
    </row>
    <row r="6" spans="1:6" x14ac:dyDescent="0.25">
      <c r="A6" s="285"/>
      <c r="B6" s="288"/>
      <c r="C6" s="299"/>
      <c r="D6" s="183" t="str">
        <f>+'Metodo Simplificado'!C26</f>
        <v>Tiempo de reunión con especialistas - asesoría técnica</v>
      </c>
      <c r="E6" s="186">
        <f>+'Metodo Simplificado'!G26</f>
        <v>189583.33333333334</v>
      </c>
    </row>
    <row r="7" spans="1:6" x14ac:dyDescent="0.25">
      <c r="A7" s="285"/>
      <c r="B7" s="288"/>
      <c r="C7" s="183" t="s">
        <v>631</v>
      </c>
      <c r="D7" s="183" t="str">
        <f>+'Metodo Simplificado'!C52</f>
        <v>Perdida de beneficios (Impuestos, descuentos, etc.)</v>
      </c>
      <c r="E7" s="186">
        <f>+'Metodo Simplificado'!G52</f>
        <v>0</v>
      </c>
    </row>
    <row r="8" spans="1:6" x14ac:dyDescent="0.25">
      <c r="A8" s="285"/>
      <c r="B8" s="288"/>
      <c r="C8" s="183" t="s">
        <v>632</v>
      </c>
      <c r="D8" s="183" t="str">
        <f>+'Metodo Simplificado'!C72</f>
        <v>Alquiler maquinas, equipos o herramientas</v>
      </c>
      <c r="E8" s="186">
        <f>+'Metodo Simplificado'!G72</f>
        <v>300000</v>
      </c>
    </row>
    <row r="9" spans="1:6" x14ac:dyDescent="0.25">
      <c r="A9" s="285"/>
      <c r="B9" s="288"/>
      <c r="C9" s="183" t="s">
        <v>633</v>
      </c>
      <c r="D9" s="183"/>
      <c r="E9" s="186"/>
    </row>
    <row r="10" spans="1:6" x14ac:dyDescent="0.25">
      <c r="A10" s="285"/>
      <c r="B10" s="288"/>
      <c r="C10" s="183" t="s">
        <v>634</v>
      </c>
      <c r="D10" s="183" t="str">
        <f>+'Metodo Simplificado'!C76</f>
        <v>Gastos por aumento de primas de seguros</v>
      </c>
      <c r="E10" s="186">
        <f>+'Metodo Simplificado'!G76</f>
        <v>0</v>
      </c>
    </row>
    <row r="11" spans="1:6" x14ac:dyDescent="0.25">
      <c r="A11" s="285"/>
      <c r="B11" s="288"/>
      <c r="C11" s="183" t="s">
        <v>635</v>
      </c>
      <c r="D11" s="183" t="str">
        <f>+'Metodo Simplificado'!C54</f>
        <v>Perdida energía (Gas, vapor, agua, electricidad)</v>
      </c>
      <c r="E11" s="186">
        <f>+'Metodo Simplificado'!G54</f>
        <v>0</v>
      </c>
    </row>
    <row r="12" spans="1:6" x14ac:dyDescent="0.25">
      <c r="A12" s="285"/>
      <c r="B12" s="288"/>
      <c r="C12" s="299" t="s">
        <v>636</v>
      </c>
      <c r="D12" s="183" t="str">
        <f>+'Metodo Simplificado'!C64</f>
        <v>Gastos por sanciones</v>
      </c>
      <c r="E12" s="186">
        <f>+'Metodo Simplificado'!G64</f>
        <v>0</v>
      </c>
    </row>
    <row r="13" spans="1:6" x14ac:dyDescent="0.25">
      <c r="A13" s="285"/>
      <c r="B13" s="288"/>
      <c r="C13" s="299"/>
      <c r="D13" s="183" t="str">
        <f>+'Metodo Simplificado'!C84</f>
        <v>Demandas</v>
      </c>
      <c r="E13" s="186">
        <f>+'Metodo Simplificado'!G84</f>
        <v>0</v>
      </c>
    </row>
    <row r="14" spans="1:6" x14ac:dyDescent="0.25">
      <c r="A14" s="285"/>
      <c r="B14" s="288"/>
      <c r="C14" s="299"/>
      <c r="D14" s="183" t="str">
        <f>+'Metodo Simplificado'!C85</f>
        <v>Sanciones por impactos ambientales</v>
      </c>
      <c r="E14" s="186">
        <f>+'Metodo Simplificado'!G85</f>
        <v>0</v>
      </c>
    </row>
    <row r="15" spans="1:6" x14ac:dyDescent="0.25">
      <c r="A15" s="285"/>
      <c r="B15" s="288"/>
      <c r="C15" s="299"/>
      <c r="D15" s="183" t="str">
        <f>+'Metodo Simplificado'!C86</f>
        <v>Sanciones por incumplimientos en SST</v>
      </c>
      <c r="E15" s="186">
        <f>+'Metodo Simplificado'!G86</f>
        <v>0</v>
      </c>
    </row>
    <row r="16" spans="1:6" x14ac:dyDescent="0.25">
      <c r="A16" s="285"/>
      <c r="B16" s="288"/>
      <c r="C16" s="299"/>
      <c r="D16" s="183" t="str">
        <f>+'Metodo Simplificado'!C87</f>
        <v>Sanciones por incumplimientos laborales</v>
      </c>
      <c r="E16" s="186">
        <f>+'Metodo Simplificado'!G87</f>
        <v>0</v>
      </c>
    </row>
    <row r="17" spans="1:5" x14ac:dyDescent="0.25">
      <c r="A17" s="285"/>
      <c r="B17" s="288"/>
      <c r="C17" s="299"/>
      <c r="D17" s="183" t="str">
        <f>+'Metodo Simplificado'!C89</f>
        <v>Penalización por retraso</v>
      </c>
      <c r="E17" s="186">
        <f>+'Metodo Simplificado'!G89</f>
        <v>0</v>
      </c>
    </row>
    <row r="18" spans="1:5" x14ac:dyDescent="0.25">
      <c r="A18" s="285"/>
      <c r="B18" s="288"/>
      <c r="C18" s="299" t="s">
        <v>637</v>
      </c>
      <c r="D18" s="183" t="str">
        <f>+'Metodo Simplificado'!C36</f>
        <v>Costos de repuestos - piezas</v>
      </c>
      <c r="E18" s="186">
        <f>+'Metodo Simplificado'!G36</f>
        <v>300000</v>
      </c>
    </row>
    <row r="19" spans="1:5" x14ac:dyDescent="0.25">
      <c r="A19" s="285"/>
      <c r="B19" s="288"/>
      <c r="C19" s="299"/>
      <c r="D19" s="183" t="str">
        <f>+'Metodo Simplificado'!C37</f>
        <v>Costo de recuperación de maquinaria</v>
      </c>
      <c r="E19" s="186">
        <f>+'Metodo Simplificado'!G37</f>
        <v>200000</v>
      </c>
    </row>
    <row r="20" spans="1:5" x14ac:dyDescent="0.25">
      <c r="A20" s="285"/>
      <c r="B20" s="288"/>
      <c r="C20" s="299"/>
      <c r="D20" s="183" t="str">
        <f>+'Metodo Simplificado'!C38</f>
        <v>Costo mantenimiento de equipos y herramientas</v>
      </c>
      <c r="E20" s="186">
        <f>+'Metodo Simplificado'!G38</f>
        <v>0</v>
      </c>
    </row>
    <row r="21" spans="1:5" x14ac:dyDescent="0.25">
      <c r="A21" s="285"/>
      <c r="B21" s="288"/>
      <c r="C21" s="299"/>
      <c r="D21" s="183" t="str">
        <f>+'Metodo Simplificado'!C75</f>
        <v>Gastos por deducibles para reparación o reposición de equipos</v>
      </c>
      <c r="E21" s="186">
        <f>+'Metodo Simplificado'!G75</f>
        <v>0</v>
      </c>
    </row>
    <row r="22" spans="1:5" x14ac:dyDescent="0.25">
      <c r="A22" s="285"/>
      <c r="B22" s="288"/>
      <c r="C22" s="299"/>
      <c r="D22" s="183" t="str">
        <f>+'Metodo Simplificado'!C80</f>
        <v>Gastos de reparación en instalaciones y edificios</v>
      </c>
      <c r="E22" s="186">
        <f>+'Metodo Simplificado'!G80</f>
        <v>0</v>
      </c>
    </row>
    <row r="23" spans="1:5" x14ac:dyDescent="0.25">
      <c r="A23" s="285"/>
      <c r="B23" s="288"/>
      <c r="C23" s="183" t="s">
        <v>638</v>
      </c>
      <c r="D23" s="183" t="str">
        <f>+'Metodo Simplificado'!C42</f>
        <v>Costos de la implementación de los controles</v>
      </c>
      <c r="E23" s="186">
        <f>+'Metodo Simplificado'!G42</f>
        <v>550000</v>
      </c>
    </row>
    <row r="24" spans="1:5" x14ac:dyDescent="0.25">
      <c r="A24" s="285"/>
      <c r="B24" s="288"/>
      <c r="C24" s="183" t="s">
        <v>640</v>
      </c>
      <c r="D24" s="183"/>
      <c r="E24" s="186"/>
    </row>
    <row r="25" spans="1:5" x14ac:dyDescent="0.25">
      <c r="A25" s="285"/>
      <c r="B25" s="288"/>
      <c r="C25" s="183" t="s">
        <v>641</v>
      </c>
      <c r="D25" s="183"/>
      <c r="E25" s="186"/>
    </row>
    <row r="26" spans="1:5" x14ac:dyDescent="0.25">
      <c r="A26" s="285"/>
      <c r="B26" s="288"/>
      <c r="C26" s="299" t="s">
        <v>649</v>
      </c>
      <c r="D26" s="183" t="str">
        <f>+'Metodo Simplificado'!C77</f>
        <v>Gastos por tratamiento de residuos</v>
      </c>
      <c r="E26" s="186">
        <f>+'Metodo Simplificado'!G77</f>
        <v>315000</v>
      </c>
    </row>
    <row r="27" spans="1:5" x14ac:dyDescent="0.25">
      <c r="A27" s="285"/>
      <c r="B27" s="288"/>
      <c r="C27" s="299"/>
      <c r="D27" s="183" t="str">
        <f>+'Metodo Simplificado'!C25</f>
        <v>Tiempo para la coordinación y limpieza del lugar del accidente</v>
      </c>
      <c r="E27" s="186">
        <f>+'Metodo Simplificado'!G25</f>
        <v>3723750</v>
      </c>
    </row>
    <row r="28" spans="1:5" x14ac:dyDescent="0.25">
      <c r="A28" s="285"/>
      <c r="B28" s="288"/>
      <c r="C28" s="183" t="s">
        <v>650</v>
      </c>
      <c r="D28" s="183"/>
      <c r="E28" s="186"/>
    </row>
    <row r="29" spans="1:5" x14ac:dyDescent="0.25">
      <c r="A29" s="285"/>
      <c r="B29" s="288"/>
      <c r="C29" s="183" t="s">
        <v>651</v>
      </c>
      <c r="D29" s="183"/>
      <c r="E29" s="186"/>
    </row>
    <row r="30" spans="1:5" x14ac:dyDescent="0.25">
      <c r="A30" s="285"/>
      <c r="B30" s="288"/>
      <c r="C30" s="183" t="s">
        <v>652</v>
      </c>
      <c r="D30" s="183"/>
      <c r="E30" s="186"/>
    </row>
    <row r="31" spans="1:5" x14ac:dyDescent="0.25">
      <c r="A31" s="285"/>
      <c r="B31" s="288"/>
      <c r="C31" s="183" t="s">
        <v>703</v>
      </c>
      <c r="D31" s="183"/>
      <c r="E31" s="186"/>
    </row>
    <row r="32" spans="1:5" x14ac:dyDescent="0.25">
      <c r="A32" s="285"/>
      <c r="B32" s="288"/>
      <c r="C32" s="299" t="s">
        <v>655</v>
      </c>
      <c r="D32" s="183" t="str">
        <f>+'Metodo Simplificado'!C68</f>
        <v>Costos de los materiales usados en la atención de la emergencia</v>
      </c>
      <c r="E32" s="186">
        <f>+'Metodo Simplificado'!G68</f>
        <v>340000</v>
      </c>
    </row>
    <row r="33" spans="1:5" x14ac:dyDescent="0.25">
      <c r="A33" s="285"/>
      <c r="B33" s="288"/>
      <c r="C33" s="299"/>
      <c r="D33" s="183" t="str">
        <f>+'Metodo Simplificado'!C69</f>
        <v>Otros gastos de materiales</v>
      </c>
      <c r="E33" s="186">
        <f>+'Metodo Simplificado'!G69</f>
        <v>150000</v>
      </c>
    </row>
    <row r="34" spans="1:5" x14ac:dyDescent="0.25">
      <c r="A34" s="285"/>
      <c r="B34" s="288"/>
      <c r="C34" s="299"/>
      <c r="D34" s="183" t="str">
        <f>+'Metodo Simplificado'!C71</f>
        <v>Otros gastos generales</v>
      </c>
      <c r="E34" s="186">
        <f>+'Metodo Simplificado'!G71</f>
        <v>0</v>
      </c>
    </row>
    <row r="35" spans="1:5" x14ac:dyDescent="0.25">
      <c r="A35" s="285"/>
      <c r="B35" s="288"/>
      <c r="C35" s="299"/>
      <c r="D35" s="183" t="str">
        <f>+'Metodo Simplificado'!C78</f>
        <v>Gastos médicos no incluidos en el seguro</v>
      </c>
      <c r="E35" s="186">
        <f>+'Metodo Simplificado'!G78</f>
        <v>0</v>
      </c>
    </row>
    <row r="36" spans="1:5" x14ac:dyDescent="0.25">
      <c r="A36" s="285"/>
      <c r="B36" s="288"/>
      <c r="C36" s="299"/>
      <c r="D36" s="183" t="str">
        <f>+'Metodo Simplificado'!C88</f>
        <v>Daños a terceros</v>
      </c>
      <c r="E36" s="186">
        <f>+'Metodo Simplificado'!G88</f>
        <v>0</v>
      </c>
    </row>
    <row r="37" spans="1:5" ht="15.75" thickBot="1" x14ac:dyDescent="0.3">
      <c r="A37" s="286"/>
      <c r="B37" s="289"/>
      <c r="C37" s="196" t="s">
        <v>659</v>
      </c>
      <c r="D37" s="197"/>
      <c r="E37" s="140"/>
    </row>
    <row r="38" spans="1:5" ht="15.75" thickBot="1" x14ac:dyDescent="0.3">
      <c r="A38" s="282" t="s">
        <v>161</v>
      </c>
      <c r="B38" s="283"/>
      <c r="C38" s="283"/>
      <c r="D38" s="283"/>
      <c r="E38" s="198">
        <f>SUM(E5:E37)</f>
        <v>6368333.333333334</v>
      </c>
    </row>
    <row r="39" spans="1:5" x14ac:dyDescent="0.25">
      <c r="A39" s="290">
        <v>6</v>
      </c>
      <c r="B39" s="293" t="s">
        <v>730</v>
      </c>
      <c r="C39" s="298" t="s">
        <v>702</v>
      </c>
      <c r="D39" s="194" t="str">
        <f>+'Metodo Simplificado'!C6</f>
        <v>Tiempo perdido personal directo del proceso</v>
      </c>
      <c r="E39" s="195">
        <f>+'Metodo Simplificado'!G6</f>
        <v>69503499.999999985</v>
      </c>
    </row>
    <row r="40" spans="1:5" x14ac:dyDescent="0.25">
      <c r="A40" s="291"/>
      <c r="B40" s="294"/>
      <c r="C40" s="299"/>
      <c r="D40" s="183" t="str">
        <f>+'Metodo Simplificado'!C7</f>
        <v>Tiempo perdido trabajador accidentado</v>
      </c>
      <c r="E40" s="186">
        <f>+'Metodo Simplificado'!G7</f>
        <v>1811175.7170212772</v>
      </c>
    </row>
    <row r="41" spans="1:5" x14ac:dyDescent="0.25">
      <c r="A41" s="291"/>
      <c r="B41" s="294"/>
      <c r="C41" s="299"/>
      <c r="D41" s="183" t="str">
        <f>+'Metodo Simplificado'!C8</f>
        <v>Tiempo perdido trabajador que ayudo en el accidente</v>
      </c>
      <c r="E41" s="186">
        <f>+'Metodo Simplificado'!G8</f>
        <v>810985.76666666614</v>
      </c>
    </row>
    <row r="42" spans="1:5" x14ac:dyDescent="0.25">
      <c r="A42" s="291"/>
      <c r="B42" s="294"/>
      <c r="C42" s="299"/>
      <c r="D42" s="183" t="str">
        <f>+'Metodo Simplificado'!C11</f>
        <v>Tiempo del personal que atendió la emergencia en la empresa</v>
      </c>
      <c r="E42" s="186">
        <f>+'Metodo Simplificado'!G11</f>
        <v>7024166.666666666</v>
      </c>
    </row>
    <row r="43" spans="1:5" x14ac:dyDescent="0.25">
      <c r="A43" s="291"/>
      <c r="B43" s="294"/>
      <c r="C43" s="299"/>
      <c r="D43" s="183" t="str">
        <f>+'Metodo Simplificado'!C12</f>
        <v>Tiempo de paro de otros trabajadores</v>
      </c>
      <c r="E43" s="186">
        <f>+'Metodo Simplificado'!G12</f>
        <v>7200416.6666666651</v>
      </c>
    </row>
    <row r="44" spans="1:5" x14ac:dyDescent="0.25">
      <c r="A44" s="291"/>
      <c r="B44" s="294"/>
      <c r="C44" s="299"/>
      <c r="D44" s="183" t="str">
        <f>+'Metodo Simplificado'!C13</f>
        <v>Tiempo de paro de mandos medios  y directores</v>
      </c>
      <c r="E44" s="186">
        <f>+'Metodo Simplificado'!G13</f>
        <v>34687083.333333336</v>
      </c>
    </row>
    <row r="45" spans="1:5" x14ac:dyDescent="0.25">
      <c r="A45" s="291"/>
      <c r="B45" s="294"/>
      <c r="C45" s="299"/>
      <c r="D45" s="183" t="str">
        <f>+'Metodo Simplificado'!C14</f>
        <v>Tiempo de ineficiencia - Puesta en marcha</v>
      </c>
      <c r="E45" s="186">
        <f>+'Metodo Simplificado'!G14</f>
        <v>3315416.6666666665</v>
      </c>
    </row>
    <row r="46" spans="1:5" x14ac:dyDescent="0.25">
      <c r="A46" s="291"/>
      <c r="B46" s="294"/>
      <c r="C46" s="299"/>
      <c r="D46" s="183" t="str">
        <f>+'Metodo Simplificado'!C15</f>
        <v>Tiempo dedicado por personal de gestión humana (Of. Personal)</v>
      </c>
      <c r="E46" s="186">
        <f>+'Metodo Simplificado'!G15</f>
        <v>225000</v>
      </c>
    </row>
    <row r="47" spans="1:5" x14ac:dyDescent="0.25">
      <c r="A47" s="291"/>
      <c r="B47" s="294"/>
      <c r="C47" s="299"/>
      <c r="D47" s="183" t="str">
        <f>+'Metodo Simplificado'!C16</f>
        <v>Tiempo dedicado al accidente por personal de mantenimiento</v>
      </c>
      <c r="E47" s="186">
        <f>+'Metodo Simplificado'!G16</f>
        <v>252291.66666666669</v>
      </c>
    </row>
    <row r="48" spans="1:5" x14ac:dyDescent="0.25">
      <c r="A48" s="291"/>
      <c r="B48" s="294"/>
      <c r="C48" s="299"/>
      <c r="D48" s="183" t="str">
        <f>+'Metodo Simplificado'!C17</f>
        <v>Tiempo dedicado al accidente por la administración</v>
      </c>
      <c r="E48" s="186">
        <f>+'Metodo Simplificado'!G17</f>
        <v>1006250.0000000001</v>
      </c>
    </row>
    <row r="49" spans="1:5" x14ac:dyDescent="0.25">
      <c r="A49" s="291"/>
      <c r="B49" s="294"/>
      <c r="C49" s="299"/>
      <c r="D49" s="183" t="str">
        <f>+'Metodo Simplificado'!C18</f>
        <v>Tiempo investigación + informe del accidente</v>
      </c>
      <c r="E49" s="186">
        <f>+'Metodo Simplificado'!G18</f>
        <v>151018333.33333337</v>
      </c>
    </row>
    <row r="50" spans="1:5" x14ac:dyDescent="0.25">
      <c r="A50" s="291"/>
      <c r="B50" s="294"/>
      <c r="C50" s="299"/>
      <c r="D50" s="183" t="str">
        <f>+'Metodo Simplificado'!C19</f>
        <v>Tiempo de seguimiento a la implementación de los controles</v>
      </c>
      <c r="E50" s="186">
        <f>+'Metodo Simplificado'!G19</f>
        <v>1403749.9999999998</v>
      </c>
    </row>
    <row r="51" spans="1:5" x14ac:dyDescent="0.25">
      <c r="A51" s="291"/>
      <c r="B51" s="294"/>
      <c r="C51" s="299"/>
      <c r="D51" s="183" t="str">
        <f>+'Metodo Simplificado'!C20</f>
        <v>Tiempo empleado de entrenamiento en formar el nuevo trabajador</v>
      </c>
      <c r="E51" s="186">
        <f>+'Metodo Simplificado'!G20</f>
        <v>370000</v>
      </c>
    </row>
    <row r="52" spans="1:5" x14ac:dyDescent="0.25">
      <c r="A52" s="291"/>
      <c r="B52" s="294"/>
      <c r="C52" s="299"/>
      <c r="D52" s="183" t="str">
        <f>+'Metodo Simplificado'!C21</f>
        <v>Tiempo de aseguramiento del área</v>
      </c>
      <c r="E52" s="186">
        <f>+'Metodo Simplificado'!G21</f>
        <v>604166.66666666663</v>
      </c>
    </row>
    <row r="53" spans="1:5" x14ac:dyDescent="0.25">
      <c r="A53" s="291"/>
      <c r="B53" s="294"/>
      <c r="C53" s="299"/>
      <c r="D53" s="183" t="str">
        <f>+'Metodo Simplificado'!C22</f>
        <v>Tiempo en tramites administrativos derivados del accidente</v>
      </c>
      <c r="E53" s="186">
        <f>+'Metodo Simplificado'!G22</f>
        <v>221666.66666666677</v>
      </c>
    </row>
    <row r="54" spans="1:5" x14ac:dyDescent="0.25">
      <c r="A54" s="291"/>
      <c r="B54" s="294"/>
      <c r="C54" s="299"/>
      <c r="D54" s="183" t="str">
        <f>+'Metodo Simplificado'!C23</f>
        <v>Tiempo de evaluación de daños</v>
      </c>
      <c r="E54" s="186">
        <f>+'Metodo Simplificado'!G23</f>
        <v>239166.66666666669</v>
      </c>
    </row>
    <row r="55" spans="1:5" x14ac:dyDescent="0.25">
      <c r="A55" s="291"/>
      <c r="B55" s="294"/>
      <c r="C55" s="299"/>
      <c r="D55" s="183" t="str">
        <f>+'Metodo Simplificado'!C24</f>
        <v>Tiempo de coordinación para la reparación de daños</v>
      </c>
      <c r="E55" s="186">
        <f>+'Metodo Simplificado'!G23</f>
        <v>239166.66666666669</v>
      </c>
    </row>
    <row r="56" spans="1:5" x14ac:dyDescent="0.25">
      <c r="A56" s="291"/>
      <c r="B56" s="294"/>
      <c r="C56" s="299"/>
      <c r="D56" s="183" t="str">
        <f>+'Metodo Simplificado'!C27</f>
        <v>Tiempo de atención de funcionarios del gobierno</v>
      </c>
      <c r="E56" s="186">
        <f>+'Metodo Simplificado'!G27</f>
        <v>29458.333333333332</v>
      </c>
    </row>
    <row r="57" spans="1:5" x14ac:dyDescent="0.25">
      <c r="A57" s="291"/>
      <c r="B57" s="294"/>
      <c r="C57" s="299"/>
      <c r="D57" s="183" t="str">
        <f>+'Metodo Simplificado'!C28</f>
        <v>Tiempo para el cambio de procesos y procedimientos</v>
      </c>
      <c r="E57" s="186">
        <f>+'Metodo Simplificado'!G28</f>
        <v>76008750</v>
      </c>
    </row>
    <row r="58" spans="1:5" x14ac:dyDescent="0.25">
      <c r="A58" s="291"/>
      <c r="B58" s="294"/>
      <c r="C58" s="299"/>
      <c r="D58" s="183" t="str">
        <f>+'Metodo Simplificado'!C29</f>
        <v>Tiempo empleado en instrucciones en formar el nuevo trabajador</v>
      </c>
      <c r="E58" s="186">
        <f>+'Metodo Simplificado'!G29</f>
        <v>811249.99999999988</v>
      </c>
    </row>
    <row r="59" spans="1:5" x14ac:dyDescent="0.25">
      <c r="A59" s="291"/>
      <c r="B59" s="294"/>
      <c r="C59" s="299"/>
      <c r="D59" s="184" t="str">
        <f>+'Metodo Simplificado'!C44</f>
        <v>Costos por maquilas (Reemplazos)</v>
      </c>
      <c r="E59" s="186">
        <f>+'Metodo Simplificado'!G44</f>
        <v>0</v>
      </c>
    </row>
    <row r="60" spans="1:5" x14ac:dyDescent="0.25">
      <c r="A60" s="291"/>
      <c r="B60" s="294"/>
      <c r="C60" s="299"/>
      <c r="D60" s="184" t="str">
        <f>+'Metodo Simplificado'!C59</f>
        <v>Horas extras diurnas</v>
      </c>
      <c r="E60" s="186">
        <f>+'Metodo Simplificado'!G59</f>
        <v>0</v>
      </c>
    </row>
    <row r="61" spans="1:5" x14ac:dyDescent="0.25">
      <c r="A61" s="291"/>
      <c r="B61" s="294"/>
      <c r="C61" s="299"/>
      <c r="D61" s="184" t="str">
        <f>+'Metodo Simplificado'!C60</f>
        <v>Horas extras nocturnas</v>
      </c>
      <c r="E61" s="186">
        <f>+'Metodo Simplificado'!G60</f>
        <v>0</v>
      </c>
    </row>
    <row r="62" spans="1:5" x14ac:dyDescent="0.25">
      <c r="A62" s="291"/>
      <c r="B62" s="294"/>
      <c r="C62" s="299"/>
      <c r="D62" s="184" t="str">
        <f>+'Metodo Simplificado'!C61</f>
        <v>Sustitutos o personal temporal</v>
      </c>
      <c r="E62" s="186">
        <f>+'Metodo Simplificado'!G61</f>
        <v>10574440.399999999</v>
      </c>
    </row>
    <row r="63" spans="1:5" x14ac:dyDescent="0.25">
      <c r="A63" s="291"/>
      <c r="B63" s="294"/>
      <c r="C63" s="299"/>
      <c r="D63" s="184" t="str">
        <f>+'Metodo Simplificado'!C66</f>
        <v xml:space="preserve">Gastos por seguridad  social durante incapacidad </v>
      </c>
      <c r="E63" s="186">
        <f>+'Metodo Simplificado'!G66</f>
        <v>0</v>
      </c>
    </row>
    <row r="64" spans="1:5" x14ac:dyDescent="0.25">
      <c r="A64" s="291"/>
      <c r="B64" s="294"/>
      <c r="C64" s="299"/>
      <c r="D64" s="184" t="str">
        <f>+'Metodo Simplificado'!C67</f>
        <v>Gastos por aplicar restricciones medicas</v>
      </c>
      <c r="E64" s="186">
        <f>+'Metodo Simplificado'!G67</f>
        <v>1701364.2553191488</v>
      </c>
    </row>
    <row r="65" spans="1:5" x14ac:dyDescent="0.25">
      <c r="A65" s="291"/>
      <c r="B65" s="294"/>
      <c r="C65" s="299"/>
      <c r="D65" s="184" t="str">
        <f>+'Metodo Simplificado'!C70</f>
        <v>Gastos contratación sustitutos</v>
      </c>
      <c r="E65" s="186">
        <f>+'Metodo Simplificado'!G70</f>
        <v>107500</v>
      </c>
    </row>
    <row r="66" spans="1:5" x14ac:dyDescent="0.25">
      <c r="A66" s="291"/>
      <c r="B66" s="294"/>
      <c r="C66" s="299"/>
      <c r="D66" s="184" t="str">
        <f>+'Metodo Simplificado'!C73</f>
        <v>Salario no asumido por el seguro</v>
      </c>
      <c r="E66" s="186">
        <f>+'Metodo Simplificado'!G73</f>
        <v>0</v>
      </c>
    </row>
    <row r="67" spans="1:5" x14ac:dyDescent="0.25">
      <c r="A67" s="291"/>
      <c r="B67" s="294"/>
      <c r="C67" s="299"/>
      <c r="D67" s="184" t="str">
        <f>+'Metodo Simplificado'!C74</f>
        <v>Gastos por subcontratación servicios</v>
      </c>
      <c r="E67" s="186">
        <f>+'Metodo Simplificado'!G74</f>
        <v>88333.333333333328</v>
      </c>
    </row>
    <row r="68" spans="1:5" x14ac:dyDescent="0.25">
      <c r="A68" s="291"/>
      <c r="B68" s="294"/>
      <c r="C68" s="299"/>
      <c r="D68" s="184" t="str">
        <f>+'Metodo Simplificado'!C79</f>
        <v>Costos de aprendizaje del sustituto</v>
      </c>
      <c r="E68" s="186">
        <f>+'Metodo Simplificado'!G79</f>
        <v>0</v>
      </c>
    </row>
    <row r="69" spans="1:5" x14ac:dyDescent="0.25">
      <c r="A69" s="291"/>
      <c r="B69" s="294"/>
      <c r="C69" s="183" t="s">
        <v>639</v>
      </c>
      <c r="D69" s="182"/>
      <c r="E69" s="187"/>
    </row>
    <row r="70" spans="1:5" x14ac:dyDescent="0.25">
      <c r="A70" s="291"/>
      <c r="B70" s="294"/>
      <c r="C70" s="183" t="s">
        <v>642</v>
      </c>
      <c r="D70" s="182"/>
      <c r="E70" s="187"/>
    </row>
    <row r="71" spans="1:5" x14ac:dyDescent="0.25">
      <c r="A71" s="291"/>
      <c r="B71" s="294"/>
      <c r="C71" s="183" t="s">
        <v>643</v>
      </c>
      <c r="D71" s="182"/>
      <c r="E71" s="187"/>
    </row>
    <row r="72" spans="1:5" x14ac:dyDescent="0.25">
      <c r="A72" s="291"/>
      <c r="B72" s="294"/>
      <c r="C72" s="183" t="s">
        <v>644</v>
      </c>
      <c r="D72" s="183"/>
      <c r="E72" s="188"/>
    </row>
    <row r="73" spans="1:5" x14ac:dyDescent="0.25">
      <c r="A73" s="291"/>
      <c r="B73" s="294"/>
      <c r="C73" s="183" t="s">
        <v>645</v>
      </c>
      <c r="D73" s="182"/>
      <c r="E73" s="187"/>
    </row>
    <row r="74" spans="1:5" x14ac:dyDescent="0.25">
      <c r="A74" s="291"/>
      <c r="B74" s="294"/>
      <c r="C74" s="183" t="s">
        <v>646</v>
      </c>
      <c r="D74" s="182"/>
      <c r="E74" s="187"/>
    </row>
    <row r="75" spans="1:5" x14ac:dyDescent="0.25">
      <c r="A75" s="291"/>
      <c r="B75" s="294"/>
      <c r="C75" s="183" t="s">
        <v>647</v>
      </c>
      <c r="D75" s="182"/>
      <c r="E75" s="187"/>
    </row>
    <row r="76" spans="1:5" x14ac:dyDescent="0.25">
      <c r="A76" s="291"/>
      <c r="B76" s="294"/>
      <c r="C76" s="299" t="s">
        <v>648</v>
      </c>
      <c r="D76" s="183" t="str">
        <f>+'Metodo Simplificado'!C33</f>
        <v>Costo de las materias primas averiadas</v>
      </c>
      <c r="E76" s="186">
        <f>+'Metodo Simplificado'!G33</f>
        <v>0</v>
      </c>
    </row>
    <row r="77" spans="1:5" x14ac:dyDescent="0.25">
      <c r="A77" s="291"/>
      <c r="B77" s="294"/>
      <c r="C77" s="299"/>
      <c r="D77" s="183" t="str">
        <f>+'Metodo Simplificado'!C41</f>
        <v>Costos de otros materiales de producción</v>
      </c>
      <c r="E77" s="186">
        <f>+'Metodo Simplificado'!G41</f>
        <v>0</v>
      </c>
    </row>
    <row r="78" spans="1:5" x14ac:dyDescent="0.25">
      <c r="A78" s="291"/>
      <c r="B78" s="294"/>
      <c r="C78" s="183" t="s">
        <v>653</v>
      </c>
      <c r="D78" s="182"/>
      <c r="E78" s="187"/>
    </row>
    <row r="79" spans="1:5" x14ac:dyDescent="0.25">
      <c r="A79" s="291"/>
      <c r="B79" s="294"/>
      <c r="C79" s="183" t="s">
        <v>654</v>
      </c>
      <c r="D79" s="182"/>
      <c r="E79" s="187"/>
    </row>
    <row r="80" spans="1:5" x14ac:dyDescent="0.25">
      <c r="A80" s="291"/>
      <c r="B80" s="294"/>
      <c r="C80" s="183" t="s">
        <v>656</v>
      </c>
      <c r="D80" s="183" t="str">
        <f>+'Metodo Simplificado'!C44</f>
        <v>Costos por maquilas (Reemplazos)</v>
      </c>
      <c r="E80" s="186">
        <f>+'Metodo Simplificado'!G44</f>
        <v>0</v>
      </c>
    </row>
    <row r="81" spans="1:5" x14ac:dyDescent="0.25">
      <c r="A81" s="291"/>
      <c r="B81" s="294"/>
      <c r="C81" s="299" t="s">
        <v>657</v>
      </c>
      <c r="D81" s="183" t="str">
        <f>+'Metodo Simplificado'!C62</f>
        <v>Gastos por traslados de urgencia (asumidos por la empresa)</v>
      </c>
      <c r="E81" s="186">
        <f>+'Metodo Simplificado'!G62</f>
        <v>500000</v>
      </c>
    </row>
    <row r="82" spans="1:5" x14ac:dyDescent="0.25">
      <c r="A82" s="291"/>
      <c r="B82" s="294"/>
      <c r="C82" s="299"/>
      <c r="D82" s="183" t="str">
        <f>+'Metodo Simplificado'!C63</f>
        <v>Gastos por otros traslados</v>
      </c>
      <c r="E82" s="186">
        <f>+'Metodo Simplificado'!G63</f>
        <v>0</v>
      </c>
    </row>
    <row r="83" spans="1:5" ht="15.75" thickBot="1" x14ac:dyDescent="0.3">
      <c r="A83" s="292"/>
      <c r="B83" s="295"/>
      <c r="C83" s="196" t="s">
        <v>658</v>
      </c>
      <c r="D83" s="197"/>
      <c r="E83" s="140"/>
    </row>
    <row r="84" spans="1:5" ht="15.75" thickBot="1" x14ac:dyDescent="0.3">
      <c r="A84" s="282" t="s">
        <v>161</v>
      </c>
      <c r="B84" s="283"/>
      <c r="C84" s="283"/>
      <c r="D84" s="283"/>
      <c r="E84" s="198">
        <f>SUM(E39:E83)</f>
        <v>369753632.80567384</v>
      </c>
    </row>
    <row r="85" spans="1:5" ht="45.75" thickBot="1" x14ac:dyDescent="0.3">
      <c r="A85" s="199">
        <v>14</v>
      </c>
      <c r="B85" s="200" t="s">
        <v>731</v>
      </c>
      <c r="C85" s="201" t="s">
        <v>173</v>
      </c>
      <c r="D85" s="201" t="str">
        <f>+'Metodo Simplificado'!C35</f>
        <v>Costo de producto terminado o semiterminado averiado</v>
      </c>
      <c r="E85" s="202">
        <f>'Metodo Simplificado'!G35</f>
        <v>0</v>
      </c>
    </row>
    <row r="86" spans="1:5" ht="15.75" thickBot="1" x14ac:dyDescent="0.3">
      <c r="A86" s="282" t="s">
        <v>161</v>
      </c>
      <c r="B86" s="283"/>
      <c r="C86" s="283"/>
      <c r="D86" s="283"/>
      <c r="E86" s="198">
        <f>SUM(E85:E85)</f>
        <v>0</v>
      </c>
    </row>
    <row r="87" spans="1:5" x14ac:dyDescent="0.25">
      <c r="A87" s="300">
        <v>15</v>
      </c>
      <c r="B87" s="303" t="s">
        <v>732</v>
      </c>
      <c r="C87" s="194" t="s">
        <v>735</v>
      </c>
      <c r="D87" s="203"/>
      <c r="E87" s="204"/>
    </row>
    <row r="88" spans="1:5" x14ac:dyDescent="0.25">
      <c r="A88" s="301"/>
      <c r="B88" s="304"/>
      <c r="C88" s="11" t="s">
        <v>736</v>
      </c>
      <c r="D88" s="156"/>
      <c r="E88" s="188"/>
    </row>
    <row r="89" spans="1:5" x14ac:dyDescent="0.25">
      <c r="A89" s="301"/>
      <c r="B89" s="304"/>
      <c r="C89" s="11" t="s">
        <v>737</v>
      </c>
      <c r="D89" s="156"/>
      <c r="E89" s="188"/>
    </row>
    <row r="90" spans="1:5" x14ac:dyDescent="0.25">
      <c r="A90" s="301"/>
      <c r="B90" s="304"/>
      <c r="C90" s="11" t="s">
        <v>738</v>
      </c>
      <c r="D90" s="156"/>
      <c r="E90" s="188"/>
    </row>
    <row r="91" spans="1:5" x14ac:dyDescent="0.25">
      <c r="A91" s="301"/>
      <c r="B91" s="304"/>
      <c r="C91" s="11" t="s">
        <v>739</v>
      </c>
      <c r="D91" s="156" t="str">
        <f>+'Metodo Simplificado'!C34</f>
        <v>Costos de daños a equipos o herramientas</v>
      </c>
      <c r="E91" s="188">
        <f>+'Metodo Simplificado'!G34</f>
        <v>115000</v>
      </c>
    </row>
    <row r="92" spans="1:5" x14ac:dyDescent="0.25">
      <c r="A92" s="301"/>
      <c r="B92" s="304"/>
      <c r="C92" s="11"/>
      <c r="D92" s="183" t="str">
        <f>+'Metodo Simplificado'!C39</f>
        <v>Costos de otros bienes</v>
      </c>
      <c r="E92" s="186">
        <f>+'Metodo Simplificado'!G39</f>
        <v>0</v>
      </c>
    </row>
    <row r="93" spans="1:5" x14ac:dyDescent="0.25">
      <c r="A93" s="301"/>
      <c r="B93" s="304"/>
      <c r="C93" s="11"/>
      <c r="D93" s="183" t="str">
        <f>+'Metodo Simplificado'!C40</f>
        <v>Costos de bienes y daños a terceros</v>
      </c>
      <c r="E93" s="186">
        <f>+'Metodo Simplificado'!G40</f>
        <v>0</v>
      </c>
    </row>
    <row r="94" spans="1:5" x14ac:dyDescent="0.25">
      <c r="A94" s="301"/>
      <c r="B94" s="304"/>
      <c r="C94" s="11"/>
      <c r="D94" s="183" t="str">
        <f>+'Metodo Simplificado'!C43</f>
        <v>Costos de reposición de bienes (no incluidos en el seguro)</v>
      </c>
      <c r="E94" s="186">
        <f>+'Metodo Simplificado'!G43</f>
        <v>0</v>
      </c>
    </row>
    <row r="95" spans="1:5" x14ac:dyDescent="0.25">
      <c r="A95" s="301"/>
      <c r="B95" s="304"/>
      <c r="C95" s="11" t="s">
        <v>740</v>
      </c>
      <c r="D95" s="156"/>
      <c r="E95" s="188"/>
    </row>
    <row r="96" spans="1:5" x14ac:dyDescent="0.25">
      <c r="A96" s="301"/>
      <c r="B96" s="304"/>
      <c r="C96" s="11" t="s">
        <v>741</v>
      </c>
      <c r="D96" s="156"/>
      <c r="E96" s="188"/>
    </row>
    <row r="97" spans="1:5" x14ac:dyDescent="0.25">
      <c r="A97" s="301"/>
      <c r="B97" s="304"/>
      <c r="C97" s="11" t="s">
        <v>742</v>
      </c>
      <c r="D97" s="156"/>
      <c r="E97" s="188"/>
    </row>
    <row r="98" spans="1:5" ht="15.75" thickBot="1" x14ac:dyDescent="0.3">
      <c r="A98" s="302"/>
      <c r="B98" s="305"/>
      <c r="C98" s="24" t="s">
        <v>743</v>
      </c>
      <c r="D98" s="205"/>
      <c r="E98" s="206"/>
    </row>
    <row r="99" spans="1:5" ht="15.75" thickBot="1" x14ac:dyDescent="0.3">
      <c r="A99" s="282" t="s">
        <v>161</v>
      </c>
      <c r="B99" s="283"/>
      <c r="C99" s="283"/>
      <c r="D99" s="283"/>
      <c r="E99" s="198">
        <f>SUM(E87:E98)</f>
        <v>115000</v>
      </c>
    </row>
    <row r="100" spans="1:5" x14ac:dyDescent="0.25">
      <c r="A100" s="306" t="s">
        <v>733</v>
      </c>
      <c r="B100" s="309" t="s">
        <v>734</v>
      </c>
      <c r="C100" s="194" t="s">
        <v>706</v>
      </c>
      <c r="D100" s="194" t="str">
        <f>+'Metodo Simplificado'!C9</f>
        <v>Tiempo de paro del proceso (A partir del primer día)</v>
      </c>
      <c r="E100" s="195">
        <f>+'Metodo Simplificado'!G9</f>
        <v>11379042.44042553</v>
      </c>
    </row>
    <row r="101" spans="1:5" x14ac:dyDescent="0.25">
      <c r="A101" s="307"/>
      <c r="B101" s="310"/>
      <c r="C101" s="183" t="s">
        <v>707</v>
      </c>
      <c r="D101" s="183" t="str">
        <f>+'Metodo Simplificado'!C10</f>
        <v>Tiempo de baja productividad (Por la ausencia del trabajador)</v>
      </c>
      <c r="E101" s="186">
        <f>+'Metodo Simplificado'!G10</f>
        <v>0</v>
      </c>
    </row>
    <row r="102" spans="1:5" x14ac:dyDescent="0.25">
      <c r="A102" s="307"/>
      <c r="B102" s="310"/>
      <c r="C102" s="183" t="s">
        <v>704</v>
      </c>
      <c r="D102" s="183" t="str">
        <f>+'Metodo Simplificado'!C48</f>
        <v xml:space="preserve">Perdidas por paralización parcial </v>
      </c>
      <c r="E102" s="186">
        <f>+'Metodo Simplificado'!G48</f>
        <v>60598660</v>
      </c>
    </row>
    <row r="103" spans="1:5" x14ac:dyDescent="0.25">
      <c r="A103" s="307"/>
      <c r="B103" s="310"/>
      <c r="C103" s="183" t="s">
        <v>705</v>
      </c>
      <c r="D103" s="183" t="str">
        <f>+'Metodo Simplificado'!C49</f>
        <v>Perdidas por volúmenes de ventas afectado</v>
      </c>
      <c r="E103" s="186">
        <f>+'Metodo Simplificado'!G49</f>
        <v>0</v>
      </c>
    </row>
    <row r="104" spans="1:5" x14ac:dyDescent="0.25">
      <c r="A104" s="307"/>
      <c r="B104" s="310"/>
      <c r="C104" s="183" t="s">
        <v>708</v>
      </c>
      <c r="D104" s="183" t="str">
        <f>+'Metodo Simplificado'!C50</f>
        <v xml:space="preserve">Perdidas por paralización total del proceso </v>
      </c>
      <c r="E104" s="186">
        <f>+'Metodo Simplificado'!G50</f>
        <v>0</v>
      </c>
    </row>
    <row r="105" spans="1:5" x14ac:dyDescent="0.25">
      <c r="A105" s="307"/>
      <c r="B105" s="310"/>
      <c r="C105" s="183" t="s">
        <v>709</v>
      </c>
      <c r="D105" s="183" t="str">
        <f>+'Metodo Simplificado'!C51</f>
        <v>Perdidas por efectos cuello de botella (Retrasos)</v>
      </c>
      <c r="E105" s="186">
        <f>+'Metodo Simplificado'!G51</f>
        <v>0</v>
      </c>
    </row>
    <row r="106" spans="1:5" x14ac:dyDescent="0.25">
      <c r="A106" s="307"/>
      <c r="B106" s="310"/>
      <c r="C106" s="11" t="s">
        <v>710</v>
      </c>
      <c r="D106" s="183" t="str">
        <f>+'Metodo Simplificado'!C53</f>
        <v>Perdidas por bajo rendimiento</v>
      </c>
      <c r="E106" s="186">
        <f>+'Metodo Simplificado'!G53</f>
        <v>0</v>
      </c>
    </row>
    <row r="107" spans="1:5" x14ac:dyDescent="0.25">
      <c r="A107" s="307"/>
      <c r="B107" s="310"/>
      <c r="C107" s="11" t="s">
        <v>711</v>
      </c>
      <c r="D107" s="183" t="str">
        <f>+'Metodo Simplificado'!C55</f>
        <v>Perdida pedidos en cartera no iniciados</v>
      </c>
      <c r="E107" s="186">
        <f>+'Metodo Simplificado'!G55</f>
        <v>0</v>
      </c>
    </row>
    <row r="108" spans="1:5" x14ac:dyDescent="0.25">
      <c r="A108" s="307"/>
      <c r="B108" s="310"/>
      <c r="C108" s="11" t="s">
        <v>712</v>
      </c>
      <c r="D108" s="183" t="str">
        <f>+'Metodo Simplificado'!C93</f>
        <v>Perdida de imagen (Perdida de clientes, mala publicidad, etc.)</v>
      </c>
      <c r="E108" s="186">
        <f>+'Metodo Simplificado'!G93</f>
        <v>0</v>
      </c>
    </row>
    <row r="109" spans="1:5" ht="15" customHeight="1" x14ac:dyDescent="0.25">
      <c r="A109" s="307"/>
      <c r="B109" s="310"/>
      <c r="C109" s="11" t="s">
        <v>713</v>
      </c>
      <c r="D109" s="183" t="str">
        <f>+'Metodo Simplificado'!C94</f>
        <v>Perdida de mercado (Cancelación de contratos, multas, etc.)</v>
      </c>
      <c r="E109" s="186">
        <f>+'Metodo Simplificado'!G94</f>
        <v>0</v>
      </c>
    </row>
    <row r="110" spans="1:5" ht="15" customHeight="1" x14ac:dyDescent="0.25">
      <c r="A110" s="307"/>
      <c r="B110" s="310"/>
      <c r="C110" s="11" t="s">
        <v>714</v>
      </c>
      <c r="D110" s="183" t="str">
        <f>+'Metodo Simplificado'!C95</f>
        <v>Conflictos laborales</v>
      </c>
      <c r="E110" s="186">
        <f>+'Metodo Simplificado'!G95</f>
        <v>0</v>
      </c>
    </row>
    <row r="111" spans="1:5" ht="15" customHeight="1" x14ac:dyDescent="0.25">
      <c r="A111" s="307"/>
      <c r="B111" s="310"/>
      <c r="C111" s="11" t="s">
        <v>715</v>
      </c>
      <c r="D111" s="183" t="str">
        <f>+'Metodo Simplificado'!C96</f>
        <v>Disminución moral</v>
      </c>
      <c r="E111" s="186">
        <f>+'Metodo Simplificado'!G96</f>
        <v>0</v>
      </c>
    </row>
    <row r="112" spans="1:5" ht="15" customHeight="1" x14ac:dyDescent="0.25">
      <c r="A112" s="307"/>
      <c r="B112" s="310"/>
      <c r="C112" s="185" t="s">
        <v>716</v>
      </c>
      <c r="D112" s="183" t="str">
        <f>+'Metodo Simplificado'!C97</f>
        <v>Costos de dolor y sufrimiento</v>
      </c>
      <c r="E112" s="186">
        <f>+'Metodo Simplificado'!G97</f>
        <v>0</v>
      </c>
    </row>
    <row r="113" spans="1:5" ht="15" customHeight="1" x14ac:dyDescent="0.25">
      <c r="A113" s="307"/>
      <c r="B113" s="310"/>
      <c r="C113" s="185" t="s">
        <v>717</v>
      </c>
      <c r="D113" s="183" t="str">
        <f>+'Metodo Simplificado'!C98</f>
        <v>Costo de no cumplimiento de metas (ventas)</v>
      </c>
      <c r="E113" s="186">
        <f>+'Metodo Simplificado'!G98</f>
        <v>0</v>
      </c>
    </row>
    <row r="114" spans="1:5" ht="15" customHeight="1" x14ac:dyDescent="0.25">
      <c r="A114" s="307"/>
      <c r="B114" s="310"/>
      <c r="C114" s="185" t="s">
        <v>718</v>
      </c>
      <c r="D114" s="183"/>
      <c r="E114" s="186"/>
    </row>
    <row r="115" spans="1:5" x14ac:dyDescent="0.25">
      <c r="A115" s="307"/>
      <c r="B115" s="310"/>
      <c r="C115" s="185" t="s">
        <v>816</v>
      </c>
      <c r="D115" s="183"/>
      <c r="E115" s="186"/>
    </row>
    <row r="116" spans="1:5" x14ac:dyDescent="0.25">
      <c r="A116" s="307"/>
      <c r="B116" s="310"/>
      <c r="C116" s="185" t="s">
        <v>719</v>
      </c>
      <c r="D116" s="183"/>
      <c r="E116" s="186"/>
    </row>
    <row r="117" spans="1:5" x14ac:dyDescent="0.25">
      <c r="A117" s="307"/>
      <c r="B117" s="310"/>
      <c r="C117" s="185" t="s">
        <v>720</v>
      </c>
      <c r="D117" s="183"/>
      <c r="E117" s="186"/>
    </row>
    <row r="118" spans="1:5" x14ac:dyDescent="0.25">
      <c r="A118" s="307"/>
      <c r="B118" s="310"/>
      <c r="C118" s="185" t="s">
        <v>721</v>
      </c>
      <c r="D118" s="183"/>
      <c r="E118" s="186"/>
    </row>
    <row r="119" spans="1:5" x14ac:dyDescent="0.25">
      <c r="A119" s="307"/>
      <c r="B119" s="310"/>
      <c r="C119" s="185" t="s">
        <v>722</v>
      </c>
      <c r="D119" s="183"/>
      <c r="E119" s="186"/>
    </row>
    <row r="120" spans="1:5" x14ac:dyDescent="0.25">
      <c r="A120" s="307"/>
      <c r="B120" s="310"/>
      <c r="C120" s="185" t="s">
        <v>723</v>
      </c>
      <c r="D120" s="183"/>
      <c r="E120" s="186"/>
    </row>
    <row r="121" spans="1:5" x14ac:dyDescent="0.25">
      <c r="A121" s="307"/>
      <c r="B121" s="310"/>
      <c r="C121" s="185" t="s">
        <v>724</v>
      </c>
      <c r="D121" s="183"/>
      <c r="E121" s="186"/>
    </row>
    <row r="122" spans="1:5" x14ac:dyDescent="0.25">
      <c r="A122" s="307"/>
      <c r="B122" s="310"/>
      <c r="C122" s="185" t="s">
        <v>725</v>
      </c>
      <c r="D122" s="183"/>
      <c r="E122" s="186"/>
    </row>
    <row r="123" spans="1:5" x14ac:dyDescent="0.25">
      <c r="A123" s="307"/>
      <c r="B123" s="310"/>
      <c r="C123" s="185" t="s">
        <v>726</v>
      </c>
      <c r="D123" s="183"/>
      <c r="E123" s="186"/>
    </row>
    <row r="124" spans="1:5" x14ac:dyDescent="0.25">
      <c r="A124" s="307"/>
      <c r="B124" s="310"/>
      <c r="C124" s="183" t="s">
        <v>744</v>
      </c>
      <c r="D124" s="183"/>
      <c r="E124" s="186"/>
    </row>
    <row r="125" spans="1:5" ht="15.75" thickBot="1" x14ac:dyDescent="0.3">
      <c r="A125" s="308"/>
      <c r="B125" s="311"/>
      <c r="C125" s="196" t="s">
        <v>745</v>
      </c>
      <c r="D125" s="197"/>
      <c r="E125" s="208"/>
    </row>
    <row r="126" spans="1:5" ht="15.75" customHeight="1" thickBot="1" x14ac:dyDescent="0.3">
      <c r="A126" s="296" t="s">
        <v>161</v>
      </c>
      <c r="B126" s="297"/>
      <c r="C126" s="297"/>
      <c r="D126" s="297"/>
      <c r="E126" s="207">
        <f>SUM(E100:E124)</f>
        <v>71977702.44042553</v>
      </c>
    </row>
    <row r="127" spans="1:5" x14ac:dyDescent="0.25">
      <c r="A127" s="37"/>
      <c r="B127" s="37"/>
      <c r="C127" s="37"/>
      <c r="D127" s="153"/>
      <c r="E127" s="37"/>
    </row>
    <row r="128" spans="1:5" x14ac:dyDescent="0.25">
      <c r="A128" s="37"/>
      <c r="B128" s="37"/>
      <c r="C128" s="37"/>
      <c r="D128" s="153"/>
      <c r="E128" s="37"/>
    </row>
    <row r="129" spans="1:5" x14ac:dyDescent="0.25">
      <c r="A129" s="37"/>
      <c r="B129" s="37"/>
      <c r="C129" s="37"/>
      <c r="D129" s="153"/>
      <c r="E129" s="37"/>
    </row>
    <row r="130" spans="1:5" x14ac:dyDescent="0.25">
      <c r="A130" s="37"/>
      <c r="B130" s="37"/>
      <c r="C130" s="37"/>
      <c r="D130" s="153"/>
      <c r="E130" s="37"/>
    </row>
    <row r="131" spans="1:5" x14ac:dyDescent="0.25">
      <c r="A131" s="37"/>
      <c r="B131" s="37"/>
      <c r="C131" s="37"/>
      <c r="D131" s="153"/>
      <c r="E131" s="37"/>
    </row>
    <row r="132" spans="1:5" x14ac:dyDescent="0.25">
      <c r="A132" s="37"/>
      <c r="B132" s="37"/>
      <c r="C132" s="85"/>
      <c r="D132" s="109"/>
      <c r="E132" s="37"/>
    </row>
    <row r="133" spans="1:5" ht="15.75" customHeight="1" x14ac:dyDescent="0.25">
      <c r="A133" s="83"/>
      <c r="B133" s="83"/>
      <c r="C133" s="84"/>
      <c r="D133" s="166"/>
      <c r="E133" s="37"/>
    </row>
    <row r="134" spans="1:5" x14ac:dyDescent="0.25">
      <c r="A134" s="83"/>
      <c r="B134" s="83"/>
      <c r="C134" s="84"/>
      <c r="D134" s="166"/>
      <c r="E134" s="37"/>
    </row>
    <row r="135" spans="1:5" ht="15.75" customHeight="1" x14ac:dyDescent="0.25">
      <c r="A135" s="86"/>
      <c r="B135" s="86"/>
      <c r="C135" s="37"/>
      <c r="D135" s="153"/>
      <c r="E135" s="37"/>
    </row>
    <row r="136" spans="1:5" x14ac:dyDescent="0.25">
      <c r="A136" s="86"/>
      <c r="B136" s="86"/>
      <c r="C136" s="37"/>
      <c r="D136" s="153"/>
      <c r="E136" s="37"/>
    </row>
    <row r="137" spans="1:5" x14ac:dyDescent="0.25">
      <c r="A137" s="37"/>
      <c r="B137" s="37"/>
      <c r="C137" s="37"/>
      <c r="D137" s="153"/>
      <c r="E137" s="37"/>
    </row>
    <row r="138" spans="1:5" x14ac:dyDescent="0.25">
      <c r="A138" s="86"/>
      <c r="B138" s="86"/>
      <c r="C138" s="37"/>
      <c r="D138" s="153"/>
      <c r="E138" s="37"/>
    </row>
    <row r="139" spans="1:5" x14ac:dyDescent="0.25">
      <c r="A139" s="86"/>
      <c r="B139" s="86"/>
      <c r="C139" s="37"/>
      <c r="D139" s="153"/>
      <c r="E139" s="37"/>
    </row>
    <row r="140" spans="1:5" x14ac:dyDescent="0.25">
      <c r="A140" s="86"/>
      <c r="B140" s="86"/>
      <c r="C140" s="37"/>
      <c r="D140" s="153"/>
      <c r="E140" s="37"/>
    </row>
    <row r="141" spans="1:5" x14ac:dyDescent="0.25">
      <c r="A141" s="37"/>
      <c r="B141" s="37"/>
      <c r="C141" s="85"/>
      <c r="D141" s="109"/>
      <c r="E141" s="37"/>
    </row>
    <row r="143" spans="1:5" x14ac:dyDescent="0.25">
      <c r="C143" s="5"/>
      <c r="D143" s="9"/>
    </row>
  </sheetData>
  <mergeCells count="23">
    <mergeCell ref="A126:D126"/>
    <mergeCell ref="C5:C6"/>
    <mergeCell ref="C12:C17"/>
    <mergeCell ref="C18:C22"/>
    <mergeCell ref="C26:C27"/>
    <mergeCell ref="C32:C36"/>
    <mergeCell ref="C39:C68"/>
    <mergeCell ref="C76:C77"/>
    <mergeCell ref="C81:C82"/>
    <mergeCell ref="A87:A98"/>
    <mergeCell ref="B87:B98"/>
    <mergeCell ref="A100:A125"/>
    <mergeCell ref="B100:B125"/>
    <mergeCell ref="A86:D86"/>
    <mergeCell ref="A84:D84"/>
    <mergeCell ref="A38:D38"/>
    <mergeCell ref="A99:D99"/>
    <mergeCell ref="A1:E1"/>
    <mergeCell ref="A2:E2"/>
    <mergeCell ref="A5:A37"/>
    <mergeCell ref="B5:B37"/>
    <mergeCell ref="A39:A83"/>
    <mergeCell ref="B39:B83"/>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N50"/>
  <sheetViews>
    <sheetView showGridLines="0" topLeftCell="A28" workbookViewId="0">
      <selection activeCell="F50" sqref="F50"/>
    </sheetView>
  </sheetViews>
  <sheetFormatPr baseColWidth="10" defaultRowHeight="15" x14ac:dyDescent="0.25"/>
  <cols>
    <col min="2" max="2" width="24.5703125" customWidth="1"/>
    <col min="3" max="3" width="30" customWidth="1"/>
    <col min="4" max="4" width="30.42578125" customWidth="1"/>
    <col min="5" max="5" width="30" customWidth="1"/>
    <col min="6" max="6" width="18.5703125" customWidth="1"/>
    <col min="7" max="7" width="1.42578125" customWidth="1"/>
    <col min="9" max="9" width="24.140625" customWidth="1"/>
    <col min="10" max="10" width="30" customWidth="1"/>
    <col min="11" max="11" width="33" customWidth="1"/>
    <col min="12" max="12" width="30" customWidth="1"/>
    <col min="13" max="13" width="17.28515625" customWidth="1"/>
  </cols>
  <sheetData>
    <row r="1" spans="1:14" ht="32.25" thickBot="1" x14ac:dyDescent="0.55000000000000004">
      <c r="A1" s="337" t="s">
        <v>172</v>
      </c>
      <c r="B1" s="338"/>
      <c r="C1" s="338"/>
      <c r="D1" s="338"/>
      <c r="E1" s="338"/>
      <c r="F1" s="338"/>
      <c r="G1" s="338"/>
      <c r="H1" s="338"/>
      <c r="I1" s="338"/>
      <c r="J1" s="338"/>
      <c r="K1" s="338"/>
      <c r="L1" s="338"/>
      <c r="M1" s="339"/>
      <c r="N1" s="32"/>
    </row>
    <row r="2" spans="1:14" ht="32.25" thickBot="1" x14ac:dyDescent="0.55000000000000004">
      <c r="A2" s="16"/>
      <c r="B2" s="16"/>
      <c r="C2" s="16"/>
      <c r="D2" s="16"/>
      <c r="E2" s="16"/>
      <c r="F2" s="16"/>
      <c r="G2" s="16"/>
      <c r="H2" s="16"/>
      <c r="I2" s="16"/>
      <c r="J2" s="16"/>
      <c r="K2" s="16"/>
      <c r="L2" s="16"/>
      <c r="M2" s="16"/>
      <c r="N2" s="37"/>
    </row>
    <row r="3" spans="1:14" ht="60" customHeight="1" thickBot="1" x14ac:dyDescent="0.55000000000000004">
      <c r="A3" s="16"/>
      <c r="B3" s="347" t="s">
        <v>791</v>
      </c>
      <c r="C3" s="348"/>
      <c r="D3" s="348"/>
      <c r="E3" s="349"/>
      <c r="F3" s="16"/>
      <c r="G3" s="16"/>
      <c r="I3" s="347" t="s">
        <v>692</v>
      </c>
      <c r="J3" s="348"/>
      <c r="K3" s="348"/>
      <c r="L3" s="349"/>
      <c r="M3" s="37"/>
    </row>
    <row r="4" spans="1:14" ht="15" customHeight="1" x14ac:dyDescent="0.5">
      <c r="A4" s="16"/>
      <c r="B4" s="364" t="s">
        <v>194</v>
      </c>
      <c r="C4" s="365"/>
      <c r="D4" s="365"/>
      <c r="E4" s="366"/>
      <c r="F4" s="16"/>
      <c r="G4" s="16"/>
      <c r="H4" s="16"/>
      <c r="I4" s="364" t="s">
        <v>195</v>
      </c>
      <c r="J4" s="365"/>
      <c r="K4" s="365"/>
      <c r="L4" s="365"/>
      <c r="M4" s="44"/>
    </row>
    <row r="5" spans="1:14" ht="15.75" thickBot="1" x14ac:dyDescent="0.3">
      <c r="B5" s="367"/>
      <c r="C5" s="368"/>
      <c r="D5" s="368"/>
      <c r="E5" s="369"/>
      <c r="I5" s="367"/>
      <c r="J5" s="368"/>
      <c r="K5" s="368"/>
      <c r="L5" s="368"/>
      <c r="M5" s="43"/>
    </row>
    <row r="6" spans="1:14" ht="15.75" thickBot="1" x14ac:dyDescent="0.3">
      <c r="A6" s="17" t="s">
        <v>806</v>
      </c>
      <c r="B6" s="18" t="s">
        <v>187</v>
      </c>
      <c r="C6" s="18" t="s">
        <v>188</v>
      </c>
      <c r="D6" s="18" t="s">
        <v>189</v>
      </c>
      <c r="E6" s="18" t="s">
        <v>192</v>
      </c>
      <c r="F6" s="19" t="s">
        <v>159</v>
      </c>
      <c r="G6" s="25"/>
      <c r="H6" s="134" t="s">
        <v>806</v>
      </c>
      <c r="I6" s="18" t="s">
        <v>187</v>
      </c>
      <c r="J6" s="18" t="s">
        <v>188</v>
      </c>
      <c r="K6" s="18" t="s">
        <v>189</v>
      </c>
      <c r="L6" s="18" t="s">
        <v>192</v>
      </c>
      <c r="M6" s="19" t="s">
        <v>159</v>
      </c>
    </row>
    <row r="7" spans="1:14" x14ac:dyDescent="0.25">
      <c r="A7" s="315" t="s">
        <v>191</v>
      </c>
      <c r="B7" s="371" t="s">
        <v>817</v>
      </c>
      <c r="C7" s="20" t="s">
        <v>173</v>
      </c>
      <c r="D7" s="114" t="s">
        <v>818</v>
      </c>
      <c r="E7" s="22"/>
      <c r="F7" s="318">
        <f>(C8/D8)*365</f>
        <v>4.8313860247559388</v>
      </c>
      <c r="G7" s="26"/>
      <c r="H7" s="316" t="s">
        <v>191</v>
      </c>
      <c r="I7" s="371" t="s">
        <v>819</v>
      </c>
      <c r="J7" s="20" t="s">
        <v>173</v>
      </c>
      <c r="K7" s="21" t="s">
        <v>818</v>
      </c>
      <c r="L7" s="22"/>
      <c r="M7" s="318">
        <f>(J8/K8)*365</f>
        <v>4.8459328120072946</v>
      </c>
    </row>
    <row r="8" spans="1:14" x14ac:dyDescent="0.25">
      <c r="A8" s="316"/>
      <c r="B8" s="320"/>
      <c r="C8" s="107">
        <v>1630428000</v>
      </c>
      <c r="D8" s="113">
        <f>110236564000+5586060000+2460349000+1141737000+488787000+415097000+2560908000+285549000</f>
        <v>123175051000</v>
      </c>
      <c r="E8" s="14"/>
      <c r="F8" s="319"/>
      <c r="G8" s="26"/>
      <c r="H8" s="316"/>
      <c r="I8" s="320"/>
      <c r="J8" s="108">
        <f>C8-'Total Costos'!E86</f>
        <v>1630428000</v>
      </c>
      <c r="K8" s="113">
        <f>D8-'Total Costos'!E84</f>
        <v>122805297367.19432</v>
      </c>
      <c r="L8" s="14"/>
      <c r="M8" s="319"/>
    </row>
    <row r="9" spans="1:14" x14ac:dyDescent="0.25">
      <c r="A9" s="316"/>
      <c r="B9" s="320" t="s">
        <v>979</v>
      </c>
      <c r="C9" s="12" t="s">
        <v>190</v>
      </c>
      <c r="D9" s="13" t="s">
        <v>818</v>
      </c>
      <c r="E9" s="11"/>
      <c r="F9" s="319">
        <f>(C10/D10)*365</f>
        <v>27.182213628634912</v>
      </c>
      <c r="G9" s="26"/>
      <c r="H9" s="316"/>
      <c r="I9" s="320" t="s">
        <v>980</v>
      </c>
      <c r="J9" s="12" t="s">
        <v>190</v>
      </c>
      <c r="K9" s="13" t="s">
        <v>818</v>
      </c>
      <c r="L9" s="11"/>
      <c r="M9" s="319">
        <f>(J10/K10)*365</f>
        <v>27.264056370376217</v>
      </c>
    </row>
    <row r="10" spans="1:14" x14ac:dyDescent="0.25">
      <c r="A10" s="316"/>
      <c r="B10" s="320"/>
      <c r="C10" s="15">
        <v>9173070000</v>
      </c>
      <c r="D10" s="113">
        <f>+D8</f>
        <v>123175051000</v>
      </c>
      <c r="E10" s="14"/>
      <c r="F10" s="319"/>
      <c r="G10" s="26"/>
      <c r="H10" s="316"/>
      <c r="I10" s="320"/>
      <c r="J10" s="15">
        <f>+C10</f>
        <v>9173070000</v>
      </c>
      <c r="K10" s="113">
        <f>+K8</f>
        <v>122805297367.19432</v>
      </c>
      <c r="L10" s="14"/>
      <c r="M10" s="319"/>
    </row>
    <row r="11" spans="1:14" x14ac:dyDescent="0.25">
      <c r="A11" s="316"/>
      <c r="B11" s="327" t="s">
        <v>820</v>
      </c>
      <c r="C11" s="12" t="s">
        <v>174</v>
      </c>
      <c r="D11" s="13" t="s">
        <v>175</v>
      </c>
      <c r="E11" s="11"/>
      <c r="F11" s="321">
        <f>+C12/D12</f>
        <v>3.5066945567448746</v>
      </c>
      <c r="G11" s="27"/>
      <c r="H11" s="316"/>
      <c r="I11" s="327" t="s">
        <v>821</v>
      </c>
      <c r="J11" s="12" t="s">
        <v>174</v>
      </c>
      <c r="K11" s="13" t="s">
        <v>175</v>
      </c>
      <c r="L11" s="11"/>
      <c r="M11" s="321">
        <f>+J12/K12</f>
        <v>3.5066945567448746</v>
      </c>
    </row>
    <row r="12" spans="1:14" x14ac:dyDescent="0.25">
      <c r="A12" s="316"/>
      <c r="B12" s="327"/>
      <c r="C12" s="107">
        <v>146552347000</v>
      </c>
      <c r="D12" s="15">
        <v>41792162000</v>
      </c>
      <c r="E12" s="11"/>
      <c r="F12" s="321"/>
      <c r="G12" s="27"/>
      <c r="H12" s="316"/>
      <c r="I12" s="327"/>
      <c r="J12" s="107">
        <f>C12-'Total Costos'!E86</f>
        <v>146552347000</v>
      </c>
      <c r="K12" s="15">
        <f>+D12</f>
        <v>41792162000</v>
      </c>
      <c r="L12" s="11"/>
      <c r="M12" s="321"/>
    </row>
    <row r="13" spans="1:14" x14ac:dyDescent="0.25">
      <c r="A13" s="316"/>
      <c r="B13" s="327" t="s">
        <v>981</v>
      </c>
      <c r="C13" s="12" t="s">
        <v>176</v>
      </c>
      <c r="D13" s="13" t="s">
        <v>177</v>
      </c>
      <c r="E13" s="13" t="s">
        <v>175</v>
      </c>
      <c r="F13" s="321">
        <f>(C14+D14)/E14</f>
        <v>1.7465958329698281</v>
      </c>
      <c r="G13" s="27"/>
      <c r="H13" s="316"/>
      <c r="I13" s="327" t="s">
        <v>982</v>
      </c>
      <c r="J13" s="12" t="s">
        <v>176</v>
      </c>
      <c r="K13" s="13" t="s">
        <v>177</v>
      </c>
      <c r="L13" s="13" t="s">
        <v>175</v>
      </c>
      <c r="M13" s="321">
        <f>(J14+K14)/L14</f>
        <v>1.7467482140151864</v>
      </c>
    </row>
    <row r="14" spans="1:14" x14ac:dyDescent="0.25">
      <c r="A14" s="316"/>
      <c r="B14" s="327"/>
      <c r="C14" s="115">
        <v>45228345000</v>
      </c>
      <c r="D14" s="15">
        <v>27765671000</v>
      </c>
      <c r="E14" s="14">
        <f>+D12</f>
        <v>41792162000</v>
      </c>
      <c r="F14" s="321"/>
      <c r="G14" s="27"/>
      <c r="H14" s="316"/>
      <c r="I14" s="327"/>
      <c r="J14" s="115">
        <f>C14+'Total Costos'!E38</f>
        <v>45234713333.333336</v>
      </c>
      <c r="K14" s="15">
        <f>+D14</f>
        <v>27765671000</v>
      </c>
      <c r="L14" s="14">
        <f>+E14</f>
        <v>41792162000</v>
      </c>
      <c r="M14" s="321"/>
    </row>
    <row r="15" spans="1:14" x14ac:dyDescent="0.25">
      <c r="A15" s="316"/>
      <c r="B15" s="322" t="s">
        <v>202</v>
      </c>
      <c r="C15" s="12" t="s">
        <v>818</v>
      </c>
      <c r="D15" s="13" t="s">
        <v>193</v>
      </c>
      <c r="E15" s="11"/>
      <c r="F15" s="324">
        <f>C16/D16</f>
        <v>75.547678891677521</v>
      </c>
      <c r="G15" s="27"/>
      <c r="H15" s="316"/>
      <c r="I15" s="322" t="s">
        <v>203</v>
      </c>
      <c r="J15" s="12" t="s">
        <v>818</v>
      </c>
      <c r="K15" s="13" t="s">
        <v>193</v>
      </c>
      <c r="L15" s="11"/>
      <c r="M15" s="324">
        <f>J16/K16</f>
        <v>75.320895720138708</v>
      </c>
    </row>
    <row r="16" spans="1:14" x14ac:dyDescent="0.25">
      <c r="A16" s="316"/>
      <c r="B16" s="323"/>
      <c r="C16" s="116">
        <f>+D8</f>
        <v>123175051000</v>
      </c>
      <c r="D16" s="107">
        <f>+C8</f>
        <v>1630428000</v>
      </c>
      <c r="E16" s="11"/>
      <c r="F16" s="324"/>
      <c r="G16" s="27"/>
      <c r="H16" s="316"/>
      <c r="I16" s="323"/>
      <c r="J16" s="116">
        <f>+K8</f>
        <v>122805297367.19432</v>
      </c>
      <c r="K16" s="107">
        <f>+J8</f>
        <v>1630428000</v>
      </c>
      <c r="L16" s="11"/>
      <c r="M16" s="324"/>
    </row>
    <row r="17" spans="1:14" x14ac:dyDescent="0.25">
      <c r="A17" s="316"/>
      <c r="B17" s="335" t="s">
        <v>984</v>
      </c>
      <c r="C17" s="15" t="s">
        <v>628</v>
      </c>
      <c r="D17" s="15" t="s">
        <v>175</v>
      </c>
      <c r="E17" s="11"/>
      <c r="F17" s="328">
        <f>+C18-D18</f>
        <v>104760185000</v>
      </c>
      <c r="G17" s="27"/>
      <c r="H17" s="316"/>
      <c r="I17" s="335" t="s">
        <v>985</v>
      </c>
      <c r="J17" s="15" t="s">
        <v>628</v>
      </c>
      <c r="K17" s="15" t="s">
        <v>175</v>
      </c>
      <c r="L17" s="11"/>
      <c r="M17" s="328">
        <f>+J18-K18</f>
        <v>104760185000</v>
      </c>
    </row>
    <row r="18" spans="1:14" x14ac:dyDescent="0.25">
      <c r="A18" s="316"/>
      <c r="B18" s="336"/>
      <c r="C18" s="107">
        <f>+C12</f>
        <v>146552347000</v>
      </c>
      <c r="D18" s="15">
        <f>+D12</f>
        <v>41792162000</v>
      </c>
      <c r="E18" s="11"/>
      <c r="F18" s="329"/>
      <c r="G18" s="27"/>
      <c r="H18" s="316"/>
      <c r="I18" s="336"/>
      <c r="J18" s="107">
        <f>+J12</f>
        <v>146552347000</v>
      </c>
      <c r="K18" s="15">
        <f>+K12</f>
        <v>41792162000</v>
      </c>
      <c r="L18" s="11"/>
      <c r="M18" s="329"/>
    </row>
    <row r="19" spans="1:14" ht="17.25" customHeight="1" x14ac:dyDescent="0.25">
      <c r="A19" s="316"/>
      <c r="B19" s="322" t="s">
        <v>626</v>
      </c>
      <c r="C19" s="12" t="s">
        <v>818</v>
      </c>
      <c r="D19" s="103" t="s">
        <v>190</v>
      </c>
      <c r="E19" s="11"/>
      <c r="F19" s="324">
        <f>C20/D20</f>
        <v>13.427898293592003</v>
      </c>
      <c r="G19" s="26"/>
      <c r="H19" s="316"/>
      <c r="I19" s="322" t="s">
        <v>626</v>
      </c>
      <c r="J19" s="12" t="s">
        <v>818</v>
      </c>
      <c r="K19" s="103" t="s">
        <v>190</v>
      </c>
      <c r="L19" s="11"/>
      <c r="M19" s="324">
        <f>J20/K20</f>
        <v>13.387589691040658</v>
      </c>
    </row>
    <row r="20" spans="1:14" ht="17.25" customHeight="1" thickBot="1" x14ac:dyDescent="0.3">
      <c r="A20" s="317"/>
      <c r="B20" s="325"/>
      <c r="C20" s="117">
        <f>+D8</f>
        <v>123175051000</v>
      </c>
      <c r="D20" s="23">
        <f>+C10</f>
        <v>9173070000</v>
      </c>
      <c r="E20" s="24"/>
      <c r="F20" s="326"/>
      <c r="G20" s="26"/>
      <c r="H20" s="370"/>
      <c r="I20" s="325"/>
      <c r="J20" s="117">
        <f>+K8</f>
        <v>122805297367.19432</v>
      </c>
      <c r="K20" s="23">
        <f>+J10</f>
        <v>9173070000</v>
      </c>
      <c r="L20" s="24"/>
      <c r="M20" s="326"/>
    </row>
    <row r="21" spans="1:14" x14ac:dyDescent="0.25">
      <c r="A21" s="312" t="s">
        <v>196</v>
      </c>
      <c r="B21" s="335" t="s">
        <v>987</v>
      </c>
      <c r="C21" s="119" t="s">
        <v>699</v>
      </c>
      <c r="D21" s="128" t="s">
        <v>197</v>
      </c>
      <c r="E21" s="119"/>
      <c r="F21" s="344">
        <f>C22/D22</f>
        <v>0.43275920304034116</v>
      </c>
      <c r="H21" s="340" t="s">
        <v>196</v>
      </c>
      <c r="I21" s="335" t="s">
        <v>986</v>
      </c>
      <c r="J21" s="120" t="s">
        <v>699</v>
      </c>
      <c r="K21" s="122" t="s">
        <v>197</v>
      </c>
      <c r="L21" s="28"/>
      <c r="M21" s="343">
        <f>J22/K22</f>
        <v>0.43291078280338802</v>
      </c>
      <c r="N21" s="32"/>
    </row>
    <row r="22" spans="1:14" x14ac:dyDescent="0.25">
      <c r="A22" s="313"/>
      <c r="B22" s="336"/>
      <c r="C22" s="163">
        <f>199753003000+5884988000</f>
        <v>205637991000</v>
      </c>
      <c r="D22" s="123">
        <v>475178782000</v>
      </c>
      <c r="E22" s="12"/>
      <c r="F22" s="321"/>
      <c r="H22" s="341"/>
      <c r="I22" s="336"/>
      <c r="J22" s="164">
        <f>C22+'Total Costos'!E126</f>
        <v>205709968702.44043</v>
      </c>
      <c r="K22" s="124">
        <f>D22-'Total Costos'!E86-'Total Costos'!E99</f>
        <v>475178667000</v>
      </c>
      <c r="L22" s="28"/>
      <c r="M22" s="344"/>
      <c r="N22" s="32"/>
    </row>
    <row r="23" spans="1:14" ht="30" x14ac:dyDescent="0.25">
      <c r="A23" s="313"/>
      <c r="B23" s="345" t="s">
        <v>988</v>
      </c>
      <c r="C23" s="120" t="s">
        <v>699</v>
      </c>
      <c r="D23" s="29" t="s">
        <v>198</v>
      </c>
      <c r="E23" s="12"/>
      <c r="F23" s="328">
        <f>C24/D24</f>
        <v>84208841.523341522</v>
      </c>
      <c r="G23" s="30"/>
      <c r="H23" s="341"/>
      <c r="I23" s="345" t="s">
        <v>989</v>
      </c>
      <c r="J23" s="120" t="s">
        <v>699</v>
      </c>
      <c r="K23" s="29" t="s">
        <v>198</v>
      </c>
      <c r="L23" s="28"/>
      <c r="M23" s="328">
        <f>J24/K24</f>
        <v>84238316.421965778</v>
      </c>
      <c r="N23" s="32"/>
    </row>
    <row r="24" spans="1:14" x14ac:dyDescent="0.25">
      <c r="A24" s="313"/>
      <c r="B24" s="345"/>
      <c r="C24" s="164">
        <f>+C22</f>
        <v>205637991000</v>
      </c>
      <c r="D24" s="125">
        <v>2442</v>
      </c>
      <c r="E24" s="12"/>
      <c r="F24" s="329"/>
      <c r="G24" s="30"/>
      <c r="H24" s="341"/>
      <c r="I24" s="345"/>
      <c r="J24" s="164">
        <f>+J22</f>
        <v>205709968702.44043</v>
      </c>
      <c r="K24" s="125">
        <f>+D24</f>
        <v>2442</v>
      </c>
      <c r="L24" s="28"/>
      <c r="M24" s="329"/>
      <c r="N24" s="32"/>
    </row>
    <row r="25" spans="1:14" x14ac:dyDescent="0.25">
      <c r="A25" s="313"/>
      <c r="B25" s="335" t="s">
        <v>991</v>
      </c>
      <c r="C25" s="12" t="s">
        <v>699</v>
      </c>
      <c r="D25" s="12" t="s">
        <v>179</v>
      </c>
      <c r="E25" s="12"/>
      <c r="F25" s="324">
        <f>C26/D26</f>
        <v>0.58487695803830597</v>
      </c>
      <c r="H25" s="341"/>
      <c r="I25" s="335" t="s">
        <v>990</v>
      </c>
      <c r="J25" s="120" t="s">
        <v>699</v>
      </c>
      <c r="K25" s="12" t="s">
        <v>179</v>
      </c>
      <c r="L25" s="28"/>
      <c r="M25" s="330">
        <f>J26/K26</f>
        <v>0.5850816775040294</v>
      </c>
      <c r="N25" s="32"/>
    </row>
    <row r="26" spans="1:14" ht="15.75" thickBot="1" x14ac:dyDescent="0.3">
      <c r="A26" s="314"/>
      <c r="B26" s="346"/>
      <c r="C26" s="165">
        <f>+C22</f>
        <v>205637991000</v>
      </c>
      <c r="D26" s="23">
        <v>351591883000</v>
      </c>
      <c r="E26" s="42"/>
      <c r="F26" s="330"/>
      <c r="H26" s="342"/>
      <c r="I26" s="346"/>
      <c r="J26" s="165">
        <f>+J22</f>
        <v>205709968702.44043</v>
      </c>
      <c r="K26" s="23">
        <f>+D26</f>
        <v>351591883000</v>
      </c>
      <c r="L26" s="36"/>
      <c r="M26" s="334"/>
      <c r="N26" s="32"/>
    </row>
    <row r="27" spans="1:14" ht="15" customHeight="1" x14ac:dyDescent="0.25">
      <c r="A27" s="313" t="s">
        <v>199</v>
      </c>
      <c r="B27" s="352" t="s">
        <v>992</v>
      </c>
      <c r="C27" s="33" t="s">
        <v>180</v>
      </c>
      <c r="D27" s="127" t="s">
        <v>181</v>
      </c>
      <c r="E27" s="20"/>
      <c r="F27" s="350">
        <f>C28/D28</f>
        <v>0.26008505362935164</v>
      </c>
      <c r="G27" s="32"/>
      <c r="H27" s="313" t="s">
        <v>199</v>
      </c>
      <c r="I27" s="352" t="s">
        <v>993</v>
      </c>
      <c r="J27" s="33" t="s">
        <v>180</v>
      </c>
      <c r="K27" s="128" t="s">
        <v>181</v>
      </c>
      <c r="L27" s="41"/>
      <c r="M27" s="350">
        <f>J28/K28</f>
        <v>0.26008511657363609</v>
      </c>
    </row>
    <row r="28" spans="1:14" x14ac:dyDescent="0.25">
      <c r="A28" s="313"/>
      <c r="B28" s="336"/>
      <c r="C28" s="126">
        <v>123586899000</v>
      </c>
      <c r="D28" s="124">
        <f>+D22</f>
        <v>475178782000</v>
      </c>
      <c r="E28" s="12"/>
      <c r="F28" s="351"/>
      <c r="G28" s="32"/>
      <c r="H28" s="313"/>
      <c r="I28" s="336"/>
      <c r="J28" s="15">
        <f>+C28</f>
        <v>123586899000</v>
      </c>
      <c r="K28" s="124">
        <f>+K22</f>
        <v>475178667000</v>
      </c>
      <c r="L28" s="28"/>
      <c r="M28" s="351"/>
    </row>
    <row r="29" spans="1:14" x14ac:dyDescent="0.25">
      <c r="A29" s="313"/>
      <c r="B29" s="335" t="s">
        <v>995</v>
      </c>
      <c r="C29" s="104" t="s">
        <v>629</v>
      </c>
      <c r="D29" s="122" t="s">
        <v>627</v>
      </c>
      <c r="E29" s="102"/>
      <c r="F29" s="330">
        <f>+C30/D30</f>
        <v>0.28516883458713904</v>
      </c>
      <c r="G29" s="32"/>
      <c r="H29" s="313"/>
      <c r="I29" s="335" t="s">
        <v>994</v>
      </c>
      <c r="J29" s="102" t="s">
        <v>629</v>
      </c>
      <c r="K29" s="122" t="s">
        <v>627</v>
      </c>
      <c r="L29" s="102"/>
      <c r="M29" s="330">
        <f>+J30/K30</f>
        <v>0.28516883458713904</v>
      </c>
    </row>
    <row r="30" spans="1:14" x14ac:dyDescent="0.25">
      <c r="A30" s="313"/>
      <c r="B30" s="336"/>
      <c r="C30" s="15">
        <f>+D12</f>
        <v>41792162000</v>
      </c>
      <c r="D30" s="15">
        <f>+C12</f>
        <v>146552347000</v>
      </c>
      <c r="E30" s="102"/>
      <c r="F30" s="331"/>
      <c r="G30" s="32"/>
      <c r="H30" s="313"/>
      <c r="I30" s="336"/>
      <c r="J30" s="15">
        <f>+K12</f>
        <v>41792162000</v>
      </c>
      <c r="K30" s="15">
        <f>+J12</f>
        <v>146552347000</v>
      </c>
      <c r="L30" s="102"/>
      <c r="M30" s="331"/>
    </row>
    <row r="31" spans="1:14" x14ac:dyDescent="0.25">
      <c r="A31" s="313"/>
      <c r="B31" s="332" t="s">
        <v>996</v>
      </c>
      <c r="C31" s="130" t="s">
        <v>700</v>
      </c>
      <c r="D31" s="129" t="s">
        <v>182</v>
      </c>
      <c r="E31" s="12"/>
      <c r="F31" s="330">
        <f>C32/D32</f>
        <v>4.8250791332442784</v>
      </c>
      <c r="H31" s="313"/>
      <c r="I31" s="332" t="s">
        <v>999</v>
      </c>
      <c r="J31" s="130" t="s">
        <v>700</v>
      </c>
      <c r="K31" s="129" t="s">
        <v>182</v>
      </c>
      <c r="L31" s="28"/>
      <c r="M31" s="330">
        <f>J32/K32</f>
        <v>4.8830625661157798</v>
      </c>
    </row>
    <row r="32" spans="1:14" x14ac:dyDescent="0.25">
      <c r="A32" s="313"/>
      <c r="B32" s="332"/>
      <c r="C32" s="15">
        <f>+C28</f>
        <v>123586899000</v>
      </c>
      <c r="D32" s="115">
        <f>10192333000+886414000+13114994000+1419704000</f>
        <v>25613445000</v>
      </c>
      <c r="E32" s="12"/>
      <c r="F32" s="331"/>
      <c r="H32" s="313"/>
      <c r="I32" s="332"/>
      <c r="J32" s="15">
        <f>+C32</f>
        <v>123586899000</v>
      </c>
      <c r="K32" s="115">
        <f>D32+'Total Costos'!E126-'Total Costos'!E38-'Total Costos'!E84</f>
        <v>25309300736.301418</v>
      </c>
      <c r="L32" s="28"/>
      <c r="M32" s="331"/>
    </row>
    <row r="33" spans="1:14" x14ac:dyDescent="0.25">
      <c r="A33" s="313"/>
      <c r="B33" s="332" t="s">
        <v>997</v>
      </c>
      <c r="C33" s="129" t="s">
        <v>182</v>
      </c>
      <c r="D33" s="12" t="s">
        <v>183</v>
      </c>
      <c r="E33" s="12"/>
      <c r="F33" s="330">
        <f>C34/D34</f>
        <v>43.334689651321945</v>
      </c>
      <c r="H33" s="313"/>
      <c r="I33" s="332" t="s">
        <v>1000</v>
      </c>
      <c r="J33" s="129" t="s">
        <v>182</v>
      </c>
      <c r="K33" s="12" t="s">
        <v>183</v>
      </c>
      <c r="L33" s="28"/>
      <c r="M33" s="330">
        <f>J34/K34</f>
        <v>42.820116259237913</v>
      </c>
    </row>
    <row r="34" spans="1:14" x14ac:dyDescent="0.25">
      <c r="A34" s="313"/>
      <c r="B34" s="332"/>
      <c r="C34" s="115">
        <f>D32</f>
        <v>25613445000</v>
      </c>
      <c r="D34" s="15">
        <v>591061000</v>
      </c>
      <c r="E34" s="12"/>
      <c r="F34" s="331"/>
      <c r="G34" s="37"/>
      <c r="H34" s="313"/>
      <c r="I34" s="332"/>
      <c r="J34" s="115">
        <f>K32</f>
        <v>25309300736.301418</v>
      </c>
      <c r="K34" s="15">
        <f>+D34</f>
        <v>591061000</v>
      </c>
      <c r="L34" s="28"/>
      <c r="M34" s="331"/>
    </row>
    <row r="35" spans="1:14" x14ac:dyDescent="0.25">
      <c r="A35" s="313"/>
      <c r="B35" s="332" t="s">
        <v>998</v>
      </c>
      <c r="C35" s="129" t="s">
        <v>182</v>
      </c>
      <c r="D35" s="12" t="s">
        <v>183</v>
      </c>
      <c r="E35" s="12" t="s">
        <v>822</v>
      </c>
      <c r="F35" s="330">
        <f>C36/(D36+E36)</f>
        <v>12.738159357259551</v>
      </c>
      <c r="G35" s="32"/>
      <c r="H35" s="313"/>
      <c r="I35" s="332" t="s">
        <v>1001</v>
      </c>
      <c r="J35" s="129" t="s">
        <v>182</v>
      </c>
      <c r="K35" s="12" t="s">
        <v>183</v>
      </c>
      <c r="L35" s="12" t="s">
        <v>822</v>
      </c>
      <c r="M35" s="330">
        <f>J36/(K36+L36)</f>
        <v>12.586901371518511</v>
      </c>
      <c r="N35" s="32"/>
    </row>
    <row r="36" spans="1:14" ht="15.75" thickBot="1" x14ac:dyDescent="0.3">
      <c r="A36" s="314"/>
      <c r="B36" s="333"/>
      <c r="C36" s="131">
        <f>D32</f>
        <v>25613445000</v>
      </c>
      <c r="D36" s="23">
        <f>D34</f>
        <v>591061000</v>
      </c>
      <c r="E36" s="23">
        <v>1419704000</v>
      </c>
      <c r="F36" s="334"/>
      <c r="G36" s="32"/>
      <c r="H36" s="314"/>
      <c r="I36" s="333"/>
      <c r="J36" s="133">
        <f>K32</f>
        <v>25309300736.301418</v>
      </c>
      <c r="K36" s="132">
        <f>K34</f>
        <v>591061000</v>
      </c>
      <c r="L36" s="23">
        <f>+E36</f>
        <v>1419704000</v>
      </c>
      <c r="M36" s="334"/>
      <c r="N36" s="32"/>
    </row>
    <row r="37" spans="1:14" x14ac:dyDescent="0.25">
      <c r="A37" s="355" t="s">
        <v>200</v>
      </c>
      <c r="B37" s="345" t="s">
        <v>1002</v>
      </c>
      <c r="C37" s="129" t="s">
        <v>186</v>
      </c>
      <c r="D37" s="33" t="s">
        <v>184</v>
      </c>
      <c r="E37" s="12"/>
      <c r="F37" s="356">
        <f t="shared" ref="F37" si="0">C38/D38</f>
        <v>4.8409454190502625E-2</v>
      </c>
      <c r="H37" s="313" t="s">
        <v>200</v>
      </c>
      <c r="I37" s="360" t="s">
        <v>1008</v>
      </c>
      <c r="J37" s="129" t="s">
        <v>186</v>
      </c>
      <c r="K37" s="33" t="s">
        <v>184</v>
      </c>
      <c r="L37" s="28"/>
      <c r="M37" s="356">
        <f t="shared" ref="M37" si="1">J38/K38</f>
        <v>4.7047516013862978E-2</v>
      </c>
    </row>
    <row r="38" spans="1:14" x14ac:dyDescent="0.25">
      <c r="A38" s="355"/>
      <c r="B38" s="345"/>
      <c r="C38" s="115">
        <f>199753003000-189560670000</f>
        <v>10192333000</v>
      </c>
      <c r="D38" s="116">
        <v>210544266000</v>
      </c>
      <c r="E38" s="12"/>
      <c r="F38" s="357"/>
      <c r="H38" s="313"/>
      <c r="I38" s="361"/>
      <c r="J38" s="115">
        <f>C38+'Total Costos'!E126-'Total Costos'!E38-'Total Costos'!E84</f>
        <v>9888188736.3014183</v>
      </c>
      <c r="K38" s="116">
        <f>D38-'Total Costos'!E84</f>
        <v>210174512367.19434</v>
      </c>
      <c r="L38" s="28"/>
      <c r="M38" s="356"/>
    </row>
    <row r="39" spans="1:14" x14ac:dyDescent="0.25">
      <c r="A39" s="355"/>
      <c r="B39" s="345" t="s">
        <v>1003</v>
      </c>
      <c r="C39" s="129" t="s">
        <v>182</v>
      </c>
      <c r="D39" s="33" t="s">
        <v>184</v>
      </c>
      <c r="E39" s="12"/>
      <c r="F39" s="356">
        <f t="shared" ref="F39" si="2">C40/D40</f>
        <v>0.12165349114755754</v>
      </c>
      <c r="H39" s="313"/>
      <c r="I39" s="361" t="s">
        <v>1009</v>
      </c>
      <c r="J39" s="129" t="s">
        <v>182</v>
      </c>
      <c r="K39" s="33" t="s">
        <v>184</v>
      </c>
      <c r="L39" s="28"/>
      <c r="M39" s="358">
        <f t="shared" ref="M39" si="3">J40/K40</f>
        <v>0.12042040897939008</v>
      </c>
    </row>
    <row r="40" spans="1:14" x14ac:dyDescent="0.25">
      <c r="A40" s="355"/>
      <c r="B40" s="345"/>
      <c r="C40" s="115">
        <f>+D32</f>
        <v>25613445000</v>
      </c>
      <c r="D40" s="116">
        <f>+D38</f>
        <v>210544266000</v>
      </c>
      <c r="E40" s="12"/>
      <c r="F40" s="356"/>
      <c r="H40" s="313"/>
      <c r="I40" s="361"/>
      <c r="J40" s="115">
        <f>+J36</f>
        <v>25309300736.301418</v>
      </c>
      <c r="K40" s="116">
        <f>+K38</f>
        <v>210174512367.19434</v>
      </c>
      <c r="L40" s="28"/>
      <c r="M40" s="356"/>
    </row>
    <row r="41" spans="1:14" x14ac:dyDescent="0.25">
      <c r="A41" s="355"/>
      <c r="B41" s="345" t="s">
        <v>1004</v>
      </c>
      <c r="C41" s="129" t="s">
        <v>185</v>
      </c>
      <c r="D41" s="33" t="s">
        <v>184</v>
      </c>
      <c r="E41" s="12"/>
      <c r="F41" s="358">
        <f t="shared" ref="F41" si="4">C42/D42</f>
        <v>3.6030361425278615E-2</v>
      </c>
      <c r="H41" s="313"/>
      <c r="I41" s="361" t="s">
        <v>1010</v>
      </c>
      <c r="J41" s="129" t="s">
        <v>185</v>
      </c>
      <c r="K41" s="33" t="s">
        <v>184</v>
      </c>
      <c r="L41" s="28"/>
      <c r="M41" s="358">
        <f t="shared" ref="M41" si="5">J42/K42</f>
        <v>3.4646645086914091E-2</v>
      </c>
    </row>
    <row r="42" spans="1:14" x14ac:dyDescent="0.25">
      <c r="A42" s="355"/>
      <c r="B42" s="345"/>
      <c r="C42" s="115">
        <f>C38-2606347000</f>
        <v>7585986000</v>
      </c>
      <c r="D42" s="116">
        <f>+D38</f>
        <v>210544266000</v>
      </c>
      <c r="E42" s="12"/>
      <c r="F42" s="356"/>
      <c r="H42" s="313"/>
      <c r="I42" s="361"/>
      <c r="J42" s="115">
        <f>+J38-2606347000</f>
        <v>7281841736.3014183</v>
      </c>
      <c r="K42" s="116">
        <f>+K38</f>
        <v>210174512367.19434</v>
      </c>
      <c r="L42" s="28"/>
      <c r="M42" s="357"/>
    </row>
    <row r="43" spans="1:14" x14ac:dyDescent="0.25">
      <c r="A43" s="355"/>
      <c r="B43" s="353" t="s">
        <v>1005</v>
      </c>
      <c r="C43" s="129" t="s">
        <v>186</v>
      </c>
      <c r="D43" s="127" t="s">
        <v>201</v>
      </c>
      <c r="E43" s="12"/>
      <c r="F43" s="358">
        <f t="shared" ref="F43" si="6">C44/D44</f>
        <v>2.1449469938664055E-2</v>
      </c>
      <c r="H43" s="313"/>
      <c r="I43" s="362" t="s">
        <v>1011</v>
      </c>
      <c r="J43" s="129" t="s">
        <v>186</v>
      </c>
      <c r="K43" s="122" t="s">
        <v>201</v>
      </c>
      <c r="L43" s="28"/>
      <c r="M43" s="358">
        <f t="shared" ref="M43" si="7">J44/K44</f>
        <v>2.080941217064658E-2</v>
      </c>
    </row>
    <row r="44" spans="1:14" x14ac:dyDescent="0.25">
      <c r="A44" s="355"/>
      <c r="B44" s="353"/>
      <c r="C44" s="115">
        <f>C38</f>
        <v>10192333000</v>
      </c>
      <c r="D44" s="124">
        <f>+D28</f>
        <v>475178782000</v>
      </c>
      <c r="E44" s="12"/>
      <c r="F44" s="356"/>
      <c r="H44" s="313"/>
      <c r="I44" s="362"/>
      <c r="J44" s="115">
        <f>+J38</f>
        <v>9888188736.3014183</v>
      </c>
      <c r="K44" s="124">
        <f>+K28</f>
        <v>475178667000</v>
      </c>
      <c r="L44" s="28"/>
      <c r="M44" s="357"/>
    </row>
    <row r="45" spans="1:14" x14ac:dyDescent="0.25">
      <c r="A45" s="355"/>
      <c r="B45" s="353" t="s">
        <v>1006</v>
      </c>
      <c r="C45" s="129" t="s">
        <v>185</v>
      </c>
      <c r="D45" s="122" t="s">
        <v>178</v>
      </c>
      <c r="E45" s="12"/>
      <c r="F45" s="358">
        <f t="shared" ref="F45" si="8">C46/D46</f>
        <v>1.5964488077668416E-2</v>
      </c>
      <c r="H45" s="313"/>
      <c r="I45" s="362" t="s">
        <v>1012</v>
      </c>
      <c r="J45" s="129" t="s">
        <v>185</v>
      </c>
      <c r="K45" s="122" t="s">
        <v>178</v>
      </c>
      <c r="L45" s="28"/>
      <c r="M45" s="356">
        <f t="shared" ref="M45" si="9">J46/K46</f>
        <v>1.5324428982207271E-2</v>
      </c>
    </row>
    <row r="46" spans="1:14" x14ac:dyDescent="0.25">
      <c r="A46" s="355"/>
      <c r="B46" s="353"/>
      <c r="C46" s="242">
        <f>C42</f>
        <v>7585986000</v>
      </c>
      <c r="D46" s="124">
        <f>D22</f>
        <v>475178782000</v>
      </c>
      <c r="E46" s="12"/>
      <c r="F46" s="356"/>
      <c r="H46" s="313"/>
      <c r="I46" s="362"/>
      <c r="J46" s="242">
        <f>J42</f>
        <v>7281841736.3014183</v>
      </c>
      <c r="K46" s="124">
        <f>+K28</f>
        <v>475178667000</v>
      </c>
      <c r="L46" s="28"/>
      <c r="M46" s="356"/>
    </row>
    <row r="47" spans="1:14" x14ac:dyDescent="0.25">
      <c r="A47" s="355"/>
      <c r="B47" s="353" t="s">
        <v>1007</v>
      </c>
      <c r="C47" s="129" t="s">
        <v>185</v>
      </c>
      <c r="D47" s="12" t="s">
        <v>701</v>
      </c>
      <c r="E47" s="12"/>
      <c r="F47" s="358">
        <f t="shared" ref="F47" si="10">C48/D48</f>
        <v>2.1576112438295398E-2</v>
      </c>
      <c r="H47" s="313"/>
      <c r="I47" s="362" t="s">
        <v>1013</v>
      </c>
      <c r="J47" s="129" t="s">
        <v>185</v>
      </c>
      <c r="K47" s="120" t="s">
        <v>701</v>
      </c>
      <c r="L47" s="28"/>
      <c r="M47" s="358">
        <f t="shared" ref="M47" si="11">J48/K48</f>
        <v>2.0711063276456294E-2</v>
      </c>
    </row>
    <row r="48" spans="1:14" ht="15.75" thickBot="1" x14ac:dyDescent="0.3">
      <c r="A48" s="355"/>
      <c r="B48" s="354"/>
      <c r="C48" s="243">
        <f>C42</f>
        <v>7585986000</v>
      </c>
      <c r="D48" s="23">
        <f>+D26</f>
        <v>351591883000</v>
      </c>
      <c r="E48" s="40"/>
      <c r="F48" s="359"/>
      <c r="H48" s="314"/>
      <c r="I48" s="363"/>
      <c r="J48" s="243">
        <f>J42</f>
        <v>7281841736.3014183</v>
      </c>
      <c r="K48" s="23">
        <f>+K26</f>
        <v>351591883000</v>
      </c>
      <c r="L48" s="34"/>
      <c r="M48" s="356"/>
    </row>
    <row r="49" spans="1:13" x14ac:dyDescent="0.25">
      <c r="A49" s="38"/>
      <c r="B49" s="26"/>
      <c r="C49" s="37"/>
      <c r="D49" s="37"/>
      <c r="E49" s="37"/>
      <c r="F49" s="37"/>
      <c r="M49" s="35"/>
    </row>
    <row r="50" spans="1:13" x14ac:dyDescent="0.25">
      <c r="A50" s="39"/>
      <c r="B50" s="1"/>
    </row>
  </sheetData>
  <mergeCells count="97">
    <mergeCell ref="B25:B26"/>
    <mergeCell ref="B4:E5"/>
    <mergeCell ref="I4:L5"/>
    <mergeCell ref="H7:H20"/>
    <mergeCell ref="I7:I8"/>
    <mergeCell ref="F19:F20"/>
    <mergeCell ref="B19:B20"/>
    <mergeCell ref="B7:B8"/>
    <mergeCell ref="F9:F10"/>
    <mergeCell ref="F7:F8"/>
    <mergeCell ref="B17:B18"/>
    <mergeCell ref="F17:F18"/>
    <mergeCell ref="B9:B10"/>
    <mergeCell ref="H37:H48"/>
    <mergeCell ref="I37:I38"/>
    <mergeCell ref="M37:M38"/>
    <mergeCell ref="I39:I40"/>
    <mergeCell ref="M39:M40"/>
    <mergeCell ref="I41:I42"/>
    <mergeCell ref="M41:M42"/>
    <mergeCell ref="I43:I44"/>
    <mergeCell ref="M43:M44"/>
    <mergeCell ref="I45:I46"/>
    <mergeCell ref="M45:M46"/>
    <mergeCell ref="I47:I48"/>
    <mergeCell ref="M47:M48"/>
    <mergeCell ref="H27:H36"/>
    <mergeCell ref="I27:I28"/>
    <mergeCell ref="M27:M28"/>
    <mergeCell ref="I31:I32"/>
    <mergeCell ref="M31:M32"/>
    <mergeCell ref="M29:M30"/>
    <mergeCell ref="B47:B48"/>
    <mergeCell ref="A37:A48"/>
    <mergeCell ref="F37:F38"/>
    <mergeCell ref="F39:F40"/>
    <mergeCell ref="F41:F42"/>
    <mergeCell ref="F43:F44"/>
    <mergeCell ref="F45:F46"/>
    <mergeCell ref="F47:F48"/>
    <mergeCell ref="B37:B38"/>
    <mergeCell ref="B39:B40"/>
    <mergeCell ref="B41:B42"/>
    <mergeCell ref="B43:B44"/>
    <mergeCell ref="B45:B46"/>
    <mergeCell ref="A27:A36"/>
    <mergeCell ref="F31:F32"/>
    <mergeCell ref="F33:F34"/>
    <mergeCell ref="F35:F36"/>
    <mergeCell ref="B31:B32"/>
    <mergeCell ref="B33:B34"/>
    <mergeCell ref="B35:B36"/>
    <mergeCell ref="F27:F28"/>
    <mergeCell ref="B27:B28"/>
    <mergeCell ref="B29:B30"/>
    <mergeCell ref="F29:F30"/>
    <mergeCell ref="A1:M1"/>
    <mergeCell ref="H21:H26"/>
    <mergeCell ref="M21:M22"/>
    <mergeCell ref="I21:I22"/>
    <mergeCell ref="I23:I24"/>
    <mergeCell ref="M23:M24"/>
    <mergeCell ref="I25:I26"/>
    <mergeCell ref="M25:M26"/>
    <mergeCell ref="F21:F22"/>
    <mergeCell ref="F23:F24"/>
    <mergeCell ref="F25:F26"/>
    <mergeCell ref="B3:E3"/>
    <mergeCell ref="I3:L3"/>
    <mergeCell ref="I13:I14"/>
    <mergeCell ref="B21:B22"/>
    <mergeCell ref="B23:B24"/>
    <mergeCell ref="M17:M18"/>
    <mergeCell ref="M33:M34"/>
    <mergeCell ref="I35:I36"/>
    <mergeCell ref="M35:M36"/>
    <mergeCell ref="I11:I12"/>
    <mergeCell ref="M11:M12"/>
    <mergeCell ref="I33:I34"/>
    <mergeCell ref="I29:I30"/>
    <mergeCell ref="I17:I18"/>
    <mergeCell ref="A21:A26"/>
    <mergeCell ref="A7:A20"/>
    <mergeCell ref="M7:M8"/>
    <mergeCell ref="I9:I10"/>
    <mergeCell ref="M9:M10"/>
    <mergeCell ref="M13:M14"/>
    <mergeCell ref="I15:I16"/>
    <mergeCell ref="M15:M16"/>
    <mergeCell ref="I19:I20"/>
    <mergeCell ref="M19:M20"/>
    <mergeCell ref="F11:F12"/>
    <mergeCell ref="B11:B12"/>
    <mergeCell ref="F13:F14"/>
    <mergeCell ref="B13:B14"/>
    <mergeCell ref="F15:F16"/>
    <mergeCell ref="B15:B16"/>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1</vt:i4>
      </vt:variant>
    </vt:vector>
  </HeadingPairs>
  <TitlesOfParts>
    <vt:vector size="8" baseType="lpstr">
      <vt:lpstr> Metodos de Costeo</vt:lpstr>
      <vt:lpstr>Gráficos</vt:lpstr>
      <vt:lpstr>Costo Accidentalidad</vt:lpstr>
      <vt:lpstr>Metodo Simplificado</vt:lpstr>
      <vt:lpstr>Clasificación PUC</vt:lpstr>
      <vt:lpstr>Total Costos</vt:lpstr>
      <vt:lpstr>Formulas Financieras</vt:lpstr>
      <vt:lpstr>Gráficos!Títulos_a_imprimir</vt:lpstr>
    </vt:vector>
  </TitlesOfParts>
  <Company>Maah37</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Usuario</dc:creator>
  <cp:lastModifiedBy>dvanega2</cp:lastModifiedBy>
  <cp:lastPrinted>2014-10-27T23:49:47Z</cp:lastPrinted>
  <dcterms:created xsi:type="dcterms:W3CDTF">2014-10-01T21:09:17Z</dcterms:created>
  <dcterms:modified xsi:type="dcterms:W3CDTF">2014-11-26T18:17:23Z</dcterms:modified>
</cp:coreProperties>
</file>