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1333" windowHeight="8687"/>
  </bookViews>
  <sheets>
    <sheet name="Hoja1" sheetId="1" r:id="rId1"/>
    <sheet name="supuestos" sheetId="2" state="hidden" r:id="rId2"/>
  </sheets>
  <externalReferences>
    <externalReference r:id="rId3"/>
  </externalReferences>
  <calcPr calcId="152511" iterate="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87" i="1" l="1"/>
  <c r="I272" i="1"/>
  <c r="B15" i="2"/>
  <c r="B16" i="2"/>
  <c r="C15" i="2"/>
  <c r="C16" i="2"/>
  <c r="D15" i="2"/>
  <c r="D16" i="2"/>
  <c r="E16" i="2"/>
  <c r="I10" i="1"/>
  <c r="I166" i="1"/>
  <c r="I171" i="1"/>
  <c r="C53" i="2"/>
  <c r="B53" i="2"/>
  <c r="C54" i="2"/>
  <c r="D53" i="2"/>
  <c r="D54" i="2"/>
  <c r="E53" i="2"/>
  <c r="E54" i="2"/>
  <c r="F53" i="2"/>
  <c r="F54" i="2"/>
  <c r="H38" i="1"/>
  <c r="G53" i="2"/>
  <c r="G54" i="2"/>
  <c r="I38" i="1"/>
  <c r="I175" i="1"/>
  <c r="H39" i="1"/>
  <c r="I39" i="1"/>
  <c r="I176" i="1"/>
  <c r="H40" i="1"/>
  <c r="I40" i="1"/>
  <c r="I177" i="1"/>
  <c r="H41" i="1"/>
  <c r="I41" i="1"/>
  <c r="I178" i="1"/>
  <c r="I179" i="1"/>
  <c r="I180" i="1"/>
  <c r="C25" i="2"/>
  <c r="B25" i="2"/>
  <c r="C26" i="2"/>
  <c r="D25" i="2"/>
  <c r="D26" i="2"/>
  <c r="E25" i="2"/>
  <c r="E26" i="2"/>
  <c r="F25" i="2"/>
  <c r="F26" i="2"/>
  <c r="H18" i="1"/>
  <c r="G25" i="2"/>
  <c r="G26" i="2"/>
  <c r="I18" i="1"/>
  <c r="I182" i="1"/>
  <c r="H19" i="1"/>
  <c r="I19" i="1"/>
  <c r="I183" i="1"/>
  <c r="H20" i="1"/>
  <c r="I20" i="1"/>
  <c r="I184" i="1"/>
  <c r="H21" i="1"/>
  <c r="I21" i="1"/>
  <c r="I185" i="1"/>
  <c r="H22" i="1"/>
  <c r="I22" i="1"/>
  <c r="I186" i="1"/>
  <c r="H23" i="1"/>
  <c r="I23" i="1"/>
  <c r="I187" i="1"/>
  <c r="H27" i="1"/>
  <c r="I27" i="1"/>
  <c r="I189" i="1"/>
  <c r="I191" i="1"/>
  <c r="I192" i="1"/>
  <c r="H10" i="1"/>
  <c r="H166" i="1"/>
  <c r="H171" i="1"/>
  <c r="H175" i="1"/>
  <c r="H176" i="1"/>
  <c r="H177" i="1"/>
  <c r="H178" i="1"/>
  <c r="H179" i="1"/>
  <c r="H180" i="1"/>
  <c r="H182" i="1"/>
  <c r="H183" i="1"/>
  <c r="H184" i="1"/>
  <c r="H185" i="1"/>
  <c r="H186" i="1"/>
  <c r="H187" i="1"/>
  <c r="H189" i="1"/>
  <c r="H191" i="1"/>
  <c r="H192" i="1"/>
  <c r="I269" i="1"/>
  <c r="I270" i="1"/>
  <c r="I281" i="1"/>
  <c r="P287" i="1"/>
  <c r="H25" i="2"/>
  <c r="H26" i="2"/>
  <c r="H53" i="2"/>
  <c r="H54" i="2"/>
  <c r="I25" i="2"/>
  <c r="I26" i="2"/>
  <c r="I53" i="2"/>
  <c r="I54" i="2"/>
  <c r="J25" i="2"/>
  <c r="J26" i="2"/>
  <c r="K25" i="2"/>
  <c r="K26" i="2"/>
  <c r="J53" i="2"/>
  <c r="J54" i="2"/>
  <c r="K53" i="2"/>
  <c r="K54" i="2"/>
  <c r="L53" i="2"/>
  <c r="L54" i="2"/>
  <c r="L25" i="2"/>
  <c r="L26" i="2"/>
  <c r="M25" i="2"/>
  <c r="M26" i="2"/>
  <c r="M53" i="2"/>
  <c r="M54" i="2"/>
  <c r="N25" i="2"/>
  <c r="N26" i="2"/>
  <c r="N53" i="2"/>
  <c r="N54" i="2"/>
  <c r="O25" i="2"/>
  <c r="O26" i="2"/>
  <c r="O53" i="2"/>
  <c r="O54" i="2"/>
  <c r="J199" i="1"/>
  <c r="K199" i="1"/>
  <c r="L199" i="1"/>
  <c r="M199" i="1"/>
  <c r="N199" i="1"/>
  <c r="O199" i="1"/>
  <c r="P199" i="1"/>
  <c r="Q199" i="1"/>
  <c r="D199" i="1"/>
  <c r="E199" i="1"/>
  <c r="F199" i="1"/>
  <c r="G199" i="1"/>
  <c r="H199" i="1"/>
  <c r="I199" i="1"/>
  <c r="C199" i="1"/>
  <c r="I268" i="1"/>
  <c r="I274" i="1"/>
  <c r="H35" i="1"/>
  <c r="H242" i="1"/>
  <c r="H45" i="1"/>
  <c r="H243" i="1"/>
  <c r="H244" i="1"/>
  <c r="I35" i="1"/>
  <c r="I242" i="1"/>
  <c r="I45" i="1"/>
  <c r="I243" i="1"/>
  <c r="I244" i="1"/>
  <c r="I246" i="1"/>
  <c r="I271" i="1"/>
  <c r="I275" i="1"/>
  <c r="I273" i="1"/>
  <c r="I248" i="1"/>
  <c r="I262" i="1"/>
  <c r="I259" i="1"/>
  <c r="I257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C238" i="1"/>
  <c r="I255" i="1"/>
  <c r="H7" i="1"/>
  <c r="I7" i="1"/>
  <c r="I164" i="1"/>
  <c r="H9" i="1"/>
  <c r="I9" i="1"/>
  <c r="I165" i="1"/>
  <c r="B88" i="2"/>
  <c r="B92" i="2"/>
  <c r="H74" i="1"/>
  <c r="C88" i="2"/>
  <c r="C92" i="2"/>
  <c r="I74" i="1"/>
  <c r="H75" i="1"/>
  <c r="I75" i="1"/>
  <c r="H76" i="1"/>
  <c r="I76" i="1"/>
  <c r="H77" i="1"/>
  <c r="I77" i="1"/>
  <c r="I83" i="1"/>
  <c r="B104" i="2"/>
  <c r="C104" i="2"/>
  <c r="D104" i="2"/>
  <c r="E104" i="2"/>
  <c r="F104" i="2"/>
  <c r="G104" i="2"/>
  <c r="I86" i="1"/>
  <c r="I87" i="1"/>
  <c r="H12" i="1"/>
  <c r="I12" i="1"/>
  <c r="I167" i="1"/>
  <c r="H11" i="1"/>
  <c r="I11" i="1"/>
  <c r="I168" i="1"/>
  <c r="I169" i="1"/>
  <c r="I170" i="1"/>
  <c r="H36" i="1"/>
  <c r="I36" i="1"/>
  <c r="I173" i="1"/>
  <c r="H37" i="1"/>
  <c r="I37" i="1"/>
  <c r="I174" i="1"/>
  <c r="I188" i="1"/>
  <c r="I190" i="1"/>
  <c r="H164" i="1"/>
  <c r="H165" i="1"/>
  <c r="H83" i="1"/>
  <c r="H86" i="1"/>
  <c r="H87" i="1"/>
  <c r="H167" i="1"/>
  <c r="H168" i="1"/>
  <c r="H169" i="1"/>
  <c r="H170" i="1"/>
  <c r="H173" i="1"/>
  <c r="H174" i="1"/>
  <c r="H188" i="1"/>
  <c r="H190" i="1"/>
  <c r="B110" i="2"/>
  <c r="H90" i="1"/>
  <c r="C110" i="2"/>
  <c r="I90" i="1"/>
  <c r="H91" i="1"/>
  <c r="I91" i="1"/>
  <c r="H92" i="1"/>
  <c r="I92" i="1"/>
  <c r="H93" i="1"/>
  <c r="I93" i="1"/>
  <c r="I99" i="1"/>
  <c r="I100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03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20" i="1"/>
  <c r="I102" i="1"/>
  <c r="I137" i="1"/>
  <c r="G83" i="1"/>
  <c r="H140" i="1"/>
  <c r="I140" i="1"/>
  <c r="H141" i="1"/>
  <c r="I141" i="1"/>
  <c r="H142" i="1"/>
  <c r="I142" i="1"/>
  <c r="H143" i="1"/>
  <c r="I143" i="1"/>
  <c r="H144" i="1"/>
  <c r="I144" i="1"/>
  <c r="H145" i="1"/>
  <c r="I145" i="1"/>
  <c r="H146" i="1"/>
  <c r="I146" i="1"/>
  <c r="I139" i="1"/>
  <c r="H149" i="1"/>
  <c r="I149" i="1"/>
  <c r="H150" i="1"/>
  <c r="I150" i="1"/>
  <c r="H151" i="1"/>
  <c r="I151" i="1"/>
  <c r="H175" i="2"/>
  <c r="H178" i="2"/>
  <c r="H179" i="2"/>
  <c r="I152" i="1"/>
  <c r="H153" i="1"/>
  <c r="I153" i="1"/>
  <c r="H154" i="1"/>
  <c r="I154" i="1"/>
  <c r="I148" i="1"/>
  <c r="I156" i="1"/>
  <c r="I158" i="1"/>
  <c r="I196" i="1"/>
  <c r="I201" i="1"/>
  <c r="I200" i="1"/>
  <c r="G164" i="1"/>
  <c r="G165" i="1"/>
  <c r="G166" i="1"/>
  <c r="G167" i="1"/>
  <c r="G168" i="1"/>
  <c r="G169" i="1"/>
  <c r="G170" i="1"/>
  <c r="G171" i="1"/>
  <c r="G173" i="1"/>
  <c r="G174" i="1"/>
  <c r="G175" i="1"/>
  <c r="G176" i="1"/>
  <c r="G177" i="1"/>
  <c r="G178" i="1"/>
  <c r="G179" i="1"/>
  <c r="G180" i="1"/>
  <c r="G182" i="1"/>
  <c r="G183" i="1"/>
  <c r="G184" i="1"/>
  <c r="G185" i="1"/>
  <c r="G186" i="1"/>
  <c r="G187" i="1"/>
  <c r="G188" i="1"/>
  <c r="G189" i="1"/>
  <c r="G190" i="1"/>
  <c r="G191" i="1"/>
  <c r="G192" i="1"/>
  <c r="F164" i="1"/>
  <c r="F165" i="1"/>
  <c r="F166" i="1"/>
  <c r="F167" i="1"/>
  <c r="F168" i="1"/>
  <c r="F169" i="1"/>
  <c r="F170" i="1"/>
  <c r="F171" i="1"/>
  <c r="F173" i="1"/>
  <c r="F174" i="1"/>
  <c r="F175" i="1"/>
  <c r="F176" i="1"/>
  <c r="F177" i="1"/>
  <c r="F178" i="1"/>
  <c r="F179" i="1"/>
  <c r="F180" i="1"/>
  <c r="F182" i="1"/>
  <c r="F183" i="1"/>
  <c r="F184" i="1"/>
  <c r="F185" i="1"/>
  <c r="F186" i="1"/>
  <c r="F187" i="1"/>
  <c r="F188" i="1"/>
  <c r="F189" i="1"/>
  <c r="F190" i="1"/>
  <c r="F191" i="1"/>
  <c r="F192" i="1"/>
  <c r="G87" i="1"/>
  <c r="G99" i="1"/>
  <c r="G100" i="1"/>
  <c r="G103" i="1"/>
  <c r="G120" i="1"/>
  <c r="G102" i="1"/>
  <c r="G137" i="1"/>
  <c r="G139" i="1"/>
  <c r="G148" i="1"/>
  <c r="G156" i="1"/>
  <c r="G196" i="1"/>
  <c r="G201" i="1"/>
  <c r="D83" i="1"/>
  <c r="D87" i="1"/>
  <c r="D99" i="1"/>
  <c r="D100" i="1"/>
  <c r="D103" i="1"/>
  <c r="D120" i="1"/>
  <c r="D102" i="1"/>
  <c r="D137" i="1"/>
  <c r="D139" i="1"/>
  <c r="D148" i="1"/>
  <c r="D156" i="1"/>
  <c r="D196" i="1"/>
  <c r="C164" i="1"/>
  <c r="C165" i="1"/>
  <c r="C166" i="1"/>
  <c r="C167" i="1"/>
  <c r="C168" i="1"/>
  <c r="C169" i="1"/>
  <c r="C170" i="1"/>
  <c r="C171" i="1"/>
  <c r="C173" i="1"/>
  <c r="C174" i="1"/>
  <c r="C175" i="1"/>
  <c r="C176" i="1"/>
  <c r="C177" i="1"/>
  <c r="C178" i="1"/>
  <c r="C179" i="1"/>
  <c r="C180" i="1"/>
  <c r="C182" i="1"/>
  <c r="C183" i="1"/>
  <c r="C184" i="1"/>
  <c r="C185" i="1"/>
  <c r="C186" i="1"/>
  <c r="C187" i="1"/>
  <c r="C188" i="1"/>
  <c r="C189" i="1"/>
  <c r="C190" i="1"/>
  <c r="C191" i="1"/>
  <c r="C192" i="1"/>
  <c r="D200" i="1"/>
  <c r="H99" i="1"/>
  <c r="H100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03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20" i="1"/>
  <c r="H102" i="1"/>
  <c r="H137" i="1"/>
  <c r="H139" i="1"/>
  <c r="G175" i="2"/>
  <c r="G179" i="2"/>
  <c r="H152" i="1"/>
  <c r="H148" i="1"/>
  <c r="H156" i="1"/>
  <c r="H158" i="1"/>
  <c r="H196" i="1"/>
  <c r="C83" i="1"/>
  <c r="C87" i="1"/>
  <c r="C99" i="1"/>
  <c r="C100" i="1"/>
  <c r="C103" i="1"/>
  <c r="C120" i="1"/>
  <c r="C102" i="1"/>
  <c r="C137" i="1"/>
  <c r="C139" i="1"/>
  <c r="C148" i="1"/>
  <c r="C156" i="1"/>
  <c r="C196" i="1"/>
  <c r="D164" i="1"/>
  <c r="D165" i="1"/>
  <c r="D166" i="1"/>
  <c r="D167" i="1"/>
  <c r="D168" i="1"/>
  <c r="D169" i="1"/>
  <c r="D170" i="1"/>
  <c r="D171" i="1"/>
  <c r="D173" i="1"/>
  <c r="D174" i="1"/>
  <c r="D175" i="1"/>
  <c r="D176" i="1"/>
  <c r="D177" i="1"/>
  <c r="D178" i="1"/>
  <c r="D179" i="1"/>
  <c r="D180" i="1"/>
  <c r="D182" i="1"/>
  <c r="D183" i="1"/>
  <c r="D184" i="1"/>
  <c r="D185" i="1"/>
  <c r="D186" i="1"/>
  <c r="D187" i="1"/>
  <c r="D188" i="1"/>
  <c r="D189" i="1"/>
  <c r="D190" i="1"/>
  <c r="D191" i="1"/>
  <c r="D192" i="1"/>
  <c r="D201" i="1"/>
  <c r="D202" i="1"/>
  <c r="H8" i="1"/>
  <c r="J27" i="1"/>
  <c r="H46" i="1"/>
  <c r="H298" i="1"/>
  <c r="I46" i="1"/>
  <c r="I298" i="1"/>
  <c r="J46" i="1"/>
  <c r="J298" i="1"/>
  <c r="K46" i="1"/>
  <c r="K298" i="1"/>
  <c r="L46" i="1"/>
  <c r="L298" i="1"/>
  <c r="M46" i="1"/>
  <c r="M298" i="1"/>
  <c r="N46" i="1"/>
  <c r="N298" i="1"/>
  <c r="O46" i="1"/>
  <c r="O298" i="1"/>
  <c r="P46" i="1"/>
  <c r="P298" i="1"/>
  <c r="Q46" i="1"/>
  <c r="Q298" i="1"/>
  <c r="H47" i="1"/>
  <c r="H299" i="1"/>
  <c r="I47" i="1"/>
  <c r="I299" i="1"/>
  <c r="J47" i="1"/>
  <c r="J299" i="1"/>
  <c r="K47" i="1"/>
  <c r="K299" i="1"/>
  <c r="L47" i="1"/>
  <c r="L299" i="1"/>
  <c r="M47" i="1"/>
  <c r="M299" i="1"/>
  <c r="N47" i="1"/>
  <c r="N299" i="1"/>
  <c r="O47" i="1"/>
  <c r="O299" i="1"/>
  <c r="P47" i="1"/>
  <c r="P299" i="1"/>
  <c r="Q47" i="1"/>
  <c r="Q299" i="1"/>
  <c r="B299" i="1"/>
  <c r="B298" i="1"/>
  <c r="I175" i="2"/>
  <c r="I178" i="2"/>
  <c r="I179" i="2"/>
  <c r="J152" i="1"/>
  <c r="J245" i="1"/>
  <c r="J35" i="1"/>
  <c r="J242" i="1"/>
  <c r="J45" i="1"/>
  <c r="J243" i="1"/>
  <c r="J244" i="1"/>
  <c r="J246" i="1"/>
  <c r="J271" i="1"/>
  <c r="J175" i="2"/>
  <c r="J178" i="2"/>
  <c r="J179" i="2"/>
  <c r="K152" i="1"/>
  <c r="K245" i="1"/>
  <c r="K35" i="1"/>
  <c r="K242" i="1"/>
  <c r="K45" i="1"/>
  <c r="K243" i="1"/>
  <c r="K244" i="1"/>
  <c r="K246" i="1"/>
  <c r="K271" i="1"/>
  <c r="K175" i="2"/>
  <c r="K178" i="2"/>
  <c r="K179" i="2"/>
  <c r="L152" i="1"/>
  <c r="L245" i="1"/>
  <c r="L35" i="1"/>
  <c r="L242" i="1"/>
  <c r="L45" i="1"/>
  <c r="L243" i="1"/>
  <c r="L244" i="1"/>
  <c r="L246" i="1"/>
  <c r="L271" i="1"/>
  <c r="L175" i="2"/>
  <c r="L178" i="2"/>
  <c r="L179" i="2"/>
  <c r="M152" i="1"/>
  <c r="M245" i="1"/>
  <c r="M35" i="1"/>
  <c r="M242" i="1"/>
  <c r="M45" i="1"/>
  <c r="M243" i="1"/>
  <c r="M244" i="1"/>
  <c r="M246" i="1"/>
  <c r="M271" i="1"/>
  <c r="M175" i="2"/>
  <c r="M178" i="2"/>
  <c r="M179" i="2"/>
  <c r="N152" i="1"/>
  <c r="N245" i="1"/>
  <c r="N35" i="1"/>
  <c r="N242" i="1"/>
  <c r="N45" i="1"/>
  <c r="N243" i="1"/>
  <c r="N244" i="1"/>
  <c r="N246" i="1"/>
  <c r="N271" i="1"/>
  <c r="N175" i="2"/>
  <c r="N178" i="2"/>
  <c r="N179" i="2"/>
  <c r="O152" i="1"/>
  <c r="O245" i="1"/>
  <c r="O35" i="1"/>
  <c r="O242" i="1"/>
  <c r="O45" i="1"/>
  <c r="O243" i="1"/>
  <c r="O244" i="1"/>
  <c r="O246" i="1"/>
  <c r="O271" i="1"/>
  <c r="O175" i="2"/>
  <c r="O178" i="2"/>
  <c r="O179" i="2"/>
  <c r="P152" i="1"/>
  <c r="P245" i="1"/>
  <c r="P35" i="1"/>
  <c r="P242" i="1"/>
  <c r="P45" i="1"/>
  <c r="P243" i="1"/>
  <c r="P244" i="1"/>
  <c r="P246" i="1"/>
  <c r="P271" i="1"/>
  <c r="P175" i="2"/>
  <c r="P178" i="2"/>
  <c r="P179" i="2"/>
  <c r="Q152" i="1"/>
  <c r="Q245" i="1"/>
  <c r="Q35" i="1"/>
  <c r="Q242" i="1"/>
  <c r="Q45" i="1"/>
  <c r="Q243" i="1"/>
  <c r="Q244" i="1"/>
  <c r="Q246" i="1"/>
  <c r="Q271" i="1"/>
  <c r="I245" i="1"/>
  <c r="J7" i="1"/>
  <c r="K7" i="1"/>
  <c r="L7" i="1"/>
  <c r="M7" i="1"/>
  <c r="N7" i="1"/>
  <c r="O7" i="1"/>
  <c r="P7" i="1"/>
  <c r="Q7" i="1"/>
  <c r="I8" i="1"/>
  <c r="J8" i="1"/>
  <c r="J9" i="1"/>
  <c r="K9" i="1"/>
  <c r="L9" i="1"/>
  <c r="M9" i="1"/>
  <c r="N9" i="1"/>
  <c r="O9" i="1"/>
  <c r="P9" i="1"/>
  <c r="Q9" i="1"/>
  <c r="D88" i="2"/>
  <c r="D92" i="2"/>
  <c r="J74" i="1"/>
  <c r="E88" i="2"/>
  <c r="E92" i="2"/>
  <c r="K74" i="1"/>
  <c r="F88" i="2"/>
  <c r="F92" i="2"/>
  <c r="L74" i="1"/>
  <c r="G88" i="2"/>
  <c r="G92" i="2"/>
  <c r="M74" i="1"/>
  <c r="H88" i="2"/>
  <c r="H92" i="2"/>
  <c r="N74" i="1"/>
  <c r="I88" i="2"/>
  <c r="I92" i="2"/>
  <c r="O74" i="1"/>
  <c r="J88" i="2"/>
  <c r="J92" i="2"/>
  <c r="P74" i="1"/>
  <c r="K88" i="2"/>
  <c r="K92" i="2"/>
  <c r="Q74" i="1"/>
  <c r="J75" i="1"/>
  <c r="K75" i="1"/>
  <c r="L75" i="1"/>
  <c r="M75" i="1"/>
  <c r="N75" i="1"/>
  <c r="O75" i="1"/>
  <c r="P75" i="1"/>
  <c r="Q75" i="1"/>
  <c r="J76" i="1"/>
  <c r="K76" i="1"/>
  <c r="L76" i="1"/>
  <c r="M76" i="1"/>
  <c r="N76" i="1"/>
  <c r="O76" i="1"/>
  <c r="P76" i="1"/>
  <c r="Q76" i="1"/>
  <c r="J77" i="1"/>
  <c r="K77" i="1"/>
  <c r="L77" i="1"/>
  <c r="M77" i="1"/>
  <c r="N77" i="1"/>
  <c r="O77" i="1"/>
  <c r="P77" i="1"/>
  <c r="Q77" i="1"/>
  <c r="Q83" i="1"/>
  <c r="Q86" i="1"/>
  <c r="Q87" i="1"/>
  <c r="Q10" i="1"/>
  <c r="J11" i="1"/>
  <c r="K11" i="1"/>
  <c r="L11" i="1"/>
  <c r="M11" i="1"/>
  <c r="N11" i="1"/>
  <c r="O11" i="1"/>
  <c r="P11" i="1"/>
  <c r="Q11" i="1"/>
  <c r="J12" i="1"/>
  <c r="K12" i="1"/>
  <c r="L12" i="1"/>
  <c r="M12" i="1"/>
  <c r="N12" i="1"/>
  <c r="O12" i="1"/>
  <c r="P12" i="1"/>
  <c r="Q12" i="1"/>
  <c r="J18" i="1"/>
  <c r="K18" i="1"/>
  <c r="L18" i="1"/>
  <c r="M18" i="1"/>
  <c r="N18" i="1"/>
  <c r="O18" i="1"/>
  <c r="P18" i="1"/>
  <c r="Q18" i="1"/>
  <c r="J19" i="1"/>
  <c r="K19" i="1"/>
  <c r="L19" i="1"/>
  <c r="M19" i="1"/>
  <c r="N19" i="1"/>
  <c r="O19" i="1"/>
  <c r="P19" i="1"/>
  <c r="Q19" i="1"/>
  <c r="J20" i="1"/>
  <c r="K20" i="1"/>
  <c r="L20" i="1"/>
  <c r="M20" i="1"/>
  <c r="N20" i="1"/>
  <c r="O20" i="1"/>
  <c r="P20" i="1"/>
  <c r="Q20" i="1"/>
  <c r="J21" i="1"/>
  <c r="K21" i="1"/>
  <c r="L21" i="1"/>
  <c r="M21" i="1"/>
  <c r="N21" i="1"/>
  <c r="O21" i="1"/>
  <c r="P21" i="1"/>
  <c r="Q21" i="1"/>
  <c r="J22" i="1"/>
  <c r="K22" i="1"/>
  <c r="L22" i="1"/>
  <c r="M22" i="1"/>
  <c r="N22" i="1"/>
  <c r="O22" i="1"/>
  <c r="P22" i="1"/>
  <c r="Q22" i="1"/>
  <c r="H56" i="1"/>
  <c r="I56" i="1"/>
  <c r="J56" i="1"/>
  <c r="K56" i="1"/>
  <c r="L56" i="1"/>
  <c r="M56" i="1"/>
  <c r="N56" i="1"/>
  <c r="O56" i="1"/>
  <c r="P56" i="1"/>
  <c r="Q56" i="1"/>
  <c r="D110" i="2"/>
  <c r="J90" i="1"/>
  <c r="E110" i="2"/>
  <c r="K90" i="1"/>
  <c r="F110" i="2"/>
  <c r="L90" i="1"/>
  <c r="G110" i="2"/>
  <c r="M90" i="1"/>
  <c r="H110" i="2"/>
  <c r="N90" i="1"/>
  <c r="I110" i="2"/>
  <c r="O90" i="1"/>
  <c r="J110" i="2"/>
  <c r="P90" i="1"/>
  <c r="K110" i="2"/>
  <c r="Q90" i="1"/>
  <c r="J91" i="1"/>
  <c r="K91" i="1"/>
  <c r="L91" i="1"/>
  <c r="M91" i="1"/>
  <c r="N91" i="1"/>
  <c r="O91" i="1"/>
  <c r="P91" i="1"/>
  <c r="Q91" i="1"/>
  <c r="J92" i="1"/>
  <c r="K92" i="1"/>
  <c r="L92" i="1"/>
  <c r="M92" i="1"/>
  <c r="N92" i="1"/>
  <c r="O92" i="1"/>
  <c r="P92" i="1"/>
  <c r="Q92" i="1"/>
  <c r="J93" i="1"/>
  <c r="K93" i="1"/>
  <c r="L93" i="1"/>
  <c r="M93" i="1"/>
  <c r="N93" i="1"/>
  <c r="O93" i="1"/>
  <c r="P93" i="1"/>
  <c r="Q93" i="1"/>
  <c r="Q99" i="1"/>
  <c r="Q100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03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20" i="1"/>
  <c r="Q102" i="1"/>
  <c r="Q137" i="1"/>
  <c r="J83" i="1"/>
  <c r="J140" i="1"/>
  <c r="K83" i="1"/>
  <c r="K140" i="1"/>
  <c r="L83" i="1"/>
  <c r="L140" i="1"/>
  <c r="M83" i="1"/>
  <c r="M140" i="1"/>
  <c r="N83" i="1"/>
  <c r="N140" i="1"/>
  <c r="O83" i="1"/>
  <c r="O140" i="1"/>
  <c r="P83" i="1"/>
  <c r="P140" i="1"/>
  <c r="Q140" i="1"/>
  <c r="J141" i="1"/>
  <c r="K141" i="1"/>
  <c r="L141" i="1"/>
  <c r="M141" i="1"/>
  <c r="N141" i="1"/>
  <c r="O141" i="1"/>
  <c r="P141" i="1"/>
  <c r="Q141" i="1"/>
  <c r="J142" i="1"/>
  <c r="K142" i="1"/>
  <c r="L142" i="1"/>
  <c r="M142" i="1"/>
  <c r="N142" i="1"/>
  <c r="O142" i="1"/>
  <c r="P142" i="1"/>
  <c r="Q142" i="1"/>
  <c r="J143" i="1"/>
  <c r="K143" i="1"/>
  <c r="L143" i="1"/>
  <c r="M143" i="1"/>
  <c r="N143" i="1"/>
  <c r="O143" i="1"/>
  <c r="P143" i="1"/>
  <c r="Q143" i="1"/>
  <c r="J144" i="1"/>
  <c r="K144" i="1"/>
  <c r="L144" i="1"/>
  <c r="M144" i="1"/>
  <c r="N144" i="1"/>
  <c r="O144" i="1"/>
  <c r="P144" i="1"/>
  <c r="Q144" i="1"/>
  <c r="J145" i="1"/>
  <c r="K145" i="1"/>
  <c r="L145" i="1"/>
  <c r="M145" i="1"/>
  <c r="N145" i="1"/>
  <c r="O145" i="1"/>
  <c r="P145" i="1"/>
  <c r="Q145" i="1"/>
  <c r="J146" i="1"/>
  <c r="K146" i="1"/>
  <c r="L146" i="1"/>
  <c r="M146" i="1"/>
  <c r="N146" i="1"/>
  <c r="O146" i="1"/>
  <c r="P146" i="1"/>
  <c r="Q146" i="1"/>
  <c r="Q139" i="1"/>
  <c r="J149" i="1"/>
  <c r="K149" i="1"/>
  <c r="L149" i="1"/>
  <c r="M149" i="1"/>
  <c r="N149" i="1"/>
  <c r="O149" i="1"/>
  <c r="P149" i="1"/>
  <c r="Q149" i="1"/>
  <c r="J150" i="1"/>
  <c r="K150" i="1"/>
  <c r="L150" i="1"/>
  <c r="M150" i="1"/>
  <c r="N150" i="1"/>
  <c r="O150" i="1"/>
  <c r="P150" i="1"/>
  <c r="Q150" i="1"/>
  <c r="J151" i="1"/>
  <c r="K151" i="1"/>
  <c r="L151" i="1"/>
  <c r="M151" i="1"/>
  <c r="N151" i="1"/>
  <c r="O151" i="1"/>
  <c r="P151" i="1"/>
  <c r="Q151" i="1"/>
  <c r="J153" i="1"/>
  <c r="K153" i="1"/>
  <c r="L153" i="1"/>
  <c r="M153" i="1"/>
  <c r="N153" i="1"/>
  <c r="O153" i="1"/>
  <c r="P153" i="1"/>
  <c r="Q153" i="1"/>
  <c r="J154" i="1"/>
  <c r="K154" i="1"/>
  <c r="L154" i="1"/>
  <c r="M154" i="1"/>
  <c r="N154" i="1"/>
  <c r="O154" i="1"/>
  <c r="P154" i="1"/>
  <c r="Q154" i="1"/>
  <c r="Q148" i="1"/>
  <c r="Q156" i="1"/>
  <c r="Q158" i="1"/>
  <c r="Q159" i="1"/>
  <c r="Q58" i="1"/>
  <c r="Q62" i="1"/>
  <c r="Q64" i="1"/>
  <c r="J86" i="1"/>
  <c r="J87" i="1"/>
  <c r="J99" i="1"/>
  <c r="J100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03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20" i="1"/>
  <c r="J102" i="1"/>
  <c r="J137" i="1"/>
  <c r="J139" i="1"/>
  <c r="J148" i="1"/>
  <c r="J156" i="1"/>
  <c r="K86" i="1"/>
  <c r="K87" i="1"/>
  <c r="K99" i="1"/>
  <c r="K100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03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20" i="1"/>
  <c r="K102" i="1"/>
  <c r="K137" i="1"/>
  <c r="K139" i="1"/>
  <c r="K148" i="1"/>
  <c r="K156" i="1"/>
  <c r="L86" i="1"/>
  <c r="L87" i="1"/>
  <c r="L99" i="1"/>
  <c r="L100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03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20" i="1"/>
  <c r="L102" i="1"/>
  <c r="L137" i="1"/>
  <c r="L139" i="1"/>
  <c r="L148" i="1"/>
  <c r="L156" i="1"/>
  <c r="M86" i="1"/>
  <c r="M87" i="1"/>
  <c r="M99" i="1"/>
  <c r="M100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03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20" i="1"/>
  <c r="M102" i="1"/>
  <c r="M137" i="1"/>
  <c r="M139" i="1"/>
  <c r="M148" i="1"/>
  <c r="M156" i="1"/>
  <c r="N86" i="1"/>
  <c r="N87" i="1"/>
  <c r="N99" i="1"/>
  <c r="N100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03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20" i="1"/>
  <c r="N102" i="1"/>
  <c r="N137" i="1"/>
  <c r="N139" i="1"/>
  <c r="N148" i="1"/>
  <c r="N156" i="1"/>
  <c r="O86" i="1"/>
  <c r="O87" i="1"/>
  <c r="O99" i="1"/>
  <c r="O100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03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20" i="1"/>
  <c r="O102" i="1"/>
  <c r="O137" i="1"/>
  <c r="O139" i="1"/>
  <c r="O148" i="1"/>
  <c r="O156" i="1"/>
  <c r="P86" i="1"/>
  <c r="P87" i="1"/>
  <c r="P99" i="1"/>
  <c r="P100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03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20" i="1"/>
  <c r="P102" i="1"/>
  <c r="P137" i="1"/>
  <c r="P139" i="1"/>
  <c r="P148" i="1"/>
  <c r="P156" i="1"/>
  <c r="I159" i="1"/>
  <c r="B175" i="2"/>
  <c r="G180" i="2"/>
  <c r="H180" i="2"/>
  <c r="I180" i="2"/>
  <c r="J180" i="2"/>
  <c r="K180" i="2"/>
  <c r="L180" i="2"/>
  <c r="M180" i="2"/>
  <c r="N180" i="2"/>
  <c r="O180" i="2"/>
  <c r="P180" i="2"/>
  <c r="H297" i="1"/>
  <c r="I297" i="1"/>
  <c r="J297" i="1"/>
  <c r="K297" i="1"/>
  <c r="L297" i="1"/>
  <c r="M297" i="1"/>
  <c r="N297" i="1"/>
  <c r="O297" i="1"/>
  <c r="P297" i="1"/>
  <c r="Q297" i="1"/>
  <c r="B297" i="1"/>
  <c r="I296" i="1"/>
  <c r="J296" i="1"/>
  <c r="K296" i="1"/>
  <c r="L296" i="1"/>
  <c r="M296" i="1"/>
  <c r="N296" i="1"/>
  <c r="O296" i="1"/>
  <c r="P296" i="1"/>
  <c r="Q296" i="1"/>
  <c r="H296" i="1"/>
  <c r="H285" i="1"/>
  <c r="J254" i="1"/>
  <c r="K254" i="1"/>
  <c r="L254" i="1"/>
  <c r="M254" i="1"/>
  <c r="N254" i="1"/>
  <c r="O254" i="1"/>
  <c r="P254" i="1"/>
  <c r="Q254" i="1"/>
  <c r="E182" i="1"/>
  <c r="E183" i="1"/>
  <c r="E184" i="1"/>
  <c r="E185" i="1"/>
  <c r="E186" i="1"/>
  <c r="E187" i="1"/>
  <c r="E188" i="1"/>
  <c r="J188" i="1"/>
  <c r="K188" i="1"/>
  <c r="L188" i="1"/>
  <c r="M188" i="1"/>
  <c r="N188" i="1"/>
  <c r="O188" i="1"/>
  <c r="P188" i="1"/>
  <c r="Q188" i="1"/>
  <c r="E189" i="1"/>
  <c r="E190" i="1"/>
  <c r="J190" i="1"/>
  <c r="K190" i="1"/>
  <c r="L190" i="1"/>
  <c r="M190" i="1"/>
  <c r="N190" i="1"/>
  <c r="O190" i="1"/>
  <c r="P190" i="1"/>
  <c r="Q190" i="1"/>
  <c r="B190" i="1"/>
  <c r="B189" i="1"/>
  <c r="B188" i="1"/>
  <c r="B187" i="1"/>
  <c r="B186" i="1"/>
  <c r="B185" i="1"/>
  <c r="B184" i="1"/>
  <c r="B183" i="1"/>
  <c r="E173" i="1"/>
  <c r="E174" i="1"/>
  <c r="E175" i="1"/>
  <c r="E176" i="1"/>
  <c r="E177" i="1"/>
  <c r="E178" i="1"/>
  <c r="B178" i="1"/>
  <c r="B177" i="1"/>
  <c r="B176" i="1"/>
  <c r="B175" i="1"/>
  <c r="B174" i="1"/>
  <c r="B173" i="1"/>
  <c r="E164" i="1"/>
  <c r="E165" i="1"/>
  <c r="E166" i="1"/>
  <c r="E167" i="1"/>
  <c r="E168" i="1"/>
  <c r="E169" i="1"/>
  <c r="J169" i="1"/>
  <c r="K169" i="1"/>
  <c r="L169" i="1"/>
  <c r="M169" i="1"/>
  <c r="N169" i="1"/>
  <c r="O169" i="1"/>
  <c r="P169" i="1"/>
  <c r="Q169" i="1"/>
  <c r="E170" i="1"/>
  <c r="J170" i="1"/>
  <c r="K170" i="1"/>
  <c r="L170" i="1"/>
  <c r="M170" i="1"/>
  <c r="N170" i="1"/>
  <c r="O170" i="1"/>
  <c r="P170" i="1"/>
  <c r="Q170" i="1"/>
  <c r="B168" i="1"/>
  <c r="B170" i="1"/>
  <c r="B169" i="1"/>
  <c r="B167" i="1"/>
  <c r="B166" i="1"/>
  <c r="B165" i="1"/>
  <c r="B164" i="1"/>
  <c r="Q167" i="1"/>
  <c r="Q165" i="1"/>
  <c r="Q164" i="1"/>
  <c r="F175" i="2"/>
  <c r="E175" i="2"/>
  <c r="D175" i="2"/>
  <c r="C175" i="2"/>
  <c r="P53" i="2"/>
  <c r="P25" i="2"/>
  <c r="P26" i="2"/>
  <c r="P54" i="2"/>
  <c r="E191" i="1"/>
  <c r="L164" i="1"/>
  <c r="M165" i="1"/>
  <c r="J164" i="1"/>
  <c r="K165" i="1"/>
  <c r="O167" i="1"/>
  <c r="N167" i="1"/>
  <c r="L165" i="1"/>
  <c r="K164" i="1"/>
  <c r="L167" i="1"/>
  <c r="J165" i="1"/>
  <c r="M167" i="1"/>
  <c r="K167" i="1"/>
  <c r="P164" i="1"/>
  <c r="J167" i="1"/>
  <c r="P165" i="1"/>
  <c r="O164" i="1"/>
  <c r="O165" i="1"/>
  <c r="N164" i="1"/>
  <c r="P167" i="1"/>
  <c r="N165" i="1"/>
  <c r="M164" i="1"/>
  <c r="J38" i="1"/>
  <c r="J175" i="1"/>
  <c r="J40" i="1"/>
  <c r="J177" i="1"/>
  <c r="J41" i="1"/>
  <c r="J178" i="1"/>
  <c r="H295" i="1"/>
  <c r="J37" i="1"/>
  <c r="J36" i="1"/>
  <c r="D62" i="1"/>
  <c r="D64" i="1"/>
  <c r="E62" i="1"/>
  <c r="E64" i="1"/>
  <c r="F62" i="1"/>
  <c r="F64" i="1"/>
  <c r="G62" i="1"/>
  <c r="G64" i="1"/>
  <c r="C62" i="1"/>
  <c r="C64" i="1"/>
  <c r="K41" i="1"/>
  <c r="K178" i="1"/>
  <c r="K40" i="1"/>
  <c r="L40" i="1"/>
  <c r="L177" i="1"/>
  <c r="H42" i="1"/>
  <c r="J39" i="1"/>
  <c r="J176" i="1"/>
  <c r="J189" i="1"/>
  <c r="J183" i="1"/>
  <c r="J185" i="1"/>
  <c r="K38" i="1"/>
  <c r="K36" i="1"/>
  <c r="J173" i="1"/>
  <c r="J168" i="1"/>
  <c r="K37" i="1"/>
  <c r="J174" i="1"/>
  <c r="L41" i="1"/>
  <c r="L178" i="1"/>
  <c r="K177" i="1"/>
  <c r="K39" i="1"/>
  <c r="K176" i="1"/>
  <c r="M41" i="1"/>
  <c r="M178" i="1"/>
  <c r="K184" i="1"/>
  <c r="K175" i="1"/>
  <c r="L38" i="1"/>
  <c r="K185" i="1"/>
  <c r="L39" i="1"/>
  <c r="M39" i="1"/>
  <c r="M176" i="1"/>
  <c r="M40" i="1"/>
  <c r="M177" i="1"/>
  <c r="K168" i="1"/>
  <c r="L37" i="1"/>
  <c r="K174" i="1"/>
  <c r="L36" i="1"/>
  <c r="K173" i="1"/>
  <c r="B300" i="1"/>
  <c r="B296" i="1"/>
  <c r="B295" i="1"/>
  <c r="J256" i="1"/>
  <c r="K256" i="1"/>
  <c r="L256" i="1"/>
  <c r="M256" i="1"/>
  <c r="N256" i="1"/>
  <c r="O256" i="1"/>
  <c r="P256" i="1"/>
  <c r="Q256" i="1"/>
  <c r="N41" i="1"/>
  <c r="N178" i="1"/>
  <c r="K183" i="1"/>
  <c r="J182" i="1"/>
  <c r="K182" i="1"/>
  <c r="J186" i="1"/>
  <c r="L175" i="1"/>
  <c r="M38" i="1"/>
  <c r="J184" i="1"/>
  <c r="L184" i="1"/>
  <c r="K186" i="1"/>
  <c r="O41" i="1"/>
  <c r="O178" i="1"/>
  <c r="L176" i="1"/>
  <c r="N40" i="1"/>
  <c r="N177" i="1"/>
  <c r="N39" i="1"/>
  <c r="O39" i="1"/>
  <c r="O176" i="1"/>
  <c r="L168" i="1"/>
  <c r="M37" i="1"/>
  <c r="L174" i="1"/>
  <c r="M36" i="1"/>
  <c r="L173" i="1"/>
  <c r="J253" i="1"/>
  <c r="B182" i="1"/>
  <c r="L186" i="1"/>
  <c r="L185" i="1"/>
  <c r="L182" i="1"/>
  <c r="M175" i="1"/>
  <c r="N38" i="1"/>
  <c r="L183" i="1"/>
  <c r="M184" i="1"/>
  <c r="P41" i="1"/>
  <c r="P178" i="1"/>
  <c r="N176" i="1"/>
  <c r="N300" i="1"/>
  <c r="O40" i="1"/>
  <c r="P39" i="1"/>
  <c r="P176" i="1"/>
  <c r="N37" i="1"/>
  <c r="M174" i="1"/>
  <c r="M168" i="1"/>
  <c r="N36" i="1"/>
  <c r="M173" i="1"/>
  <c r="J300" i="1"/>
  <c r="M300" i="1"/>
  <c r="I300" i="1"/>
  <c r="K253" i="1"/>
  <c r="L300" i="1"/>
  <c r="H300" i="1"/>
  <c r="K300" i="1"/>
  <c r="K179" i="1"/>
  <c r="J179" i="1"/>
  <c r="E171" i="1"/>
  <c r="E179" i="1"/>
  <c r="L179" i="1"/>
  <c r="N184" i="1"/>
  <c r="M186" i="1"/>
  <c r="M185" i="1"/>
  <c r="N175" i="1"/>
  <c r="O38" i="1"/>
  <c r="M183" i="1"/>
  <c r="Q41" i="1"/>
  <c r="Q178" i="1"/>
  <c r="M179" i="1"/>
  <c r="Q39" i="1"/>
  <c r="Q176" i="1"/>
  <c r="P40" i="1"/>
  <c r="O177" i="1"/>
  <c r="J248" i="1"/>
  <c r="J262" i="1"/>
  <c r="L248" i="1"/>
  <c r="L262" i="1"/>
  <c r="N248" i="1"/>
  <c r="N262" i="1"/>
  <c r="O248" i="1"/>
  <c r="O262" i="1"/>
  <c r="M248" i="1"/>
  <c r="M262" i="1"/>
  <c r="K248" i="1"/>
  <c r="K262" i="1"/>
  <c r="P300" i="1"/>
  <c r="O300" i="1"/>
  <c r="E180" i="1"/>
  <c r="E192" i="1"/>
  <c r="O37" i="1"/>
  <c r="N174" i="1"/>
  <c r="O36" i="1"/>
  <c r="N173" i="1"/>
  <c r="N168" i="1"/>
  <c r="L253" i="1"/>
  <c r="I283" i="1"/>
  <c r="O184" i="1"/>
  <c r="N185" i="1"/>
  <c r="N183" i="1"/>
  <c r="P38" i="1"/>
  <c r="P175" i="1"/>
  <c r="O175" i="1"/>
  <c r="M182" i="1"/>
  <c r="N182" i="1"/>
  <c r="J247" i="1"/>
  <c r="K247" i="1"/>
  <c r="N247" i="1"/>
  <c r="I247" i="1"/>
  <c r="L247" i="1"/>
  <c r="M247" i="1"/>
  <c r="P248" i="1"/>
  <c r="P262" i="1"/>
  <c r="Q248" i="1"/>
  <c r="Q262" i="1"/>
  <c r="Q40" i="1"/>
  <c r="Q177" i="1"/>
  <c r="P177" i="1"/>
  <c r="Q300" i="1"/>
  <c r="O168" i="1"/>
  <c r="N179" i="1"/>
  <c r="P36" i="1"/>
  <c r="O173" i="1"/>
  <c r="P37" i="1"/>
  <c r="O174" i="1"/>
  <c r="J255" i="1"/>
  <c r="J257" i="1"/>
  <c r="J259" i="1"/>
  <c r="J283" i="1"/>
  <c r="M253" i="1"/>
  <c r="Q184" i="1"/>
  <c r="N186" i="1"/>
  <c r="O186" i="1"/>
  <c r="P185" i="1"/>
  <c r="O185" i="1"/>
  <c r="Q38" i="1"/>
  <c r="Q175" i="1"/>
  <c r="P183" i="1"/>
  <c r="O183" i="1"/>
  <c r="P247" i="1"/>
  <c r="O247" i="1"/>
  <c r="O179" i="1"/>
  <c r="Q36" i="1"/>
  <c r="Q173" i="1"/>
  <c r="P173" i="1"/>
  <c r="Q168" i="1"/>
  <c r="P168" i="1"/>
  <c r="Q37" i="1"/>
  <c r="Q174" i="1"/>
  <c r="P174" i="1"/>
  <c r="K255" i="1"/>
  <c r="K257" i="1"/>
  <c r="K259" i="1"/>
  <c r="K283" i="1"/>
  <c r="N253" i="1"/>
  <c r="P184" i="1"/>
  <c r="P186" i="1"/>
  <c r="Q185" i="1"/>
  <c r="P182" i="1"/>
  <c r="O182" i="1"/>
  <c r="Q183" i="1"/>
  <c r="Q247" i="1"/>
  <c r="P179" i="1"/>
  <c r="Q179" i="1"/>
  <c r="L255" i="1"/>
  <c r="L257" i="1"/>
  <c r="L259" i="1"/>
  <c r="L283" i="1"/>
  <c r="O253" i="1"/>
  <c r="Q186" i="1"/>
  <c r="Q182" i="1"/>
  <c r="M255" i="1"/>
  <c r="M257" i="1"/>
  <c r="M259" i="1"/>
  <c r="M283" i="1"/>
  <c r="P253" i="1"/>
  <c r="N255" i="1"/>
  <c r="N257" i="1"/>
  <c r="N259" i="1"/>
  <c r="N283" i="1"/>
  <c r="Q253" i="1"/>
  <c r="O255" i="1"/>
  <c r="O257" i="1"/>
  <c r="O259" i="1"/>
  <c r="O283" i="1"/>
  <c r="E148" i="1"/>
  <c r="F148" i="1"/>
  <c r="E139" i="1"/>
  <c r="F139" i="1"/>
  <c r="E103" i="1"/>
  <c r="F103" i="1"/>
  <c r="E120" i="1"/>
  <c r="F120" i="1"/>
  <c r="E99" i="1"/>
  <c r="F99" i="1"/>
  <c r="E83" i="1"/>
  <c r="E87" i="1"/>
  <c r="F83" i="1"/>
  <c r="F87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C49" i="1"/>
  <c r="D42" i="1"/>
  <c r="E42" i="1"/>
  <c r="F42" i="1"/>
  <c r="G42" i="1"/>
  <c r="I42" i="1"/>
  <c r="J42" i="1"/>
  <c r="K42" i="1"/>
  <c r="L42" i="1"/>
  <c r="M42" i="1"/>
  <c r="N42" i="1"/>
  <c r="O42" i="1"/>
  <c r="P42" i="1"/>
  <c r="Q42" i="1"/>
  <c r="C42" i="1"/>
  <c r="D30" i="1"/>
  <c r="E30" i="1"/>
  <c r="F30" i="1"/>
  <c r="G30" i="1"/>
  <c r="H30" i="1"/>
  <c r="C30" i="1"/>
  <c r="D15" i="1"/>
  <c r="E15" i="1"/>
  <c r="F15" i="1"/>
  <c r="G15" i="1"/>
  <c r="C15" i="1"/>
  <c r="D32" i="1"/>
  <c r="F32" i="1"/>
  <c r="C32" i="1"/>
  <c r="E32" i="1"/>
  <c r="G32" i="1"/>
  <c r="O10" i="1"/>
  <c r="M10" i="1"/>
  <c r="P255" i="1"/>
  <c r="P257" i="1"/>
  <c r="P259" i="1"/>
  <c r="P283" i="1"/>
  <c r="F102" i="1"/>
  <c r="F100" i="1"/>
  <c r="E102" i="1"/>
  <c r="E100" i="1"/>
  <c r="G66" i="1"/>
  <c r="C66" i="1"/>
  <c r="F66" i="1"/>
  <c r="E66" i="1"/>
  <c r="D66" i="1"/>
  <c r="E137" i="1"/>
  <c r="Q166" i="1"/>
  <c r="Q171" i="1"/>
  <c r="M166" i="1"/>
  <c r="M171" i="1"/>
  <c r="O166" i="1"/>
  <c r="O171" i="1"/>
  <c r="N10" i="1"/>
  <c r="N166" i="1"/>
  <c r="K10" i="1"/>
  <c r="K166" i="1"/>
  <c r="L10" i="1"/>
  <c r="L166" i="1"/>
  <c r="P10" i="1"/>
  <c r="P166" i="1"/>
  <c r="J10" i="1"/>
  <c r="J166" i="1"/>
  <c r="F137" i="1"/>
  <c r="Q255" i="1"/>
  <c r="Q257" i="1"/>
  <c r="Q259" i="1"/>
  <c r="Q283" i="1"/>
  <c r="F156" i="1"/>
  <c r="F196" i="1"/>
  <c r="E156" i="1"/>
  <c r="O180" i="1"/>
  <c r="M180" i="1"/>
  <c r="Q180" i="1"/>
  <c r="I15" i="1"/>
  <c r="L171" i="1"/>
  <c r="J171" i="1"/>
  <c r="P171" i="1"/>
  <c r="K171" i="1"/>
  <c r="H15" i="1"/>
  <c r="H32" i="1"/>
  <c r="H159" i="1"/>
  <c r="H58" i="1"/>
  <c r="H62" i="1"/>
  <c r="H64" i="1"/>
  <c r="H66" i="1"/>
  <c r="N171" i="1"/>
  <c r="G200" i="1"/>
  <c r="F200" i="1"/>
  <c r="F201" i="1"/>
  <c r="E196" i="1"/>
  <c r="E159" i="1"/>
  <c r="F159" i="1"/>
  <c r="H200" i="1"/>
  <c r="C159" i="1"/>
  <c r="J180" i="1"/>
  <c r="K180" i="1"/>
  <c r="P180" i="1"/>
  <c r="L180" i="1"/>
  <c r="N180" i="1"/>
  <c r="G159" i="1"/>
  <c r="D159" i="1"/>
  <c r="F202" i="1"/>
  <c r="G202" i="1"/>
  <c r="E200" i="1"/>
  <c r="E201" i="1"/>
  <c r="J158" i="1"/>
  <c r="J196" i="1"/>
  <c r="I58" i="1"/>
  <c r="I62" i="1"/>
  <c r="I64" i="1"/>
  <c r="J268" i="1"/>
  <c r="J272" i="1"/>
  <c r="K158" i="1"/>
  <c r="K196" i="1"/>
  <c r="E202" i="1"/>
  <c r="J159" i="1"/>
  <c r="J58" i="1"/>
  <c r="J62" i="1"/>
  <c r="J64" i="1"/>
  <c r="J273" i="1"/>
  <c r="J285" i="1"/>
  <c r="I285" i="1"/>
  <c r="K268" i="1"/>
  <c r="K272" i="1"/>
  <c r="K159" i="1"/>
  <c r="K58" i="1"/>
  <c r="K62" i="1"/>
  <c r="K64" i="1"/>
  <c r="K273" i="1"/>
  <c r="K285" i="1"/>
  <c r="L158" i="1"/>
  <c r="L196" i="1"/>
  <c r="L268" i="1"/>
  <c r="L272" i="1"/>
  <c r="L159" i="1"/>
  <c r="L58" i="1"/>
  <c r="L62" i="1"/>
  <c r="L64" i="1"/>
  <c r="M158" i="1"/>
  <c r="M196" i="1"/>
  <c r="L273" i="1"/>
  <c r="L285" i="1"/>
  <c r="M268" i="1"/>
  <c r="M272" i="1"/>
  <c r="M159" i="1"/>
  <c r="M58" i="1"/>
  <c r="M62" i="1"/>
  <c r="M64" i="1"/>
  <c r="N158" i="1"/>
  <c r="N196" i="1"/>
  <c r="M273" i="1"/>
  <c r="M285" i="1"/>
  <c r="N268" i="1"/>
  <c r="N272" i="1"/>
  <c r="Q196" i="1"/>
  <c r="P158" i="1"/>
  <c r="P196" i="1"/>
  <c r="N159" i="1"/>
  <c r="N58" i="1"/>
  <c r="N62" i="1"/>
  <c r="N64" i="1"/>
  <c r="O158" i="1"/>
  <c r="O196" i="1"/>
  <c r="N273" i="1"/>
  <c r="N285" i="1"/>
  <c r="Q268" i="1"/>
  <c r="Q272" i="1"/>
  <c r="P268" i="1"/>
  <c r="P272" i="1"/>
  <c r="O268" i="1"/>
  <c r="O272" i="1"/>
  <c r="O159" i="1"/>
  <c r="O58" i="1"/>
  <c r="O62" i="1"/>
  <c r="O64" i="1"/>
  <c r="P159" i="1"/>
  <c r="P58" i="1"/>
  <c r="P62" i="1"/>
  <c r="P64" i="1"/>
  <c r="O273" i="1"/>
  <c r="O285" i="1"/>
  <c r="Q273" i="1"/>
  <c r="Q285" i="1"/>
  <c r="P273" i="1"/>
  <c r="P285" i="1"/>
  <c r="O287" i="1"/>
  <c r="N287" i="1"/>
  <c r="M287" i="1"/>
  <c r="L287" i="1"/>
  <c r="K287" i="1"/>
  <c r="J287" i="1"/>
  <c r="I287" i="1"/>
  <c r="I295" i="1"/>
  <c r="J15" i="1"/>
  <c r="K8" i="1"/>
  <c r="J295" i="1"/>
  <c r="K27" i="1"/>
  <c r="K189" i="1"/>
  <c r="H201" i="1"/>
  <c r="H202" i="1"/>
  <c r="J23" i="1"/>
  <c r="K23" i="1"/>
  <c r="I30" i="1"/>
  <c r="I32" i="1"/>
  <c r="I66" i="1"/>
  <c r="K15" i="1"/>
  <c r="K295" i="1"/>
  <c r="L8" i="1"/>
  <c r="M8" i="1"/>
  <c r="L27" i="1"/>
  <c r="L189" i="1"/>
  <c r="K30" i="1"/>
  <c r="K187" i="1"/>
  <c r="K191" i="1"/>
  <c r="K192" i="1"/>
  <c r="I202" i="1"/>
  <c r="J200" i="1"/>
  <c r="J30" i="1"/>
  <c r="J32" i="1"/>
  <c r="J66" i="1"/>
  <c r="J187" i="1"/>
  <c r="J191" i="1"/>
  <c r="J192" i="1"/>
  <c r="L23" i="1"/>
  <c r="K32" i="1"/>
  <c r="K66" i="1"/>
  <c r="M15" i="1"/>
  <c r="M295" i="1"/>
  <c r="N8" i="1"/>
  <c r="L295" i="1"/>
  <c r="L15" i="1"/>
  <c r="M27" i="1"/>
  <c r="M189" i="1"/>
  <c r="J269" i="1"/>
  <c r="J270" i="1"/>
  <c r="J201" i="1"/>
  <c r="J202" i="1"/>
  <c r="K200" i="1"/>
  <c r="I291" i="1"/>
  <c r="L30" i="1"/>
  <c r="L32" i="1"/>
  <c r="L66" i="1"/>
  <c r="L187" i="1"/>
  <c r="L191" i="1"/>
  <c r="L192" i="1"/>
  <c r="M23" i="1"/>
  <c r="N23" i="1"/>
  <c r="O23" i="1"/>
  <c r="K269" i="1"/>
  <c r="K270" i="1"/>
  <c r="L200" i="1"/>
  <c r="K201" i="1"/>
  <c r="N295" i="1"/>
  <c r="N15" i="1"/>
  <c r="O8" i="1"/>
  <c r="N27" i="1"/>
  <c r="N189" i="1"/>
  <c r="K202" i="1"/>
  <c r="O187" i="1"/>
  <c r="K281" i="1"/>
  <c r="K291" i="1"/>
  <c r="K274" i="1"/>
  <c r="K275" i="1"/>
  <c r="J281" i="1"/>
  <c r="J291" i="1"/>
  <c r="J274" i="1"/>
  <c r="J275" i="1"/>
  <c r="N187" i="1"/>
  <c r="L269" i="1"/>
  <c r="L270" i="1"/>
  <c r="L201" i="1"/>
  <c r="L202" i="1"/>
  <c r="M200" i="1"/>
  <c r="M187" i="1"/>
  <c r="M191" i="1"/>
  <c r="M192" i="1"/>
  <c r="M30" i="1"/>
  <c r="M32" i="1"/>
  <c r="M66" i="1"/>
  <c r="P23" i="1"/>
  <c r="O295" i="1"/>
  <c r="O15" i="1"/>
  <c r="P8" i="1"/>
  <c r="N30" i="1"/>
  <c r="N32" i="1"/>
  <c r="N66" i="1"/>
  <c r="N191" i="1"/>
  <c r="N192" i="1"/>
  <c r="O27" i="1"/>
  <c r="O189" i="1"/>
  <c r="P27" i="1"/>
  <c r="O191" i="1"/>
  <c r="O192" i="1"/>
  <c r="O269" i="1"/>
  <c r="O270" i="1"/>
  <c r="P187" i="1"/>
  <c r="L281" i="1"/>
  <c r="L274" i="1"/>
  <c r="L275" i="1"/>
  <c r="L291" i="1"/>
  <c r="M201" i="1"/>
  <c r="M202" i="1"/>
  <c r="M269" i="1"/>
  <c r="M270" i="1"/>
  <c r="N200" i="1"/>
  <c r="N269" i="1"/>
  <c r="N270" i="1"/>
  <c r="N201" i="1"/>
  <c r="O200" i="1"/>
  <c r="Q23" i="1"/>
  <c r="P15" i="1"/>
  <c r="P295" i="1"/>
  <c r="Q8" i="1"/>
  <c r="P200" i="1"/>
  <c r="O30" i="1"/>
  <c r="O32" i="1"/>
  <c r="O66" i="1"/>
  <c r="O201" i="1"/>
  <c r="O202" i="1"/>
  <c r="P189" i="1"/>
  <c r="P191" i="1"/>
  <c r="P192" i="1"/>
  <c r="Q27" i="1"/>
  <c r="Q189" i="1"/>
  <c r="P30" i="1"/>
  <c r="P32" i="1"/>
  <c r="P66" i="1"/>
  <c r="N202" i="1"/>
  <c r="O281" i="1"/>
  <c r="O291" i="1"/>
  <c r="O274" i="1"/>
  <c r="O275" i="1"/>
  <c r="N291" i="1"/>
  <c r="N274" i="1"/>
  <c r="N275" i="1"/>
  <c r="N281" i="1"/>
  <c r="Q187" i="1"/>
  <c r="M291" i="1"/>
  <c r="M281" i="1"/>
  <c r="M274" i="1"/>
  <c r="M275" i="1"/>
  <c r="Q295" i="1"/>
  <c r="Q15" i="1"/>
  <c r="P269" i="1"/>
  <c r="P270" i="1"/>
  <c r="P291" i="1"/>
  <c r="P201" i="1"/>
  <c r="P202" i="1"/>
  <c r="Q191" i="1"/>
  <c r="Q192" i="1"/>
  <c r="Q201" i="1"/>
  <c r="Q30" i="1"/>
  <c r="Q200" i="1"/>
  <c r="Q32" i="1"/>
  <c r="Q66" i="1"/>
  <c r="P281" i="1"/>
  <c r="P274" i="1"/>
  <c r="P275" i="1"/>
  <c r="Q202" i="1"/>
  <c r="E306" i="1"/>
  <c r="F306" i="1"/>
  <c r="Q269" i="1"/>
  <c r="Q270" i="1"/>
  <c r="Q274" i="1"/>
  <c r="Q275" i="1"/>
  <c r="D306" i="1"/>
  <c r="Q291" i="1"/>
  <c r="Q281" i="1"/>
  <c r="E203" i="1"/>
  <c r="I260" i="1"/>
  <c r="J260" i="1"/>
  <c r="K260" i="1"/>
  <c r="L260" i="1"/>
  <c r="M260" i="1"/>
  <c r="N260" i="1"/>
  <c r="O260" i="1"/>
  <c r="P260" i="1"/>
  <c r="Q260" i="1"/>
  <c r="I261" i="1"/>
  <c r="J261" i="1"/>
  <c r="K261" i="1"/>
  <c r="L261" i="1"/>
  <c r="M261" i="1"/>
  <c r="N261" i="1"/>
  <c r="O261" i="1"/>
  <c r="P261" i="1"/>
  <c r="Q261" i="1"/>
  <c r="I263" i="1"/>
  <c r="J263" i="1"/>
  <c r="K263" i="1"/>
  <c r="L263" i="1"/>
  <c r="M263" i="1"/>
  <c r="N263" i="1"/>
  <c r="O263" i="1"/>
  <c r="P263" i="1"/>
  <c r="Q263" i="1"/>
  <c r="I264" i="1"/>
  <c r="J264" i="1"/>
  <c r="K264" i="1"/>
  <c r="L264" i="1"/>
  <c r="M264" i="1"/>
  <c r="N264" i="1"/>
  <c r="O264" i="1"/>
  <c r="P264" i="1"/>
  <c r="Q264" i="1"/>
  <c r="Q282" i="1"/>
  <c r="H284" i="1"/>
  <c r="I284" i="1"/>
  <c r="J284" i="1"/>
  <c r="K284" i="1"/>
  <c r="L284" i="1"/>
  <c r="M284" i="1"/>
  <c r="N284" i="1"/>
  <c r="O284" i="1"/>
  <c r="P284" i="1"/>
  <c r="Q284" i="1"/>
  <c r="H288" i="1"/>
  <c r="I288" i="1"/>
  <c r="J288" i="1"/>
  <c r="K288" i="1"/>
  <c r="L288" i="1"/>
  <c r="M288" i="1"/>
  <c r="N288" i="1"/>
  <c r="O288" i="1"/>
  <c r="P288" i="1"/>
  <c r="Q288" i="1"/>
  <c r="Q292" i="1"/>
  <c r="I293" i="1"/>
  <c r="J293" i="1"/>
  <c r="K293" i="1"/>
  <c r="L293" i="1"/>
  <c r="M293" i="1"/>
  <c r="N293" i="1"/>
  <c r="O293" i="1"/>
  <c r="P293" i="1"/>
  <c r="Q293" i="1"/>
  <c r="H294" i="1"/>
  <c r="I294" i="1"/>
  <c r="J294" i="1"/>
  <c r="K294" i="1"/>
  <c r="L294" i="1"/>
  <c r="M294" i="1"/>
  <c r="N294" i="1"/>
  <c r="O294" i="1"/>
  <c r="P294" i="1"/>
  <c r="Q294" i="1"/>
  <c r="H301" i="1"/>
  <c r="I301" i="1"/>
  <c r="J301" i="1"/>
  <c r="K301" i="1"/>
  <c r="L301" i="1"/>
  <c r="M301" i="1"/>
  <c r="N301" i="1"/>
  <c r="O301" i="1"/>
  <c r="P301" i="1"/>
  <c r="Q301" i="1"/>
  <c r="C307" i="1"/>
  <c r="D307" i="1"/>
  <c r="E307" i="1"/>
  <c r="F307" i="1"/>
  <c r="C308" i="1"/>
  <c r="D308" i="1"/>
  <c r="E308" i="1"/>
  <c r="F308" i="1"/>
  <c r="C309" i="1"/>
  <c r="D309" i="1"/>
  <c r="E309" i="1"/>
  <c r="F309" i="1"/>
  <c r="C314" i="1"/>
  <c r="C315" i="1"/>
  <c r="C316" i="1"/>
</calcChain>
</file>

<file path=xl/sharedStrings.xml><?xml version="1.0" encoding="utf-8"?>
<sst xmlns="http://schemas.openxmlformats.org/spreadsheetml/2006/main" count="423" uniqueCount="242">
  <si>
    <t>EMPAQUES DEL CAUCA S.A</t>
  </si>
  <si>
    <t>CIFRAS EN MILES ($ COP)</t>
  </si>
  <si>
    <t>HISTORICOS</t>
  </si>
  <si>
    <t>PROYECCION</t>
  </si>
  <si>
    <t>Disponible / Efectivo y Equivalentes al efectivo</t>
  </si>
  <si>
    <t>Inversiones</t>
  </si>
  <si>
    <t>Cuentas por cobrar clientes /Deudores comerciales Clientes</t>
  </si>
  <si>
    <t>Anticipo de Impuestos y Contribuciones</t>
  </si>
  <si>
    <t xml:space="preserve">Deudores </t>
  </si>
  <si>
    <t xml:space="preserve"> Inventarios</t>
  </si>
  <si>
    <t>Otros Activos</t>
  </si>
  <si>
    <t>Diferidos</t>
  </si>
  <si>
    <t>TOTAL ACTIVO CORRIENTE</t>
  </si>
  <si>
    <t xml:space="preserve"> NO  C O R R I E N T E</t>
  </si>
  <si>
    <t>Deudores de largo plazo</t>
  </si>
  <si>
    <t>Cuentas de Dificil Cobro</t>
  </si>
  <si>
    <t>Provisiones cartera</t>
  </si>
  <si>
    <t>Inventarios Almacen de Mat. Repuestos y suministros</t>
  </si>
  <si>
    <t>Propiedad Planta y Equipo (-Dep Acumulada)</t>
  </si>
  <si>
    <t>Intangibles</t>
  </si>
  <si>
    <t>Inversiones de largo plazo</t>
  </si>
  <si>
    <t xml:space="preserve">Valorizacion de propiedad planta y equipo </t>
  </si>
  <si>
    <t>Diferidos /Gastos pagados por anticipado</t>
  </si>
  <si>
    <t xml:space="preserve">Diferidos/Inventarios </t>
  </si>
  <si>
    <t>Estudio prefactibilidad proyecto inmobiliario</t>
  </si>
  <si>
    <t>TOTAL ACTIVO NO CORRIENTE</t>
  </si>
  <si>
    <t>TOTAL ACTIVO</t>
  </si>
  <si>
    <t xml:space="preserve">Obligaciones Financieras </t>
  </si>
  <si>
    <t xml:space="preserve">Proveedores </t>
  </si>
  <si>
    <t xml:space="preserve">Cuentas por pagar </t>
  </si>
  <si>
    <t>Impuestos Gravamenes y Tasas</t>
  </si>
  <si>
    <t>Obligaciones Laborales/Beneficios a empleados</t>
  </si>
  <si>
    <t>Pasivos Estimados y Provisiones</t>
  </si>
  <si>
    <t>Otros Pasivos</t>
  </si>
  <si>
    <t>TOTAL PASIVO CORRIENTE</t>
  </si>
  <si>
    <t>L A R G O  P L A Z O</t>
  </si>
  <si>
    <t xml:space="preserve">Provisión para costos y gastos </t>
  </si>
  <si>
    <t xml:space="preserve">Provisiones diversas/ Provision para obligaciones fiscales </t>
  </si>
  <si>
    <t>TOTAL PASIVO LARGO PLAZO</t>
  </si>
  <si>
    <t xml:space="preserve">  TOTAL PASIVO</t>
  </si>
  <si>
    <t>CAPITAL Y SUPERAVIT</t>
  </si>
  <si>
    <t>Capital suscrito y pagado</t>
  </si>
  <si>
    <t>Superavit de Capital</t>
  </si>
  <si>
    <t xml:space="preserve">Reservas </t>
  </si>
  <si>
    <t>Revalorización del Patrimonio</t>
  </si>
  <si>
    <t xml:space="preserve">Resultado del Presente Ejercicio </t>
  </si>
  <si>
    <t>Resultados de Ejercicios anteriores</t>
  </si>
  <si>
    <t>Superávit por Valoriz, Donaciones.</t>
  </si>
  <si>
    <t xml:space="preserve">  TOTAL CAPITAL Y SUPERAVIT</t>
  </si>
  <si>
    <t xml:space="preserve">  TOTAL PASIVO Y PATRIMONIO</t>
  </si>
  <si>
    <t>DESCUADRE</t>
  </si>
  <si>
    <t>ESTADO DE RESULTADOS PROYECTADOS</t>
  </si>
  <si>
    <t>EMPAQUES DEL CAUCA SA</t>
  </si>
  <si>
    <t>INGRESOS OPERACIONALES</t>
  </si>
  <si>
    <t xml:space="preserve">Empaques de Fique </t>
  </si>
  <si>
    <t>Empaques de Polifique</t>
  </si>
  <si>
    <t>Telas de fique</t>
  </si>
  <si>
    <t>Cordeleria</t>
  </si>
  <si>
    <t>Marcación de empaque</t>
  </si>
  <si>
    <t>Sacos de Polipropileno</t>
  </si>
  <si>
    <t xml:space="preserve">Tela de polipropileno </t>
  </si>
  <si>
    <t>Venta de mercancia s no fabricadas por la empresa</t>
  </si>
  <si>
    <t>Arrendamiento</t>
  </si>
  <si>
    <t>TOTAL INGRESOS</t>
  </si>
  <si>
    <t xml:space="preserve">DEVOLUCIONES EN VENTAS </t>
  </si>
  <si>
    <t xml:space="preserve">Devoluciones en Ventas </t>
  </si>
  <si>
    <t>TOTAL INGRESOS OPERACIONALES NETOS</t>
  </si>
  <si>
    <t xml:space="preserve">COSTO DE VENTAS </t>
  </si>
  <si>
    <t>Empaques de fique</t>
  </si>
  <si>
    <t xml:space="preserve">Empaques de polifique </t>
  </si>
  <si>
    <t xml:space="preserve">Telas de fique </t>
  </si>
  <si>
    <t xml:space="preserve">Marcación de empaque </t>
  </si>
  <si>
    <t>Sacos de polipropileno</t>
  </si>
  <si>
    <t>Tela de polipropileno</t>
  </si>
  <si>
    <t xml:space="preserve">Enlahinado de Sacos </t>
  </si>
  <si>
    <t xml:space="preserve">Otros costos de ventas </t>
  </si>
  <si>
    <t xml:space="preserve">TOTAL COSTOS </t>
  </si>
  <si>
    <t xml:space="preserve">UTILIDAD/ PERDIDA BRUTA </t>
  </si>
  <si>
    <t>GASTOS DE OPERACIÓN</t>
  </si>
  <si>
    <t xml:space="preserve">Operacionales de Administración </t>
  </si>
  <si>
    <t>Gastos de Personal</t>
  </si>
  <si>
    <t xml:space="preserve">Honorarios </t>
  </si>
  <si>
    <t xml:space="preserve">Impuestos </t>
  </si>
  <si>
    <t>Contribuciones y afiliaciones</t>
  </si>
  <si>
    <t>Seguros</t>
  </si>
  <si>
    <t xml:space="preserve">Servicios </t>
  </si>
  <si>
    <t xml:space="preserve">Gastos legales </t>
  </si>
  <si>
    <t>Mantenimiento y Reparaciones</t>
  </si>
  <si>
    <t xml:space="preserve">Adecuación e instalación </t>
  </si>
  <si>
    <t xml:space="preserve">Gastos de viaje </t>
  </si>
  <si>
    <t xml:space="preserve">Depreciaciones </t>
  </si>
  <si>
    <t>Amortizaciones</t>
  </si>
  <si>
    <t>Diversos</t>
  </si>
  <si>
    <t>Provisiones</t>
  </si>
  <si>
    <t xml:space="preserve">Operacionales de Ventas </t>
  </si>
  <si>
    <t>UTILIDAD OPERACIONAL</t>
  </si>
  <si>
    <t xml:space="preserve">INGRESOS NO OPERACIONALES </t>
  </si>
  <si>
    <t xml:space="preserve">Financieros </t>
  </si>
  <si>
    <t xml:space="preserve">Utilidad venta repuestos y mat prima </t>
  </si>
  <si>
    <t xml:space="preserve">Ingresos de Ejercicios Anteriores </t>
  </si>
  <si>
    <t>Arrendamientos</t>
  </si>
  <si>
    <t>Diversos y recuperaciones</t>
  </si>
  <si>
    <t>Recuperados de Almacen</t>
  </si>
  <si>
    <t>EGRESOS NO OPERACIONALES</t>
  </si>
  <si>
    <t>Otros Egresos</t>
  </si>
  <si>
    <t>UTILIDAD PERDIDA ANTES DE IMPUESTOS</t>
  </si>
  <si>
    <t xml:space="preserve">Provisión impuesto sobre la renta </t>
  </si>
  <si>
    <t>UTILIDAD DEL EJERCICIO</t>
  </si>
  <si>
    <t xml:space="preserve">Capital de trabajo </t>
  </si>
  <si>
    <t>Capital de Trabajo Neto Operativo</t>
  </si>
  <si>
    <t>Inversiones en Activos a largo plazo</t>
  </si>
  <si>
    <t xml:space="preserve">Capital Invertido Neto </t>
  </si>
  <si>
    <t>Tasa Impositiva</t>
  </si>
  <si>
    <t>NOPLAT</t>
  </si>
  <si>
    <t>ROIC</t>
  </si>
  <si>
    <t>IR</t>
  </si>
  <si>
    <t>g</t>
  </si>
  <si>
    <t>Fuente:http://finance.yahoo.com/q/hp?s=%5EGSPC&amp;a=01&amp;b=01&amp;c=2000&amp;d=01&amp;e=01&amp;f=2013&amp;g=m</t>
  </si>
  <si>
    <t>Date</t>
  </si>
  <si>
    <t>Adj Close</t>
  </si>
  <si>
    <t>Rentabilidad</t>
  </si>
  <si>
    <t>Promedio</t>
  </si>
  <si>
    <t>Periodica</t>
  </si>
  <si>
    <t>E.A</t>
  </si>
  <si>
    <t>RM</t>
  </si>
  <si>
    <t xml:space="preserve">intereses </t>
  </si>
  <si>
    <t xml:space="preserve">Amortización </t>
  </si>
  <si>
    <t xml:space="preserve">pago </t>
  </si>
  <si>
    <t>Kd</t>
  </si>
  <si>
    <t>Ku (US$)</t>
  </si>
  <si>
    <t>Ku ($)</t>
  </si>
  <si>
    <t>%D t-1</t>
  </si>
  <si>
    <t>%E t-1</t>
  </si>
  <si>
    <t>Ke ($)</t>
  </si>
  <si>
    <t>WACC</t>
  </si>
  <si>
    <t>FLUJO DE CAJA LIBRE</t>
  </si>
  <si>
    <t xml:space="preserve">Inversión Neta </t>
  </si>
  <si>
    <t>Flujo de caja de la Deuda</t>
  </si>
  <si>
    <t>Flujo de caja de ahorro impositivo</t>
  </si>
  <si>
    <t xml:space="preserve">Flujo de caja de Financiación </t>
  </si>
  <si>
    <t xml:space="preserve">Flujo de caja de capital </t>
  </si>
  <si>
    <t>Flujo de caja del Accionista</t>
  </si>
  <si>
    <t>valor terminal</t>
  </si>
  <si>
    <t>Ku</t>
  </si>
  <si>
    <t>FCL sin VT</t>
  </si>
  <si>
    <t xml:space="preserve">ACTIVO CORRIENTE </t>
  </si>
  <si>
    <t xml:space="preserve"> P A S I V O CORRIENTE</t>
  </si>
  <si>
    <t xml:space="preserve">BALANCE GENERAL </t>
  </si>
  <si>
    <t>Tasa libre de riesgo (USS) (Treasury 10 años)</t>
  </si>
  <si>
    <t>Beta desapalancada del sector (Damodaram- agropecuario)</t>
  </si>
  <si>
    <t xml:space="preserve">Rendimiento de mercado (S&amp;P 500) </t>
  </si>
  <si>
    <t>Riesgo pais (Banco central de perú- EMBI_)</t>
  </si>
  <si>
    <t>VT</t>
  </si>
  <si>
    <t>VP FCL</t>
  </si>
  <si>
    <t>FC AI</t>
  </si>
  <si>
    <t>VP AI</t>
  </si>
  <si>
    <t>Valor Operativo de la empresa</t>
  </si>
  <si>
    <t>ANALISIS DE SENSIBILIDAD</t>
  </si>
  <si>
    <t>Escenario</t>
  </si>
  <si>
    <t>Vr. Termnal</t>
  </si>
  <si>
    <t>Vr. Empresa</t>
  </si>
  <si>
    <t>Optimista</t>
  </si>
  <si>
    <t>Moderado</t>
  </si>
  <si>
    <t>Pesimista</t>
  </si>
  <si>
    <t>Valor de la empresa en diferentes escenarios</t>
  </si>
  <si>
    <t>ACTIVO</t>
  </si>
  <si>
    <r>
      <t>2017</t>
    </r>
    <r>
      <rPr>
        <b/>
        <vertAlign val="superscript"/>
        <sz val="9"/>
        <rFont val="Arial"/>
        <family val="2"/>
      </rPr>
      <t>pr</t>
    </r>
  </si>
  <si>
    <r>
      <t>2018</t>
    </r>
    <r>
      <rPr>
        <b/>
        <vertAlign val="superscript"/>
        <sz val="9"/>
        <rFont val="Arial"/>
        <family val="2"/>
      </rPr>
      <t>pr</t>
    </r>
  </si>
  <si>
    <r>
      <t>2019</t>
    </r>
    <r>
      <rPr>
        <b/>
        <vertAlign val="superscript"/>
        <sz val="9"/>
        <rFont val="Arial"/>
        <family val="2"/>
      </rPr>
      <t>p</t>
    </r>
  </si>
  <si>
    <r>
      <t>2020</t>
    </r>
    <r>
      <rPr>
        <b/>
        <vertAlign val="superscript"/>
        <sz val="9"/>
        <rFont val="Arial"/>
        <family val="2"/>
      </rPr>
      <t>pr</t>
    </r>
  </si>
  <si>
    <r>
      <t>2021</t>
    </r>
    <r>
      <rPr>
        <b/>
        <vertAlign val="superscript"/>
        <sz val="9"/>
        <rFont val="Arial"/>
        <family val="2"/>
      </rPr>
      <t>p</t>
    </r>
  </si>
  <si>
    <r>
      <t>2022</t>
    </r>
    <r>
      <rPr>
        <b/>
        <vertAlign val="superscript"/>
        <sz val="9"/>
        <rFont val="Arial"/>
        <family val="2"/>
      </rPr>
      <t>pr</t>
    </r>
  </si>
  <si>
    <r>
      <t>2023</t>
    </r>
    <r>
      <rPr>
        <b/>
        <vertAlign val="superscript"/>
        <sz val="9"/>
        <rFont val="Arial"/>
        <family val="2"/>
      </rPr>
      <t>pr</t>
    </r>
  </si>
  <si>
    <r>
      <t>2024</t>
    </r>
    <r>
      <rPr>
        <b/>
        <vertAlign val="superscript"/>
        <sz val="9"/>
        <rFont val="Arial"/>
        <family val="2"/>
      </rPr>
      <t>pr</t>
    </r>
  </si>
  <si>
    <r>
      <t>2025</t>
    </r>
    <r>
      <rPr>
        <b/>
        <vertAlign val="superscript"/>
        <sz val="9"/>
        <rFont val="Arial"/>
        <family val="2"/>
      </rPr>
      <t>pr</t>
    </r>
  </si>
  <si>
    <r>
      <t>2026</t>
    </r>
    <r>
      <rPr>
        <b/>
        <vertAlign val="superscript"/>
        <sz val="9"/>
        <rFont val="Arial"/>
        <family val="2"/>
      </rPr>
      <t>pr</t>
    </r>
  </si>
  <si>
    <t>NOTA: Las cuentas operativas del Activo se incrementan en igual porcentaje que los ingresos</t>
  </si>
  <si>
    <t>PROMEDIO</t>
  </si>
  <si>
    <t>Anticipo impuestos</t>
  </si>
  <si>
    <t>Ingresos</t>
  </si>
  <si>
    <t xml:space="preserve">NOTA: La cuenta Anticipo de impuestos y contribuciones la proyectamos de acuerdo al promedio de la proporciòn de este rubro con relaciòn a los ingresos teniendo en cuenta que el porcentaje de retención en la fuente está entre el 2.5% y 3.5% </t>
  </si>
  <si>
    <t>Nota: Incremento del 10%  por automatización de la planta</t>
  </si>
  <si>
    <t>NOTA: Estos rubros no tienen variaciones historicas por la tanto se mantienen.</t>
  </si>
  <si>
    <t xml:space="preserve">PASIVO </t>
  </si>
  <si>
    <t>Proveedores</t>
  </si>
  <si>
    <t>NOTA: Las cuentas operativas del Pasivo como proveedores, se incrementan en igual porcentaje que los ingresos</t>
  </si>
  <si>
    <t>PATRIMONIO</t>
  </si>
  <si>
    <t>El capital suscrito y pagado se mantiene</t>
  </si>
  <si>
    <t>El Superavit de Capital se mantiene</t>
  </si>
  <si>
    <t>Las reservas se mantienen</t>
  </si>
  <si>
    <t>La Revalorización del Patrimonio se mantiene</t>
  </si>
  <si>
    <t xml:space="preserve">Se traslada la utilidad del presente ejercicio del Estado de resultados </t>
  </si>
  <si>
    <t xml:space="preserve">Se acumula la utilidad de cada periodo anterior </t>
  </si>
  <si>
    <t>Superavit por valorizaciones se mantiene</t>
  </si>
  <si>
    <t>ESTADO DE RESULTADOS</t>
  </si>
  <si>
    <t>INGRESOS</t>
  </si>
  <si>
    <t>DEPARTAMENTOS</t>
  </si>
  <si>
    <r>
      <t>2015</t>
    </r>
    <r>
      <rPr>
        <b/>
        <vertAlign val="superscript"/>
        <sz val="9"/>
        <rFont val="Arial"/>
        <family val="2"/>
      </rPr>
      <t>p</t>
    </r>
  </si>
  <si>
    <r>
      <t>2016</t>
    </r>
    <r>
      <rPr>
        <b/>
        <vertAlign val="superscript"/>
        <sz val="9"/>
        <rFont val="Arial"/>
        <family val="2"/>
      </rPr>
      <t>pr</t>
    </r>
  </si>
  <si>
    <t>TOTAL COLOMBIA</t>
  </si>
  <si>
    <t>AGRICULTURA, GANADERIA, CAZA, SILVICULTURA Y PESCA</t>
  </si>
  <si>
    <t>CAFÉ</t>
  </si>
  <si>
    <t xml:space="preserve">PIB COLOMBIA </t>
  </si>
  <si>
    <t>INFLACÍON</t>
  </si>
  <si>
    <t xml:space="preserve">PIB NOMINAL </t>
  </si>
  <si>
    <t>INCREMENTO ESPERADO POR EMPRESA (3%)</t>
  </si>
  <si>
    <t>INCREMENTO DE LOS INGRESOS</t>
  </si>
  <si>
    <t>Nota: Se incrementan los ingresos de acuerdo al Pib nominal de colombia  y la proyecciones encontradas, a partir del año 2022 se toma como perpetuidad, a partir del año 2016 no se generan ingresos por concepto de Marcación de empaque, sacos de polipropileno, tela de polipropileno y otras ventas de mercancia no fabricada por la empresa, por lo cual estos rubros no se proyectan</t>
  </si>
  <si>
    <t xml:space="preserve">DEVOLUCION EN VENTAS </t>
  </si>
  <si>
    <t>Total Ingresos</t>
  </si>
  <si>
    <t xml:space="preserve">Devolución en ventas </t>
  </si>
  <si>
    <t>Peso porcentual con relación a los ingresos</t>
  </si>
  <si>
    <t xml:space="preserve">COSTO DE PRODUCCIÓN Y VENTAS </t>
  </si>
  <si>
    <t xml:space="preserve">Nota: El costo de producción y ventas se proyecta con el Pib Nomial igual que los ingresos </t>
  </si>
  <si>
    <t xml:space="preserve">GASTOS DE OPERACIÓN </t>
  </si>
  <si>
    <t xml:space="preserve">Gastos de Administración </t>
  </si>
  <si>
    <t>Nota: Los gastos operacionales de administración y ventas se proyectan de acuerdo al analisis vertical realizado (el peso % con relación a los ingresos)</t>
  </si>
  <si>
    <t>Este rubro no se proyecto debido a que corresponde a ajustes que realizan con frecuencia</t>
  </si>
  <si>
    <t>Debido a que la empresa estaba generando perdida la provisión de renta se realizaba por renta presuntiva</t>
  </si>
  <si>
    <t>porcentaje renta liquida</t>
  </si>
  <si>
    <t xml:space="preserve">porcentaje renta presuntiva </t>
  </si>
  <si>
    <t>Total deuda</t>
  </si>
  <si>
    <t>TASA NM</t>
  </si>
  <si>
    <t>TASA EA</t>
  </si>
  <si>
    <t xml:space="preserve">NOTA:  (Inversiones, Deudores de largo plazo, cuentas de dificil cobro, provisiones de cartera, inventario almacen mat repuestos y suministros, intangibles, diferidos / gastos pagados por anticipado).                                                                                                                      Estos rubros se proyectan de acuerdo a la variación del Activo Total </t>
  </si>
  <si>
    <t>Activo total</t>
  </si>
  <si>
    <t>NOTA:  (Obligaciones Financieras , Impuestos Gravamenes y Tasas, Obligaciones Laborales/Beneficios a empleados, Pasivos Estimados y Provisiones,Otros Pasivos, Obligaciones Financieras ,Provisión para costos y gastos ,Provisiones diversas/ Provision para obligaciones fiscales) .                                                                                                                                                                                     Estos rubros se proyectan de acuerdo a la variación del Pasivo total + patrimonio</t>
  </si>
  <si>
    <t xml:space="preserve">Pasivo Total + Patrimonio </t>
  </si>
  <si>
    <t>Obligaciones Financieras corto plazo</t>
  </si>
  <si>
    <t>Obligaciones Financieras largo plazo</t>
  </si>
  <si>
    <t xml:space="preserve">Total Deuda Financiera </t>
  </si>
  <si>
    <t>Devaluacion (proyecciones bancolombia)</t>
  </si>
  <si>
    <t xml:space="preserve"> VALORACIÓN POR FLUJO DE CAJA LIBRE CON WACC TRADICIONAL</t>
  </si>
  <si>
    <t>AÑO</t>
  </si>
  <si>
    <t>VALORACIÓN POR APV CON FCL, Ku</t>
  </si>
  <si>
    <t>Valor Total de la Empresa</t>
  </si>
  <si>
    <t xml:space="preserve">Disponible </t>
  </si>
  <si>
    <t xml:space="preserve">Cuentas por cobrar clientes </t>
  </si>
  <si>
    <t xml:space="preserve">Gastos bancarios </t>
  </si>
  <si>
    <t>Gravamen a los movimientos financieros</t>
  </si>
  <si>
    <t>Descuentos comerciales</t>
  </si>
  <si>
    <t>Comisones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</si>
</sst>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2" formatCode="_-&quot;$&quot;* #,##0_-;\-&quot;$&quot;* #,##0_-;_-&quot;$&quot;* &quot;-&quot;_-;_-@_-"/>
    <numFmt numFmtId="164" formatCode="_(* #,##0_);_(* \(#,##0\);_(* &quot;-&quot;_);_(@_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(&quot;$&quot;\ * #,##0_);_(&quot;$&quot;\ * \(#,##0\);_(&quot;$&quot;\ * &quot;-&quot;??_);_(@_)"/>
    <numFmt numFmtId="168" formatCode="_(* #,##0_);_(* \(#,##0\);_(* &quot;-&quot;??_);_(@_)"/>
    <numFmt numFmtId="169" formatCode="_-* #,##0_-;\-* #,##0_-;_-* &quot;-&quot;??_-;_-@_-"/>
    <numFmt numFmtId="170" formatCode="0.0%"/>
    <numFmt numFmtId="171" formatCode="_([$$-240A]\ * #,##0_);_([$$-240A]\ * \(#,##0\);_([$$-240A]\ * &quot;-&quot;??_);_(@_)"/>
    <numFmt numFmtId="172" formatCode="0.0000"/>
    <numFmt numFmtId="173" formatCode="0.000"/>
    <numFmt numFmtId="174" formatCode="_([$$-240A]\ * #,##0.00_);_([$$-240A]\ * \(#,##0.00\);_([$$-240A]\ * &quot;-&quot;??_);_(@_)"/>
    <numFmt numFmtId="175" formatCode="_([$$-240A]\ * #,##0.000_);_([$$-240A]\ * \(#,##0.000\);_([$$-240A]\ * &quot;-&quot;??_);_(@_)"/>
    <numFmt numFmtId="176" formatCode="_-* #,##0.00_-;\-* #,##0.00_-;_-* &quot;-&quot;_-;_-@_-"/>
    <numFmt numFmtId="177" formatCode="#,##0.0"/>
    <numFmt numFmtId="178" formatCode="0.000%"/>
    <numFmt numFmtId="179" formatCode="_-&quot;$&quot;* #,##0_-;\-&quot;$&quot;* #,##0_-;_-&quot;$&quot;* &quot;-&quot;??_-;_-@_-"/>
    <numFmt numFmtId="180" formatCode="0.000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name val="Arial"/>
      <family val="2"/>
    </font>
    <font>
      <b/>
      <vertAlign val="superscript"/>
      <sz val="9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388">
    <xf numFmtId="0" fontId="0" fillId="0" borderId="0" xfId="0"/>
    <xf numFmtId="0" fontId="3" fillId="0" borderId="0" xfId="0" applyFont="1"/>
    <xf numFmtId="169" fontId="0" fillId="0" borderId="0" xfId="1" applyNumberFormat="1" applyFont="1"/>
    <xf numFmtId="0" fontId="0" fillId="0" borderId="5" xfId="0" applyBorder="1"/>
    <xf numFmtId="10" fontId="0" fillId="0" borderId="5" xfId="4" applyNumberFormat="1" applyFont="1" applyBorder="1"/>
    <xf numFmtId="167" fontId="0" fillId="0" borderId="0" xfId="3" applyNumberFormat="1" applyFont="1" applyBorder="1"/>
    <xf numFmtId="0" fontId="0" fillId="0" borderId="0" xfId="0" applyFill="1" applyBorder="1"/>
    <xf numFmtId="0" fontId="3" fillId="0" borderId="0" xfId="0" applyFont="1" applyFill="1" applyBorder="1"/>
    <xf numFmtId="0" fontId="10" fillId="0" borderId="0" xfId="5" quotePrefix="1" applyNumberFormat="1" applyFont="1" applyFill="1" applyBorder="1" applyAlignment="1" applyProtection="1">
      <alignment horizontal="center"/>
    </xf>
    <xf numFmtId="0" fontId="4" fillId="0" borderId="3" xfId="5" applyFont="1" applyBorder="1" applyAlignment="1" applyProtection="1">
      <alignment horizontal="left"/>
    </xf>
    <xf numFmtId="10" fontId="0" fillId="0" borderId="0" xfId="4" applyNumberFormat="1" applyFont="1"/>
    <xf numFmtId="10" fontId="1" fillId="0" borderId="0" xfId="4" applyNumberFormat="1" applyFont="1"/>
    <xf numFmtId="0" fontId="4" fillId="0" borderId="3" xfId="5" applyFont="1" applyFill="1" applyBorder="1" applyAlignment="1" applyProtection="1">
      <alignment horizontal="left"/>
    </xf>
    <xf numFmtId="0" fontId="6" fillId="0" borderId="0" xfId="5" applyFont="1" applyFill="1" applyBorder="1" applyAlignment="1" applyProtection="1">
      <alignment horizontal="left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vertical="center" wrapText="1"/>
    </xf>
    <xf numFmtId="170" fontId="0" fillId="0" borderId="0" xfId="4" applyNumberFormat="1" applyFont="1"/>
    <xf numFmtId="170" fontId="3" fillId="0" borderId="0" xfId="0" applyNumberFormat="1" applyFont="1"/>
    <xf numFmtId="0" fontId="0" fillId="0" borderId="0" xfId="0" applyAlignment="1">
      <alignment vertical="center"/>
    </xf>
    <xf numFmtId="9" fontId="0" fillId="0" borderId="0" xfId="0" applyNumberFormat="1" applyAlignment="1">
      <alignment vertical="center"/>
    </xf>
    <xf numFmtId="0" fontId="0" fillId="0" borderId="0" xfId="0" applyBorder="1" applyAlignment="1">
      <alignment horizontal="center" vertical="center"/>
    </xf>
    <xf numFmtId="0" fontId="6" fillId="0" borderId="3" xfId="5" applyFont="1" applyFill="1" applyBorder="1" applyAlignment="1" applyProtection="1">
      <alignment horizontal="left"/>
    </xf>
    <xf numFmtId="0" fontId="6" fillId="0" borderId="3" xfId="5" applyFont="1" applyFill="1" applyBorder="1"/>
    <xf numFmtId="0" fontId="6" fillId="0" borderId="3" xfId="5" applyFont="1" applyBorder="1" applyAlignment="1" applyProtection="1">
      <alignment horizontal="left"/>
    </xf>
    <xf numFmtId="0" fontId="13" fillId="9" borderId="3" xfId="5" applyFont="1" applyFill="1" applyBorder="1"/>
    <xf numFmtId="3" fontId="13" fillId="9" borderId="1" xfId="5" applyNumberFormat="1" applyFont="1" applyFill="1" applyBorder="1" applyAlignment="1" applyProtection="1">
      <alignment horizontal="fill"/>
    </xf>
    <xf numFmtId="3" fontId="13" fillId="9" borderId="1" xfId="5" applyNumberFormat="1" applyFont="1" applyFill="1" applyBorder="1"/>
    <xf numFmtId="4" fontId="13" fillId="9" borderId="5" xfId="5" applyNumberFormat="1" applyFont="1" applyFill="1" applyBorder="1" applyAlignment="1" applyProtection="1">
      <alignment horizontal="center" vertical="center"/>
    </xf>
    <xf numFmtId="0" fontId="13" fillId="9" borderId="5" xfId="5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177" fontId="13" fillId="9" borderId="5" xfId="0" applyNumberFormat="1" applyFont="1" applyFill="1" applyBorder="1" applyAlignment="1" applyProtection="1">
      <alignment horizontal="center" vertical="center"/>
    </xf>
    <xf numFmtId="177" fontId="13" fillId="9" borderId="5" xfId="5" applyNumberFormat="1" applyFont="1" applyFill="1" applyBorder="1" applyAlignment="1" applyProtection="1">
      <alignment horizontal="center" vertical="center"/>
    </xf>
    <xf numFmtId="10" fontId="13" fillId="9" borderId="5" xfId="4" applyNumberFormat="1" applyFont="1" applyFill="1" applyBorder="1" applyAlignment="1">
      <alignment horizontal="center"/>
    </xf>
    <xf numFmtId="10" fontId="13" fillId="9" borderId="5" xfId="5" applyNumberFormat="1" applyFont="1" applyFill="1" applyBorder="1" applyAlignment="1">
      <alignment horizontal="center"/>
    </xf>
    <xf numFmtId="10" fontId="10" fillId="9" borderId="5" xfId="4" applyNumberFormat="1" applyFont="1" applyFill="1" applyBorder="1" applyAlignment="1" applyProtection="1">
      <alignment horizontal="center"/>
    </xf>
    <xf numFmtId="9" fontId="3" fillId="0" borderId="5" xfId="0" applyNumberFormat="1" applyFont="1" applyBorder="1" applyAlignment="1">
      <alignment horizontal="center" vertical="center"/>
    </xf>
    <xf numFmtId="10" fontId="3" fillId="0" borderId="5" xfId="4" applyNumberFormat="1" applyFont="1" applyBorder="1" applyAlignment="1">
      <alignment horizontal="center" vertical="center"/>
    </xf>
    <xf numFmtId="10" fontId="3" fillId="0" borderId="0" xfId="4" applyNumberFormat="1" applyFont="1" applyBorder="1" applyAlignment="1">
      <alignment horizontal="center" vertical="center"/>
    </xf>
    <xf numFmtId="42" fontId="4" fillId="0" borderId="5" xfId="7" applyFont="1" applyFill="1" applyBorder="1" applyAlignment="1">
      <alignment horizontal="center"/>
    </xf>
    <xf numFmtId="42" fontId="0" fillId="0" borderId="5" xfId="7" applyFont="1" applyBorder="1"/>
    <xf numFmtId="42" fontId="1" fillId="0" borderId="5" xfId="7" applyFont="1" applyBorder="1"/>
    <xf numFmtId="10" fontId="3" fillId="0" borderId="5" xfId="4" applyNumberFormat="1" applyFont="1" applyBorder="1"/>
    <xf numFmtId="10" fontId="3" fillId="0" borderId="0" xfId="4" applyNumberFormat="1" applyFont="1" applyFill="1" applyBorder="1"/>
    <xf numFmtId="10" fontId="3" fillId="0" borderId="0" xfId="0" applyNumberFormat="1" applyFont="1" applyFill="1" applyBorder="1"/>
    <xf numFmtId="0" fontId="2" fillId="0" borderId="5" xfId="0" applyFont="1" applyFill="1" applyBorder="1" applyAlignment="1">
      <alignment horizontal="center" vertical="center"/>
    </xf>
    <xf numFmtId="10" fontId="0" fillId="0" borderId="5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0" fontId="0" fillId="0" borderId="0" xfId="0" applyNumberFormat="1" applyBorder="1" applyAlignment="1">
      <alignment horizontal="center" vertical="center"/>
    </xf>
    <xf numFmtId="170" fontId="3" fillId="0" borderId="0" xfId="4" applyNumberFormat="1" applyFont="1"/>
    <xf numFmtId="0" fontId="6" fillId="0" borderId="3" xfId="5" applyFont="1" applyBorder="1"/>
    <xf numFmtId="0" fontId="4" fillId="0" borderId="3" xfId="5" applyFont="1" applyFill="1" applyBorder="1"/>
    <xf numFmtId="0" fontId="6" fillId="0" borderId="0" xfId="5" applyFont="1" applyFill="1" applyBorder="1" applyAlignment="1"/>
    <xf numFmtId="9" fontId="3" fillId="0" borderId="0" xfId="0" applyNumberFormat="1" applyFont="1"/>
    <xf numFmtId="170" fontId="0" fillId="0" borderId="0" xfId="0" applyNumberFormat="1"/>
    <xf numFmtId="178" fontId="0" fillId="0" borderId="0" xfId="0" applyNumberFormat="1"/>
    <xf numFmtId="10" fontId="3" fillId="0" borderId="0" xfId="4" applyNumberFormat="1" applyFont="1"/>
    <xf numFmtId="169" fontId="1" fillId="0" borderId="0" xfId="1" applyNumberFormat="1" applyFont="1"/>
    <xf numFmtId="169" fontId="3" fillId="0" borderId="0" xfId="0" applyNumberFormat="1" applyFont="1"/>
    <xf numFmtId="169" fontId="3" fillId="0" borderId="0" xfId="1" applyNumberFormat="1" applyFont="1"/>
    <xf numFmtId="10" fontId="0" fillId="0" borderId="5" xfId="0" applyNumberFormat="1" applyBorder="1" applyAlignment="1">
      <alignment horizontal="right"/>
    </xf>
    <xf numFmtId="0" fontId="3" fillId="0" borderId="5" xfId="0" applyFont="1" applyBorder="1"/>
    <xf numFmtId="10" fontId="0" fillId="0" borderId="5" xfId="0" applyNumberFormat="1" applyBorder="1"/>
    <xf numFmtId="10" fontId="0" fillId="0" borderId="5" xfId="0" applyNumberFormat="1" applyFont="1" applyFill="1" applyBorder="1"/>
    <xf numFmtId="167" fontId="4" fillId="0" borderId="6" xfId="3" applyNumberFormat="1" applyFont="1" applyFill="1" applyBorder="1" applyAlignment="1"/>
    <xf numFmtId="169" fontId="3" fillId="0" borderId="6" xfId="1" applyNumberFormat="1" applyFont="1" applyBorder="1"/>
    <xf numFmtId="9" fontId="3" fillId="0" borderId="0" xfId="4" applyFont="1"/>
    <xf numFmtId="0" fontId="14" fillId="0" borderId="0" xfId="0" applyFont="1"/>
    <xf numFmtId="1" fontId="7" fillId="0" borderId="1" xfId="3" applyNumberFormat="1" applyFont="1" applyBorder="1" applyAlignment="1">
      <alignment horizontal="center"/>
    </xf>
    <xf numFmtId="167" fontId="14" fillId="0" borderId="0" xfId="3" applyNumberFormat="1" applyFont="1"/>
    <xf numFmtId="175" fontId="14" fillId="0" borderId="0" xfId="3" applyNumberFormat="1" applyFont="1"/>
    <xf numFmtId="0" fontId="7" fillId="0" borderId="0" xfId="0" applyFont="1" applyBorder="1"/>
    <xf numFmtId="167" fontId="7" fillId="0" borderId="12" xfId="3" applyNumberFormat="1" applyFont="1" applyBorder="1"/>
    <xf numFmtId="175" fontId="7" fillId="0" borderId="12" xfId="3" applyNumberFormat="1" applyFont="1" applyBorder="1"/>
    <xf numFmtId="171" fontId="7" fillId="0" borderId="12" xfId="3" applyNumberFormat="1" applyFont="1" applyBorder="1"/>
    <xf numFmtId="167" fontId="7" fillId="0" borderId="0" xfId="3" applyNumberFormat="1" applyFont="1"/>
    <xf numFmtId="180" fontId="14" fillId="0" borderId="0" xfId="4" applyNumberFormat="1" applyFont="1"/>
    <xf numFmtId="168" fontId="14" fillId="0" borderId="0" xfId="1" applyNumberFormat="1" applyFont="1"/>
    <xf numFmtId="167" fontId="7" fillId="0" borderId="0" xfId="3" applyNumberFormat="1" applyFont="1" applyBorder="1"/>
    <xf numFmtId="0" fontId="14" fillId="0" borderId="0" xfId="0" applyFont="1" applyBorder="1"/>
    <xf numFmtId="171" fontId="14" fillId="0" borderId="0" xfId="1" applyNumberFormat="1" applyFont="1"/>
    <xf numFmtId="175" fontId="14" fillId="0" borderId="0" xfId="1" applyNumberFormat="1" applyFont="1"/>
    <xf numFmtId="175" fontId="14" fillId="0" borderId="0" xfId="0" applyNumberFormat="1" applyFont="1"/>
    <xf numFmtId="0" fontId="7" fillId="0" borderId="5" xfId="0" applyFont="1" applyBorder="1" applyAlignment="1">
      <alignment horizontal="center"/>
    </xf>
    <xf numFmtId="175" fontId="7" fillId="0" borderId="5" xfId="0" applyNumberFormat="1" applyFont="1" applyBorder="1" applyAlignment="1">
      <alignment horizontal="center"/>
    </xf>
    <xf numFmtId="14" fontId="14" fillId="0" borderId="5" xfId="0" applyNumberFormat="1" applyFont="1" applyBorder="1"/>
    <xf numFmtId="176" fontId="14" fillId="0" borderId="5" xfId="2" applyNumberFormat="1" applyFont="1" applyBorder="1"/>
    <xf numFmtId="4" fontId="14" fillId="0" borderId="5" xfId="0" applyNumberFormat="1" applyFont="1" applyBorder="1" applyAlignment="1">
      <alignment horizontal="right"/>
    </xf>
    <xf numFmtId="0" fontId="17" fillId="0" borderId="5" xfId="0" applyFont="1" applyBorder="1" applyAlignment="1">
      <alignment horizontal="center"/>
    </xf>
    <xf numFmtId="175" fontId="17" fillId="0" borderId="5" xfId="0" applyNumberFormat="1" applyFont="1" applyBorder="1" applyAlignment="1">
      <alignment horizontal="center"/>
    </xf>
    <xf numFmtId="172" fontId="14" fillId="0" borderId="5" xfId="1" applyNumberFormat="1" applyFont="1" applyBorder="1"/>
    <xf numFmtId="172" fontId="14" fillId="0" borderId="5" xfId="3" applyNumberFormat="1" applyFont="1" applyBorder="1"/>
    <xf numFmtId="175" fontId="14" fillId="0" borderId="5" xfId="3" applyNumberFormat="1" applyFont="1" applyBorder="1"/>
    <xf numFmtId="175" fontId="14" fillId="0" borderId="5" xfId="0" applyNumberFormat="1" applyFont="1" applyBorder="1"/>
    <xf numFmtId="165" fontId="14" fillId="0" borderId="5" xfId="3" applyNumberFormat="1" applyFont="1" applyBorder="1"/>
    <xf numFmtId="175" fontId="14" fillId="0" borderId="5" xfId="1" applyNumberFormat="1" applyFont="1" applyBorder="1"/>
    <xf numFmtId="173" fontId="14" fillId="0" borderId="5" xfId="1" applyNumberFormat="1" applyFont="1" applyBorder="1"/>
    <xf numFmtId="0" fontId="14" fillId="0" borderId="5" xfId="0" applyFont="1" applyBorder="1"/>
    <xf numFmtId="10" fontId="14" fillId="0" borderId="5" xfId="4" applyNumberFormat="1" applyFont="1" applyBorder="1"/>
    <xf numFmtId="0" fontId="14" fillId="0" borderId="6" xfId="0" applyFont="1" applyBorder="1"/>
    <xf numFmtId="10" fontId="14" fillId="0" borderId="6" xfId="4" applyNumberFormat="1" applyFont="1" applyBorder="1"/>
    <xf numFmtId="10" fontId="7" fillId="0" borderId="0" xfId="4" applyNumberFormat="1" applyFont="1" applyBorder="1"/>
    <xf numFmtId="1" fontId="7" fillId="0" borderId="0" xfId="3" applyNumberFormat="1" applyFont="1" applyAlignment="1">
      <alignment horizontal="center"/>
    </xf>
    <xf numFmtId="167" fontId="15" fillId="0" borderId="0" xfId="3" applyNumberFormat="1" applyFont="1" applyFill="1" applyBorder="1" applyAlignment="1"/>
    <xf numFmtId="175" fontId="15" fillId="0" borderId="0" xfId="3" applyNumberFormat="1" applyFont="1" applyFill="1" applyBorder="1" applyAlignment="1"/>
    <xf numFmtId="0" fontId="7" fillId="0" borderId="0" xfId="0" applyFont="1" applyBorder="1" applyAlignment="1"/>
    <xf numFmtId="3" fontId="7" fillId="0" borderId="3" xfId="0" applyNumberFormat="1" applyFont="1" applyBorder="1"/>
    <xf numFmtId="3" fontId="14" fillId="0" borderId="3" xfId="0" applyNumberFormat="1" applyFont="1" applyBorder="1"/>
    <xf numFmtId="167" fontId="14" fillId="0" borderId="0" xfId="3" applyNumberFormat="1" applyFont="1" applyBorder="1"/>
    <xf numFmtId="175" fontId="14" fillId="0" borderId="0" xfId="3" applyNumberFormat="1" applyFont="1" applyBorder="1"/>
    <xf numFmtId="42" fontId="15" fillId="0" borderId="11" xfId="7" applyFont="1" applyBorder="1" applyAlignment="1">
      <alignment horizontal="center"/>
    </xf>
    <xf numFmtId="10" fontId="14" fillId="0" borderId="0" xfId="4" applyNumberFormat="1" applyFont="1" applyBorder="1"/>
    <xf numFmtId="175" fontId="14" fillId="0" borderId="11" xfId="3" applyNumberFormat="1" applyFont="1" applyBorder="1"/>
    <xf numFmtId="171" fontId="14" fillId="0" borderId="0" xfId="3" applyNumberFormat="1" applyFont="1" applyBorder="1"/>
    <xf numFmtId="171" fontId="14" fillId="0" borderId="11" xfId="3" applyNumberFormat="1" applyFont="1" applyBorder="1"/>
    <xf numFmtId="3" fontId="17" fillId="0" borderId="4" xfId="0" applyNumberFormat="1" applyFont="1" applyFill="1" applyBorder="1"/>
    <xf numFmtId="167" fontId="14" fillId="0" borderId="1" xfId="3" applyNumberFormat="1" applyFont="1" applyBorder="1"/>
    <xf numFmtId="0" fontId="14" fillId="0" borderId="3" xfId="0" applyFont="1" applyBorder="1"/>
    <xf numFmtId="167" fontId="17" fillId="0" borderId="8" xfId="3" applyNumberFormat="1" applyFont="1" applyBorder="1"/>
    <xf numFmtId="171" fontId="7" fillId="0" borderId="15" xfId="3" applyNumberFormat="1" applyFont="1" applyBorder="1"/>
    <xf numFmtId="168" fontId="14" fillId="0" borderId="0" xfId="1" applyNumberFormat="1" applyFont="1" applyBorder="1"/>
    <xf numFmtId="0" fontId="7" fillId="0" borderId="4" xfId="0" applyFont="1" applyBorder="1"/>
    <xf numFmtId="0" fontId="14" fillId="4" borderId="0" xfId="0" applyFont="1" applyFill="1"/>
    <xf numFmtId="167" fontId="14" fillId="4" borderId="0" xfId="3" applyNumberFormat="1" applyFont="1" applyFill="1" applyAlignment="1"/>
    <xf numFmtId="10" fontId="7" fillId="7" borderId="9" xfId="4" applyNumberFormat="1" applyFont="1" applyFill="1" applyBorder="1" applyAlignment="1">
      <alignment horizontal="center" vertical="center"/>
    </xf>
    <xf numFmtId="10" fontId="7" fillId="6" borderId="9" xfId="4" applyNumberFormat="1" applyFont="1" applyFill="1" applyBorder="1" applyAlignment="1">
      <alignment horizontal="center" vertical="center"/>
    </xf>
    <xf numFmtId="167" fontId="14" fillId="0" borderId="9" xfId="0" applyNumberFormat="1" applyFont="1" applyBorder="1"/>
    <xf numFmtId="0" fontId="18" fillId="0" borderId="0" xfId="0" applyFont="1"/>
    <xf numFmtId="0" fontId="7" fillId="3" borderId="5" xfId="0" applyFont="1" applyFill="1" applyBorder="1" applyAlignment="1">
      <alignment horizontal="center"/>
    </xf>
    <xf numFmtId="0" fontId="14" fillId="5" borderId="5" xfId="0" applyFont="1" applyFill="1" applyBorder="1"/>
    <xf numFmtId="171" fontId="14" fillId="0" borderId="5" xfId="1" applyNumberFormat="1" applyFont="1" applyBorder="1"/>
    <xf numFmtId="0" fontId="14" fillId="2" borderId="5" xfId="0" applyFont="1" applyFill="1" applyBorder="1"/>
    <xf numFmtId="0" fontId="14" fillId="8" borderId="5" xfId="0" applyFont="1" applyFill="1" applyBorder="1"/>
    <xf numFmtId="168" fontId="7" fillId="0" borderId="12" xfId="1" applyNumberFormat="1" applyFont="1" applyBorder="1"/>
    <xf numFmtId="167" fontId="14" fillId="0" borderId="5" xfId="3" applyNumberFormat="1" applyFont="1" applyBorder="1"/>
    <xf numFmtId="0" fontId="7" fillId="0" borderId="5" xfId="1" applyNumberFormat="1" applyFont="1" applyBorder="1" applyAlignment="1">
      <alignment horizontal="center"/>
    </xf>
    <xf numFmtId="171" fontId="7" fillId="0" borderId="0" xfId="3" applyNumberFormat="1" applyFont="1" applyBorder="1"/>
    <xf numFmtId="167" fontId="7" fillId="0" borderId="8" xfId="3" applyNumberFormat="1" applyFont="1" applyBorder="1"/>
    <xf numFmtId="0" fontId="7" fillId="0" borderId="3" xfId="0" applyFont="1" applyBorder="1"/>
    <xf numFmtId="167" fontId="14" fillId="0" borderId="11" xfId="3" applyNumberFormat="1" applyFont="1" applyBorder="1"/>
    <xf numFmtId="167" fontId="7" fillId="0" borderId="13" xfId="3" applyNumberFormat="1" applyFont="1" applyBorder="1"/>
    <xf numFmtId="171" fontId="7" fillId="0" borderId="13" xfId="3" applyNumberFormat="1" applyFont="1" applyBorder="1"/>
    <xf numFmtId="171" fontId="7" fillId="0" borderId="11" xfId="3" applyNumberFormat="1" applyFont="1" applyBorder="1"/>
    <xf numFmtId="179" fontId="14" fillId="0" borderId="0" xfId="3" applyNumberFormat="1" applyFont="1" applyBorder="1"/>
    <xf numFmtId="179" fontId="14" fillId="0" borderId="11" xfId="3" applyNumberFormat="1" applyFont="1" applyBorder="1"/>
    <xf numFmtId="167" fontId="7" fillId="0" borderId="15" xfId="3" applyNumberFormat="1" applyFont="1" applyBorder="1"/>
    <xf numFmtId="0" fontId="7" fillId="0" borderId="4" xfId="0" applyFont="1" applyBorder="1" applyAlignment="1">
      <alignment horizontal="center" vertical="center"/>
    </xf>
    <xf numFmtId="1" fontId="7" fillId="0" borderId="14" xfId="3" applyNumberFormat="1" applyFont="1" applyBorder="1" applyAlignment="1">
      <alignment horizontal="center"/>
    </xf>
    <xf numFmtId="175" fontId="7" fillId="0" borderId="13" xfId="3" applyNumberFormat="1" applyFont="1" applyBorder="1"/>
    <xf numFmtId="175" fontId="7" fillId="0" borderId="0" xfId="3" applyNumberFormat="1" applyFont="1" applyBorder="1"/>
    <xf numFmtId="175" fontId="7" fillId="0" borderId="11" xfId="3" applyNumberFormat="1" applyFont="1" applyBorder="1"/>
    <xf numFmtId="168" fontId="7" fillId="0" borderId="13" xfId="1" applyNumberFormat="1" applyFont="1" applyBorder="1"/>
    <xf numFmtId="168" fontId="14" fillId="0" borderId="12" xfId="1" applyNumberFormat="1" applyFont="1" applyBorder="1"/>
    <xf numFmtId="168" fontId="14" fillId="0" borderId="13" xfId="1" applyNumberFormat="1" applyFont="1" applyBorder="1"/>
    <xf numFmtId="168" fontId="14" fillId="0" borderId="11" xfId="1" applyNumberFormat="1" applyFont="1" applyBorder="1"/>
    <xf numFmtId="167" fontId="7" fillId="0" borderId="11" xfId="3" applyNumberFormat="1" applyFont="1" applyBorder="1"/>
    <xf numFmtId="169" fontId="14" fillId="0" borderId="0" xfId="1" applyNumberFormat="1" applyFont="1" applyBorder="1"/>
    <xf numFmtId="169" fontId="14" fillId="0" borderId="11" xfId="1" applyNumberFormat="1" applyFont="1" applyBorder="1"/>
    <xf numFmtId="169" fontId="14" fillId="0" borderId="3" xfId="1" applyNumberFormat="1" applyFont="1" applyFill="1" applyBorder="1"/>
    <xf numFmtId="169" fontId="14" fillId="0" borderId="0" xfId="1" applyNumberFormat="1" applyFont="1" applyFill="1" applyBorder="1"/>
    <xf numFmtId="169" fontId="14" fillId="0" borderId="11" xfId="1" applyNumberFormat="1" applyFont="1" applyFill="1" applyBorder="1"/>
    <xf numFmtId="0" fontId="7" fillId="0" borderId="8" xfId="0" applyFont="1" applyBorder="1"/>
    <xf numFmtId="10" fontId="14" fillId="0" borderId="8" xfId="4" applyNumberFormat="1" applyFont="1" applyBorder="1"/>
    <xf numFmtId="9" fontId="14" fillId="0" borderId="0" xfId="4" applyFont="1" applyBorder="1"/>
    <xf numFmtId="0" fontId="14" fillId="0" borderId="2" xfId="0" applyFont="1" applyBorder="1"/>
    <xf numFmtId="167" fontId="14" fillId="0" borderId="12" xfId="3" applyNumberFormat="1" applyFont="1" applyBorder="1"/>
    <xf numFmtId="167" fontId="14" fillId="0" borderId="13" xfId="3" applyNumberFormat="1" applyFont="1" applyBorder="1"/>
    <xf numFmtId="10" fontId="14" fillId="0" borderId="11" xfId="4" applyNumberFormat="1" applyFont="1" applyBorder="1"/>
    <xf numFmtId="0" fontId="14" fillId="0" borderId="4" xfId="0" applyFont="1" applyBorder="1"/>
    <xf numFmtId="10" fontId="14" fillId="0" borderId="1" xfId="4" applyNumberFormat="1" applyFont="1" applyBorder="1"/>
    <xf numFmtId="10" fontId="14" fillId="0" borderId="14" xfId="4" applyNumberFormat="1" applyFont="1" applyBorder="1"/>
    <xf numFmtId="0" fontId="16" fillId="9" borderId="0" xfId="0" applyFont="1" applyFill="1"/>
    <xf numFmtId="10" fontId="17" fillId="9" borderId="10" xfId="4" applyNumberFormat="1" applyFont="1" applyFill="1" applyBorder="1" applyAlignment="1">
      <alignment horizontal="center"/>
    </xf>
    <xf numFmtId="0" fontId="14" fillId="0" borderId="11" xfId="0" applyFont="1" applyBorder="1"/>
    <xf numFmtId="175" fontId="14" fillId="0" borderId="0" xfId="0" applyNumberFormat="1" applyFont="1" applyBorder="1"/>
    <xf numFmtId="0" fontId="17" fillId="9" borderId="18" xfId="0" applyFont="1" applyFill="1" applyBorder="1" applyAlignment="1">
      <alignment horizontal="center"/>
    </xf>
    <xf numFmtId="10" fontId="7" fillId="0" borderId="1" xfId="4" applyNumberFormat="1" applyFont="1" applyBorder="1"/>
    <xf numFmtId="175" fontId="14" fillId="0" borderId="1" xfId="3" applyNumberFormat="1" applyFont="1" applyBorder="1"/>
    <xf numFmtId="0" fontId="14" fillId="0" borderId="1" xfId="0" applyFont="1" applyBorder="1"/>
    <xf numFmtId="0" fontId="14" fillId="0" borderId="14" xfId="0" applyFont="1" applyBorder="1"/>
    <xf numFmtId="0" fontId="15" fillId="0" borderId="3" xfId="5" applyFont="1" applyFill="1" applyBorder="1"/>
    <xf numFmtId="170" fontId="20" fillId="0" borderId="8" xfId="4" applyNumberFormat="1" applyFont="1" applyBorder="1"/>
    <xf numFmtId="170" fontId="20" fillId="0" borderId="15" xfId="4" applyNumberFormat="1" applyFont="1" applyBorder="1"/>
    <xf numFmtId="167" fontId="20" fillId="0" borderId="12" xfId="3" applyNumberFormat="1" applyFont="1" applyBorder="1"/>
    <xf numFmtId="175" fontId="20" fillId="0" borderId="12" xfId="3" applyNumberFormat="1" applyFont="1" applyBorder="1"/>
    <xf numFmtId="175" fontId="20" fillId="0" borderId="13" xfId="3" applyNumberFormat="1" applyFont="1" applyBorder="1"/>
    <xf numFmtId="166" fontId="14" fillId="0" borderId="0" xfId="1" applyFont="1" applyBorder="1"/>
    <xf numFmtId="166" fontId="14" fillId="0" borderId="12" xfId="1" applyFont="1" applyBorder="1"/>
    <xf numFmtId="9" fontId="14" fillId="0" borderId="3" xfId="4" applyFont="1" applyBorder="1"/>
    <xf numFmtId="166" fontId="14" fillId="0" borderId="1" xfId="1" applyFont="1" applyBorder="1"/>
    <xf numFmtId="10" fontId="20" fillId="0" borderId="8" xfId="4" applyNumberFormat="1" applyFont="1" applyBorder="1"/>
    <xf numFmtId="10" fontId="20" fillId="0" borderId="15" xfId="4" applyNumberFormat="1" applyFont="1" applyBorder="1"/>
    <xf numFmtId="10" fontId="19" fillId="0" borderId="12" xfId="4" applyNumberFormat="1" applyFont="1" applyBorder="1"/>
    <xf numFmtId="10" fontId="19" fillId="0" borderId="13" xfId="4" applyNumberFormat="1" applyFont="1" applyBorder="1"/>
    <xf numFmtId="2" fontId="19" fillId="0" borderId="0" xfId="1" applyNumberFormat="1" applyFont="1" applyBorder="1"/>
    <xf numFmtId="2" fontId="19" fillId="0" borderId="11" xfId="1" applyNumberFormat="1" applyFont="1" applyBorder="1"/>
    <xf numFmtId="10" fontId="19" fillId="0" borderId="0" xfId="4" applyNumberFormat="1" applyFont="1" applyBorder="1"/>
    <xf numFmtId="10" fontId="19" fillId="0" borderId="11" xfId="4" applyNumberFormat="1" applyFont="1" applyBorder="1"/>
    <xf numFmtId="10" fontId="19" fillId="0" borderId="1" xfId="4" applyNumberFormat="1" applyFont="1" applyBorder="1"/>
    <xf numFmtId="10" fontId="19" fillId="0" borderId="14" xfId="4" applyNumberFormat="1" applyFont="1" applyBorder="1"/>
    <xf numFmtId="174" fontId="7" fillId="0" borderId="0" xfId="1" applyNumberFormat="1" applyFont="1" applyBorder="1"/>
    <xf numFmtId="171" fontId="14" fillId="0" borderId="0" xfId="1" applyNumberFormat="1" applyFont="1" applyBorder="1"/>
    <xf numFmtId="0" fontId="7" fillId="0" borderId="2" xfId="0" applyFont="1" applyBorder="1"/>
    <xf numFmtId="174" fontId="7" fillId="0" borderId="12" xfId="1" applyNumberFormat="1" applyFont="1" applyBorder="1"/>
    <xf numFmtId="171" fontId="14" fillId="0" borderId="12" xfId="1" applyNumberFormat="1" applyFont="1" applyBorder="1"/>
    <xf numFmtId="171" fontId="14" fillId="0" borderId="13" xfId="1" applyNumberFormat="1" applyFont="1" applyBorder="1"/>
    <xf numFmtId="171" fontId="14" fillId="0" borderId="11" xfId="1" applyNumberFormat="1" applyFont="1" applyBorder="1"/>
    <xf numFmtId="171" fontId="14" fillId="0" borderId="1" xfId="3" applyNumberFormat="1" applyFont="1" applyBorder="1"/>
    <xf numFmtId="171" fontId="14" fillId="0" borderId="14" xfId="3" applyNumberFormat="1" applyFont="1" applyBorder="1"/>
    <xf numFmtId="171" fontId="20" fillId="0" borderId="12" xfId="1" applyNumberFormat="1" applyFont="1" applyBorder="1"/>
    <xf numFmtId="171" fontId="20" fillId="0" borderId="13" xfId="1" applyNumberFormat="1" applyFont="1" applyBorder="1"/>
    <xf numFmtId="171" fontId="20" fillId="0" borderId="12" xfId="3" applyNumberFormat="1" applyFont="1" applyBorder="1"/>
    <xf numFmtId="171" fontId="20" fillId="0" borderId="13" xfId="3" applyNumberFormat="1" applyFont="1" applyBorder="1"/>
    <xf numFmtId="171" fontId="7" fillId="0" borderId="8" xfId="3" applyNumberFormat="1" applyFont="1" applyFill="1" applyBorder="1"/>
    <xf numFmtId="171" fontId="7" fillId="0" borderId="15" xfId="3" applyNumberFormat="1" applyFont="1" applyFill="1" applyBorder="1"/>
    <xf numFmtId="167" fontId="7" fillId="0" borderId="20" xfId="3" applyNumberFormat="1" applyFont="1" applyFill="1" applyBorder="1"/>
    <xf numFmtId="167" fontId="7" fillId="0" borderId="19" xfId="3" applyNumberFormat="1" applyFont="1" applyFill="1" applyBorder="1"/>
    <xf numFmtId="167" fontId="14" fillId="8" borderId="9" xfId="0" applyNumberFormat="1" applyFont="1" applyFill="1" applyBorder="1"/>
    <xf numFmtId="167" fontId="14" fillId="2" borderId="9" xfId="0" applyNumberFormat="1" applyFont="1" applyFill="1" applyBorder="1"/>
    <xf numFmtId="167" fontId="14" fillId="5" borderId="9" xfId="0" applyNumberFormat="1" applyFont="1" applyFill="1" applyBorder="1"/>
    <xf numFmtId="0" fontId="21" fillId="10" borderId="0" xfId="0" applyFont="1" applyFill="1" applyAlignment="1">
      <alignment horizontal="center"/>
    </xf>
    <xf numFmtId="0" fontId="0" fillId="0" borderId="2" xfId="0" applyBorder="1"/>
    <xf numFmtId="0" fontId="10" fillId="10" borderId="5" xfId="5" quotePrefix="1" applyNumberFormat="1" applyFont="1" applyFill="1" applyBorder="1" applyAlignment="1" applyProtection="1">
      <alignment horizontal="center"/>
    </xf>
    <xf numFmtId="10" fontId="0" fillId="0" borderId="0" xfId="4" applyNumberFormat="1" applyFont="1" applyBorder="1"/>
    <xf numFmtId="10" fontId="1" fillId="0" borderId="0" xfId="4" applyNumberFormat="1" applyFont="1" applyBorder="1"/>
    <xf numFmtId="10" fontId="1" fillId="0" borderId="11" xfId="4" applyNumberFormat="1" applyFont="1" applyBorder="1"/>
    <xf numFmtId="0" fontId="3" fillId="0" borderId="3" xfId="0" applyFont="1" applyBorder="1" applyAlignment="1">
      <alignment wrapText="1"/>
    </xf>
    <xf numFmtId="0" fontId="4" fillId="0" borderId="4" xfId="5" applyFont="1" applyFill="1" applyBorder="1" applyAlignment="1" applyProtection="1">
      <alignment horizontal="left"/>
    </xf>
    <xf numFmtId="10" fontId="0" fillId="0" borderId="1" xfId="4" applyNumberFormat="1" applyFont="1" applyBorder="1"/>
    <xf numFmtId="10" fontId="1" fillId="0" borderId="1" xfId="4" applyNumberFormat="1" applyFont="1" applyBorder="1"/>
    <xf numFmtId="10" fontId="1" fillId="0" borderId="14" xfId="4" applyNumberFormat="1" applyFont="1" applyBorder="1"/>
    <xf numFmtId="0" fontId="3" fillId="0" borderId="2" xfId="0" applyFont="1" applyBorder="1"/>
    <xf numFmtId="1" fontId="3" fillId="10" borderId="12" xfId="4" applyNumberFormat="1" applyFont="1" applyFill="1" applyBorder="1"/>
    <xf numFmtId="1" fontId="3" fillId="10" borderId="13" xfId="4" applyNumberFormat="1" applyFont="1" applyFill="1" applyBorder="1"/>
    <xf numFmtId="0" fontId="0" fillId="0" borderId="3" xfId="0" applyBorder="1"/>
    <xf numFmtId="0" fontId="0" fillId="0" borderId="11" xfId="0" applyFont="1" applyBorder="1"/>
    <xf numFmtId="42" fontId="0" fillId="0" borderId="0" xfId="0" applyNumberFormat="1" applyBorder="1"/>
    <xf numFmtId="0" fontId="0" fillId="0" borderId="4" xfId="0" applyBorder="1"/>
    <xf numFmtId="170" fontId="0" fillId="0" borderId="1" xfId="4" applyNumberFormat="1" applyFont="1" applyBorder="1"/>
    <xf numFmtId="170" fontId="3" fillId="0" borderId="14" xfId="0" applyNumberFormat="1" applyFont="1" applyBorder="1"/>
    <xf numFmtId="0" fontId="4" fillId="0" borderId="2" xfId="5" applyFont="1" applyBorder="1" applyAlignment="1" applyProtection="1">
      <alignment horizontal="left" wrapText="1"/>
    </xf>
    <xf numFmtId="0" fontId="4" fillId="10" borderId="12" xfId="0" applyFont="1" applyFill="1" applyBorder="1" applyAlignment="1">
      <alignment horizontal="center"/>
    </xf>
    <xf numFmtId="0" fontId="4" fillId="10" borderId="13" xfId="0" applyFont="1" applyFill="1" applyBorder="1" applyAlignment="1">
      <alignment horizontal="center"/>
    </xf>
    <xf numFmtId="42" fontId="0" fillId="0" borderId="0" xfId="7" applyFont="1" applyBorder="1"/>
    <xf numFmtId="42" fontId="0" fillId="0" borderId="11" xfId="7" applyFont="1" applyBorder="1"/>
    <xf numFmtId="0" fontId="0" fillId="0" borderId="1" xfId="0" applyBorder="1"/>
    <xf numFmtId="10" fontId="0" fillId="0" borderId="14" xfId="4" applyNumberFormat="1" applyFont="1" applyBorder="1"/>
    <xf numFmtId="0" fontId="21" fillId="10" borderId="2" xfId="5" applyFont="1" applyFill="1" applyBorder="1" applyAlignment="1" applyProtection="1">
      <alignment horizontal="center"/>
    </xf>
    <xf numFmtId="0" fontId="6" fillId="10" borderId="2" xfId="5" applyFont="1" applyFill="1" applyBorder="1" applyAlignment="1" applyProtection="1">
      <alignment horizontal="left"/>
    </xf>
    <xf numFmtId="0" fontId="0" fillId="0" borderId="0" xfId="0" applyBorder="1"/>
    <xf numFmtId="10" fontId="0" fillId="0" borderId="11" xfId="4" applyNumberFormat="1" applyFont="1" applyBorder="1"/>
    <xf numFmtId="0" fontId="3" fillId="0" borderId="0" xfId="0" applyFont="1" applyBorder="1"/>
    <xf numFmtId="0" fontId="3" fillId="0" borderId="11" xfId="0" applyFont="1" applyBorder="1"/>
    <xf numFmtId="0" fontId="3" fillId="0" borderId="1" xfId="0" applyFont="1" applyBorder="1"/>
    <xf numFmtId="0" fontId="3" fillId="0" borderId="14" xfId="0" applyFont="1" applyBorder="1"/>
    <xf numFmtId="0" fontId="21" fillId="10" borderId="0" xfId="5" applyFont="1" applyFill="1" applyBorder="1" applyAlignment="1" applyProtection="1">
      <alignment horizontal="center"/>
    </xf>
    <xf numFmtId="49" fontId="12" fillId="10" borderId="5" xfId="5" applyNumberFormat="1" applyFont="1" applyFill="1" applyBorder="1" applyAlignment="1">
      <alignment horizontal="center"/>
    </xf>
    <xf numFmtId="0" fontId="10" fillId="10" borderId="5" xfId="5" applyNumberFormat="1" applyFont="1" applyFill="1" applyBorder="1" applyAlignment="1" applyProtection="1">
      <alignment horizontal="center"/>
    </xf>
    <xf numFmtId="0" fontId="10" fillId="10" borderId="5" xfId="5" quotePrefix="1" applyFont="1" applyFill="1" applyBorder="1" applyAlignment="1" applyProtection="1">
      <alignment horizontal="center"/>
    </xf>
    <xf numFmtId="0" fontId="10" fillId="10" borderId="5" xfId="0" applyFont="1" applyFill="1" applyBorder="1"/>
    <xf numFmtId="10" fontId="13" fillId="10" borderId="5" xfId="4" applyNumberFormat="1" applyFont="1" applyFill="1" applyBorder="1" applyAlignment="1" applyProtection="1">
      <alignment horizontal="center"/>
    </xf>
    <xf numFmtId="10" fontId="10" fillId="10" borderId="5" xfId="4" applyNumberFormat="1" applyFont="1" applyFill="1" applyBorder="1" applyAlignment="1" applyProtection="1">
      <alignment horizontal="center"/>
    </xf>
    <xf numFmtId="0" fontId="3" fillId="10" borderId="5" xfId="0" applyFont="1" applyFill="1" applyBorder="1"/>
    <xf numFmtId="3" fontId="13" fillId="9" borderId="14" xfId="5" applyNumberFormat="1" applyFont="1" applyFill="1" applyBorder="1"/>
    <xf numFmtId="0" fontId="0" fillId="0" borderId="12" xfId="0" applyBorder="1"/>
    <xf numFmtId="0" fontId="3" fillId="0" borderId="12" xfId="0" applyFont="1" applyBorder="1"/>
    <xf numFmtId="0" fontId="0" fillId="0" borderId="13" xfId="0" applyBorder="1"/>
    <xf numFmtId="0" fontId="21" fillId="10" borderId="3" xfId="5" applyFont="1" applyFill="1" applyBorder="1" applyAlignment="1" applyProtection="1">
      <alignment horizontal="center"/>
    </xf>
    <xf numFmtId="0" fontId="0" fillId="0" borderId="11" xfId="0" applyBorder="1"/>
    <xf numFmtId="0" fontId="3" fillId="0" borderId="4" xfId="0" applyFont="1" applyFill="1" applyBorder="1"/>
    <xf numFmtId="10" fontId="3" fillId="0" borderId="1" xfId="4" applyNumberFormat="1" applyFont="1" applyBorder="1" applyAlignment="1">
      <alignment horizontal="center" vertical="center"/>
    </xf>
    <xf numFmtId="0" fontId="0" fillId="0" borderId="14" xfId="0" applyBorder="1"/>
    <xf numFmtId="0" fontId="0" fillId="10" borderId="5" xfId="0" applyFill="1" applyBorder="1"/>
    <xf numFmtId="167" fontId="4" fillId="10" borderId="5" xfId="3" applyNumberFormat="1" applyFont="1" applyFill="1" applyBorder="1" applyAlignment="1">
      <alignment horizontal="center"/>
    </xf>
    <xf numFmtId="0" fontId="4" fillId="10" borderId="5" xfId="0" applyFont="1" applyFill="1" applyBorder="1" applyAlignment="1">
      <alignment horizontal="center"/>
    </xf>
    <xf numFmtId="10" fontId="3" fillId="10" borderId="5" xfId="0" applyNumberFormat="1" applyFont="1" applyFill="1" applyBorder="1"/>
    <xf numFmtId="0" fontId="9" fillId="10" borderId="5" xfId="0" applyFont="1" applyFill="1" applyBorder="1"/>
    <xf numFmtId="0" fontId="4" fillId="10" borderId="5" xfId="0" applyFont="1" applyFill="1" applyBorder="1"/>
    <xf numFmtId="0" fontId="3" fillId="0" borderId="3" xfId="0" applyFont="1" applyBorder="1"/>
    <xf numFmtId="170" fontId="3" fillId="0" borderId="0" xfId="4" applyNumberFormat="1" applyFont="1" applyBorder="1"/>
    <xf numFmtId="170" fontId="3" fillId="0" borderId="11" xfId="4" applyNumberFormat="1" applyFont="1" applyBorder="1"/>
    <xf numFmtId="170" fontId="1" fillId="0" borderId="0" xfId="4" applyNumberFormat="1" applyFont="1" applyBorder="1"/>
    <xf numFmtId="170" fontId="1" fillId="0" borderId="11" xfId="4" applyNumberFormat="1" applyFont="1" applyBorder="1"/>
    <xf numFmtId="169" fontId="4" fillId="10" borderId="5" xfId="1" applyNumberFormat="1" applyFont="1" applyFill="1" applyBorder="1" applyAlignment="1">
      <alignment horizontal="center"/>
    </xf>
    <xf numFmtId="169" fontId="4" fillId="4" borderId="5" xfId="1" applyNumberFormat="1" applyFont="1" applyFill="1" applyBorder="1" applyAlignment="1">
      <alignment horizontal="center"/>
    </xf>
    <xf numFmtId="0" fontId="10" fillId="4" borderId="5" xfId="5" quotePrefix="1" applyNumberFormat="1" applyFont="1" applyFill="1" applyBorder="1" applyAlignment="1" applyProtection="1">
      <alignment horizontal="center"/>
    </xf>
    <xf numFmtId="0" fontId="0" fillId="4" borderId="5" xfId="0" applyFill="1" applyBorder="1" applyAlignment="1">
      <alignment horizontal="right"/>
    </xf>
    <xf numFmtId="166" fontId="3" fillId="0" borderId="0" xfId="0" applyNumberFormat="1" applyFont="1"/>
    <xf numFmtId="165" fontId="14" fillId="0" borderId="0" xfId="3" applyNumberFormat="1" applyFont="1" applyBorder="1"/>
    <xf numFmtId="165" fontId="7" fillId="0" borderId="8" xfId="3" applyNumberFormat="1" applyFont="1" applyBorder="1"/>
    <xf numFmtId="171" fontId="15" fillId="0" borderId="0" xfId="3" applyNumberFormat="1" applyFont="1" applyFill="1" applyBorder="1" applyAlignment="1"/>
    <xf numFmtId="168" fontId="14" fillId="0" borderId="2" xfId="1" applyNumberFormat="1" applyFont="1" applyFill="1" applyBorder="1"/>
    <xf numFmtId="168" fontId="14" fillId="0" borderId="3" xfId="1" applyNumberFormat="1" applyFont="1" applyFill="1" applyBorder="1"/>
    <xf numFmtId="167" fontId="14" fillId="0" borderId="3" xfId="3" applyNumberFormat="1" applyFont="1" applyFill="1" applyBorder="1"/>
    <xf numFmtId="0" fontId="7" fillId="0" borderId="3" xfId="0" applyFont="1" applyFill="1" applyBorder="1"/>
    <xf numFmtId="0" fontId="14" fillId="0" borderId="3" xfId="0" applyFont="1" applyFill="1" applyBorder="1"/>
    <xf numFmtId="3" fontId="14" fillId="0" borderId="3" xfId="0" applyNumberFormat="1" applyFont="1" applyFill="1" applyBorder="1"/>
    <xf numFmtId="3" fontId="17" fillId="0" borderId="3" xfId="0" applyNumberFormat="1" applyFont="1" applyFill="1" applyBorder="1"/>
    <xf numFmtId="9" fontId="14" fillId="0" borderId="0" xfId="4" applyFont="1"/>
    <xf numFmtId="0" fontId="14" fillId="2" borderId="3" xfId="0" applyFont="1" applyFill="1" applyBorder="1"/>
    <xf numFmtId="167" fontId="14" fillId="2" borderId="0" xfId="3" applyNumberFormat="1" applyFont="1" applyFill="1" applyBorder="1"/>
    <xf numFmtId="166" fontId="14" fillId="2" borderId="0" xfId="1" applyFont="1" applyFill="1" applyBorder="1"/>
    <xf numFmtId="10" fontId="19" fillId="2" borderId="0" xfId="4" applyNumberFormat="1" applyFont="1" applyFill="1" applyBorder="1"/>
    <xf numFmtId="10" fontId="19" fillId="2" borderId="11" xfId="4" applyNumberFormat="1" applyFont="1" applyFill="1" applyBorder="1"/>
    <xf numFmtId="0" fontId="14" fillId="2" borderId="0" xfId="0" applyFont="1" applyFill="1"/>
    <xf numFmtId="10" fontId="14" fillId="0" borderId="0" xfId="4" applyNumberFormat="1" applyFont="1"/>
    <xf numFmtId="167" fontId="7" fillId="0" borderId="0" xfId="3" applyNumberFormat="1" applyFont="1" applyBorder="1" applyAlignment="1">
      <alignment horizontal="center"/>
    </xf>
    <xf numFmtId="167" fontId="7" fillId="0" borderId="11" xfId="3" applyNumberFormat="1" applyFont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7" fillId="6" borderId="9" xfId="0" applyFont="1" applyFill="1" applyBorder="1" applyAlignment="1">
      <alignment horizontal="center" vertical="center"/>
    </xf>
    <xf numFmtId="167" fontId="7" fillId="7" borderId="0" xfId="3" applyNumberFormat="1" applyFont="1" applyFill="1" applyAlignment="1">
      <alignment horizontal="center"/>
    </xf>
    <xf numFmtId="0" fontId="14" fillId="4" borderId="9" xfId="0" applyFont="1" applyFill="1" applyBorder="1" applyAlignment="1">
      <alignment horizontal="center"/>
    </xf>
    <xf numFmtId="0" fontId="17" fillId="4" borderId="2" xfId="0" applyFont="1" applyFill="1" applyBorder="1" applyAlignment="1">
      <alignment horizontal="center" vertical="center"/>
    </xf>
    <xf numFmtId="0" fontId="17" fillId="4" borderId="12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2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10" borderId="16" xfId="0" applyFont="1" applyFill="1" applyBorder="1" applyAlignment="1">
      <alignment horizontal="center" vertical="center"/>
    </xf>
    <xf numFmtId="0" fontId="3" fillId="10" borderId="17" xfId="0" applyFont="1" applyFill="1" applyBorder="1" applyAlignment="1">
      <alignment horizontal="center" vertical="center"/>
    </xf>
    <xf numFmtId="0" fontId="3" fillId="10" borderId="6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/>
    </xf>
    <xf numFmtId="0" fontId="6" fillId="0" borderId="13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4" xfId="0" applyFont="1" applyFill="1" applyBorder="1" applyAlignment="1">
      <alignment horizontal="left" vertical="center"/>
    </xf>
    <xf numFmtId="10" fontId="0" fillId="0" borderId="7" xfId="4" applyNumberFormat="1" applyFont="1" applyBorder="1" applyAlignment="1">
      <alignment horizontal="left" vertical="center"/>
    </xf>
    <xf numFmtId="10" fontId="0" fillId="0" borderId="8" xfId="4" applyNumberFormat="1" applyFont="1" applyBorder="1" applyAlignment="1">
      <alignment horizontal="left" vertical="center"/>
    </xf>
    <xf numFmtId="10" fontId="0" fillId="0" borderId="15" xfId="4" applyNumberFormat="1" applyFont="1" applyBorder="1" applyAlignment="1">
      <alignment horizontal="left" vertical="center"/>
    </xf>
  </cellXfs>
  <cellStyles count="8">
    <cellStyle name="Millares" xfId="1" builtinId="3"/>
    <cellStyle name="Millares [0]" xfId="2" builtinId="6"/>
    <cellStyle name="Millares 9" xfId="6"/>
    <cellStyle name="Moneda" xfId="3" builtinId="4"/>
    <cellStyle name="Moneda [0]" xfId="7" builtinId="7"/>
    <cellStyle name="Normal" xfId="0" builtinId="0"/>
    <cellStyle name="Normal 2" xfId="5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Valor terminal ante cambios del WACC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0"/>
      <c:rotY val="18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line3DChart>
        <c:grouping val="standard"/>
        <c:varyColors val="0"/>
        <c:ser>
          <c:idx val="0"/>
          <c:order val="0"/>
          <c:tx>
            <c:v>WACC = 12.87%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Hoja1!$D$306:$F$306</c:f>
              <c:numCache>
                <c:formatCode>0.00%</c:formatCode>
                <c:ptCount val="3"/>
                <c:pt idx="0">
                  <c:v>5.8722116122296504E-2</c:v>
                </c:pt>
                <c:pt idx="1">
                  <c:v>6.8722116122296506E-2</c:v>
                </c:pt>
                <c:pt idx="2">
                  <c:v>7.8722116122296501E-2</c:v>
                </c:pt>
              </c:numCache>
            </c:numRef>
          </c:cat>
          <c:val>
            <c:numRef>
              <c:f>Hoja1!$D$307:$F$307</c:f>
              <c:numCache>
                <c:formatCode>_("$"\ * #,##0_);_("$"\ * \(#,##0\);_("$"\ * "-"??_);_(@_)</c:formatCode>
                <c:ptCount val="3"/>
                <c:pt idx="0">
                  <c:v>32389792186.471375</c:v>
                </c:pt>
                <c:pt idx="1">
                  <c:v>38148796437.569893</c:v>
                </c:pt>
                <c:pt idx="2">
                  <c:v>46213322128.599838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AD-42DD-A8E8-6F5A22797C82}"/>
            </c:ext>
          </c:extLst>
        </c:ser>
        <c:ser>
          <c:idx val="1"/>
          <c:order val="1"/>
          <c:tx>
            <c:v>WACC=15.87%</c:v>
          </c:tx>
          <c:spPr>
            <a:solidFill>
              <a:schemeClr val="accent2"/>
            </a:solidFill>
            <a:ln w="25400">
              <a:noFill/>
            </a:ln>
            <a:effectLst/>
            <a:sp3d/>
          </c:spPr>
          <c:cat>
            <c:numRef>
              <c:f>Hoja1!$D$306:$F$306</c:f>
              <c:numCache>
                <c:formatCode>0.00%</c:formatCode>
                <c:ptCount val="3"/>
                <c:pt idx="0">
                  <c:v>5.8722116122296504E-2</c:v>
                </c:pt>
                <c:pt idx="1">
                  <c:v>6.8722116122296506E-2</c:v>
                </c:pt>
                <c:pt idx="2">
                  <c:v>7.8722116122296501E-2</c:v>
                </c:pt>
              </c:numCache>
            </c:numRef>
          </c:cat>
          <c:val>
            <c:numRef>
              <c:f>Hoja1!$D$308:$F$308</c:f>
              <c:numCache>
                <c:formatCode>_("$"\ * #,##0_);_("$"\ * \(#,##0\);_("$"\ * "-"??_);_(@_)</c:formatCode>
                <c:ptCount val="3"/>
                <c:pt idx="0">
                  <c:v>22668807342.292297</c:v>
                </c:pt>
                <c:pt idx="1">
                  <c:v>25426645759.228188</c:v>
                </c:pt>
                <c:pt idx="2">
                  <c:v>28874302775.109554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AD-42DD-A8E8-6F5A22797C82}"/>
            </c:ext>
          </c:extLst>
        </c:ser>
        <c:ser>
          <c:idx val="2"/>
          <c:order val="2"/>
          <c:tx>
            <c:v>WACC=18.87%</c:v>
          </c:tx>
          <c:spPr>
            <a:solidFill>
              <a:schemeClr val="accent3"/>
            </a:solidFill>
            <a:ln w="25400">
              <a:noFill/>
            </a:ln>
            <a:effectLst/>
            <a:sp3d/>
          </c:spPr>
          <c:cat>
            <c:numRef>
              <c:f>Hoja1!$D$306:$F$306</c:f>
              <c:numCache>
                <c:formatCode>0.00%</c:formatCode>
                <c:ptCount val="3"/>
                <c:pt idx="0">
                  <c:v>5.8722116122296504E-2</c:v>
                </c:pt>
                <c:pt idx="1">
                  <c:v>6.8722116122296506E-2</c:v>
                </c:pt>
                <c:pt idx="2">
                  <c:v>7.8722116122296501E-2</c:v>
                </c:pt>
              </c:numCache>
            </c:numRef>
          </c:cat>
          <c:val>
            <c:numRef>
              <c:f>Hoja1!$D$309:$F$309</c:f>
              <c:numCache>
                <c:formatCode>_("$"\ * #,##0_);_("$"\ * \(#,##0\);_("$"\ * "-"??_);_(@_)</c:formatCode>
                <c:ptCount val="3"/>
                <c:pt idx="0">
                  <c:v>17435868219.614826</c:v>
                </c:pt>
                <c:pt idx="1">
                  <c:v>19067778135.697365</c:v>
                </c:pt>
                <c:pt idx="2">
                  <c:v>20996511289.216736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9AD-42DD-A8E8-6F5A22797C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6269352"/>
        <c:axId val="336272488"/>
        <c:axId val="364845920"/>
      </c:line3DChart>
      <c:catAx>
        <c:axId val="336269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.0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6272488"/>
        <c:crosses val="autoZero"/>
        <c:auto val="1"/>
        <c:lblAlgn val="ctr"/>
        <c:lblOffset val="100"/>
        <c:noMultiLvlLbl val="0"/>
      </c:catAx>
      <c:valAx>
        <c:axId val="33627248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&quot;$&quot;\ * #,##0_);_(&quot;$&quot;\ * \(#,##0\);_(&quot;$&quot;\ 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6269352"/>
        <c:crosses val="autoZero"/>
        <c:crossBetween val="between"/>
      </c:valAx>
      <c:serAx>
        <c:axId val="36484592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majorTickMark val="out"/>
        <c:minorTickMark val="none"/>
        <c:tickLblPos val="nextTo"/>
        <c:crossAx val="336272488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  <a:scene3d>
      <a:camera prst="orthographicFront"/>
      <a:lightRig rig="threePt" dir="t"/>
    </a:scene3d>
    <a:sp3d>
      <a:bevelT w="165100" prst="coolSlant"/>
    </a:sp3d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Valor terminal ante cambios en 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line3DChart>
        <c:grouping val="standard"/>
        <c:varyColors val="0"/>
        <c:ser>
          <c:idx val="0"/>
          <c:order val="0"/>
          <c:tx>
            <c:v>g=5.87%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cat>
            <c:numRef>
              <c:f>Hoja1!$C$307:$C$309</c:f>
              <c:numCache>
                <c:formatCode>0.00%</c:formatCode>
                <c:ptCount val="3"/>
                <c:pt idx="0">
                  <c:v>0.12868048260159329</c:v>
                </c:pt>
                <c:pt idx="1">
                  <c:v>0.15868048260159331</c:v>
                </c:pt>
                <c:pt idx="2">
                  <c:v>0.18868048260159331</c:v>
                </c:pt>
              </c:numCache>
            </c:numRef>
          </c:cat>
          <c:val>
            <c:numRef>
              <c:f>Hoja1!$D$307:$D$309</c:f>
              <c:numCache>
                <c:formatCode>_("$"\ * #,##0_);_("$"\ * \(#,##0\);_("$"\ * "-"??_);_(@_)</c:formatCode>
                <c:ptCount val="3"/>
                <c:pt idx="0">
                  <c:v>32389792186.471375</c:v>
                </c:pt>
                <c:pt idx="1">
                  <c:v>22668807342.292297</c:v>
                </c:pt>
                <c:pt idx="2">
                  <c:v>17435868219.614826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957-4502-90CE-F6658DBDD322}"/>
            </c:ext>
          </c:extLst>
        </c:ser>
        <c:ser>
          <c:idx val="1"/>
          <c:order val="1"/>
          <c:tx>
            <c:v>g=6.87%</c:v>
          </c:tx>
          <c:spPr>
            <a:solidFill>
              <a:schemeClr val="accent2"/>
            </a:solidFill>
            <a:ln w="25400">
              <a:noFill/>
            </a:ln>
            <a:effectLst/>
            <a:sp3d/>
          </c:spPr>
          <c:cat>
            <c:numRef>
              <c:f>Hoja1!$C$307:$C$309</c:f>
              <c:numCache>
                <c:formatCode>0.00%</c:formatCode>
                <c:ptCount val="3"/>
                <c:pt idx="0">
                  <c:v>0.12868048260159329</c:v>
                </c:pt>
                <c:pt idx="1">
                  <c:v>0.15868048260159331</c:v>
                </c:pt>
                <c:pt idx="2">
                  <c:v>0.18868048260159331</c:v>
                </c:pt>
              </c:numCache>
            </c:numRef>
          </c:cat>
          <c:val>
            <c:numRef>
              <c:f>Hoja1!$E$307:$E$309</c:f>
              <c:numCache>
                <c:formatCode>_("$"\ * #,##0_);_("$"\ * \(#,##0\);_("$"\ * "-"??_);_(@_)</c:formatCode>
                <c:ptCount val="3"/>
                <c:pt idx="0">
                  <c:v>38148796437.569893</c:v>
                </c:pt>
                <c:pt idx="1">
                  <c:v>25426645759.228188</c:v>
                </c:pt>
                <c:pt idx="2">
                  <c:v>19067778135.697365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957-4502-90CE-F6658DBDD322}"/>
            </c:ext>
          </c:extLst>
        </c:ser>
        <c:ser>
          <c:idx val="2"/>
          <c:order val="2"/>
          <c:tx>
            <c:v>g=7.87%</c:v>
          </c:tx>
          <c:spPr>
            <a:solidFill>
              <a:schemeClr val="accent3"/>
            </a:solidFill>
            <a:ln w="25400">
              <a:noFill/>
            </a:ln>
            <a:effectLst/>
            <a:sp3d/>
          </c:spPr>
          <c:cat>
            <c:numRef>
              <c:f>Hoja1!$C$307:$C$309</c:f>
              <c:numCache>
                <c:formatCode>0.00%</c:formatCode>
                <c:ptCount val="3"/>
                <c:pt idx="0">
                  <c:v>0.12868048260159329</c:v>
                </c:pt>
                <c:pt idx="1">
                  <c:v>0.15868048260159331</c:v>
                </c:pt>
                <c:pt idx="2">
                  <c:v>0.18868048260159331</c:v>
                </c:pt>
              </c:numCache>
            </c:numRef>
          </c:cat>
          <c:val>
            <c:numRef>
              <c:f>Hoja1!$F$307:$F$309</c:f>
              <c:numCache>
                <c:formatCode>_("$"\ * #,##0_);_("$"\ * \(#,##0\);_("$"\ * "-"??_);_(@_)</c:formatCode>
                <c:ptCount val="3"/>
                <c:pt idx="0">
                  <c:v>46213322128.599838</c:v>
                </c:pt>
                <c:pt idx="1">
                  <c:v>28874302775.109554</c:v>
                </c:pt>
                <c:pt idx="2">
                  <c:v>20996511289.216736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957-4502-90CE-F6658DBDD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6272880"/>
        <c:axId val="336267000"/>
        <c:axId val="359617472"/>
      </c:line3DChart>
      <c:catAx>
        <c:axId val="336272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.0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6267000"/>
        <c:crosses val="autoZero"/>
        <c:auto val="1"/>
        <c:lblAlgn val="ctr"/>
        <c:lblOffset val="100"/>
        <c:noMultiLvlLbl val="0"/>
      </c:catAx>
      <c:valAx>
        <c:axId val="336267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&quot;$&quot;\ * #,##0_);_(&quot;$&quot;\ * \(#,##0\);_(&quot;$&quot;\ 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6272880"/>
        <c:crosses val="autoZero"/>
        <c:crossBetween val="between"/>
      </c:valAx>
      <c:serAx>
        <c:axId val="35961747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majorTickMark val="out"/>
        <c:minorTickMark val="none"/>
        <c:tickLblPos val="nextTo"/>
        <c:crossAx val="336267000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  <a:scene3d>
      <a:camera prst="orthographicFront"/>
      <a:lightRig rig="threePt" dir="t"/>
    </a:scene3d>
    <a:sp3d>
      <a:bevelT w="165100" prst="coolSlant"/>
    </a:sp3d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0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632353</xdr:colOff>
      <xdr:row>318</xdr:row>
      <xdr:rowOff>49210</xdr:rowOff>
    </xdr:from>
    <xdr:to>
      <xdr:col>5</xdr:col>
      <xdr:colOff>1211791</xdr:colOff>
      <xdr:row>340</xdr:row>
      <xdr:rowOff>137583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1240894</xdr:colOff>
      <xdr:row>317</xdr:row>
      <xdr:rowOff>158752</xdr:rowOff>
    </xdr:from>
    <xdr:to>
      <xdr:col>11</xdr:col>
      <xdr:colOff>1386417</xdr:colOff>
      <xdr:row>341</xdr:row>
      <xdr:rowOff>5292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AFIT\MAESTRIA\PROYECTO%20DE%20GRADO\Estados%20Financieros%20%202014%20-%202016%20proyecciones%20V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ORACION"/>
      <sheetName val="PROYECCIONES "/>
      <sheetName val="SUPUESTOS"/>
      <sheetName val="ANALISIS FINANCIERO "/>
      <sheetName val="BG2015 - 2014"/>
      <sheetName val="ER 2015 -2014"/>
      <sheetName val="ER 2016 .- 2015"/>
      <sheetName val="EC 2014 - 2015"/>
    </sheetNames>
    <sheetDataSet>
      <sheetData sheetId="0"/>
      <sheetData sheetId="1">
        <row r="34">
          <cell r="B34">
            <v>26574840599.580002</v>
          </cell>
          <cell r="C34">
            <v>25846093320.93</v>
          </cell>
          <cell r="D34">
            <v>25473509087.630001</v>
          </cell>
          <cell r="E34">
            <v>25462221473.269997</v>
          </cell>
          <cell r="F34">
            <v>26227293491.900002</v>
          </cell>
          <cell r="G34">
            <v>26166987619.435028</v>
          </cell>
          <cell r="H34">
            <v>26528213263.345634</v>
          </cell>
          <cell r="I34">
            <v>26998423007.377232</v>
          </cell>
          <cell r="J34">
            <v>27472585253.543354</v>
          </cell>
          <cell r="K34">
            <v>27876950456.095673</v>
          </cell>
          <cell r="L34">
            <v>28343209229.468021</v>
          </cell>
          <cell r="M34">
            <v>28905401478.669147</v>
          </cell>
          <cell r="N34">
            <v>29511143722.921822</v>
          </cell>
          <cell r="O34">
            <v>30160544451.531731</v>
          </cell>
          <cell r="P34">
            <v>30867057413.990757</v>
          </cell>
        </row>
        <row r="68">
          <cell r="B68">
            <v>26574840599.579998</v>
          </cell>
          <cell r="C68">
            <v>25846093320.93</v>
          </cell>
          <cell r="D68">
            <v>25473509087.630001</v>
          </cell>
          <cell r="E68">
            <v>25462221473.27</v>
          </cell>
          <cell r="F68">
            <v>26227293491.900002</v>
          </cell>
          <cell r="G68">
            <v>26166987619.435028</v>
          </cell>
          <cell r="H68">
            <v>26528213263.345634</v>
          </cell>
          <cell r="I68">
            <v>26998423007.377232</v>
          </cell>
          <cell r="J68">
            <v>27472585253.54335</v>
          </cell>
          <cell r="K68">
            <v>27876950456.095673</v>
          </cell>
          <cell r="L68">
            <v>28343209229.468021</v>
          </cell>
          <cell r="M68">
            <v>28905401478.669144</v>
          </cell>
          <cell r="N68">
            <v>29511143722.921822</v>
          </cell>
          <cell r="O68">
            <v>30160544451.531731</v>
          </cell>
          <cell r="P68">
            <v>30867057413.990765</v>
          </cell>
        </row>
        <row r="87">
          <cell r="D87">
            <v>9754889005.4399986</v>
          </cell>
          <cell r="E87">
            <v>11519236182</v>
          </cell>
          <cell r="F87">
            <v>14082205068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16"/>
  <sheetViews>
    <sheetView tabSelected="1" topLeftCell="A280" zoomScale="80" zoomScaleNormal="80" workbookViewId="0">
      <selection activeCell="H307" sqref="H307"/>
    </sheetView>
  </sheetViews>
  <sheetFormatPr baseColWidth="10" defaultColWidth="9.1171875" defaultRowHeight="13" x14ac:dyDescent="0.45"/>
  <cols>
    <col min="1" max="1" width="9.1171875" style="67"/>
    <col min="2" max="2" width="46.703125" style="67" customWidth="1"/>
    <col min="3" max="7" width="17.29296875" style="69" customWidth="1"/>
    <col min="8" max="8" width="21.5859375" style="69" bestFit="1" customWidth="1"/>
    <col min="9" max="17" width="21.87890625" style="70" customWidth="1"/>
    <col min="18" max="18" width="18" style="67" customWidth="1"/>
    <col min="19" max="19" width="15.29296875" style="67" customWidth="1"/>
    <col min="20" max="16384" width="9.1171875" style="67"/>
  </cols>
  <sheetData>
    <row r="1" spans="2:17" x14ac:dyDescent="0.45">
      <c r="B1" s="314" t="s">
        <v>147</v>
      </c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6"/>
    </row>
    <row r="2" spans="2:17" x14ac:dyDescent="0.45">
      <c r="B2" s="311" t="s">
        <v>0</v>
      </c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3"/>
    </row>
    <row r="3" spans="2:17" x14ac:dyDescent="0.45">
      <c r="B3" s="311" t="s">
        <v>1</v>
      </c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3"/>
    </row>
    <row r="4" spans="2:17" x14ac:dyDescent="0.45">
      <c r="B4" s="117"/>
      <c r="C4" s="306" t="s">
        <v>2</v>
      </c>
      <c r="D4" s="306"/>
      <c r="E4" s="306"/>
      <c r="F4" s="306"/>
      <c r="G4" s="306"/>
      <c r="H4" s="306" t="s">
        <v>3</v>
      </c>
      <c r="I4" s="306"/>
      <c r="J4" s="306"/>
      <c r="K4" s="306"/>
      <c r="L4" s="306"/>
      <c r="M4" s="306"/>
      <c r="N4" s="306"/>
      <c r="O4" s="306"/>
      <c r="P4" s="306"/>
      <c r="Q4" s="307"/>
    </row>
    <row r="5" spans="2:17" x14ac:dyDescent="0.45">
      <c r="B5" s="146" t="s">
        <v>233</v>
      </c>
      <c r="C5" s="68">
        <v>2012</v>
      </c>
      <c r="D5" s="68">
        <v>2013</v>
      </c>
      <c r="E5" s="68">
        <v>2014</v>
      </c>
      <c r="F5" s="68">
        <v>2015</v>
      </c>
      <c r="G5" s="68">
        <v>2016</v>
      </c>
      <c r="H5" s="68">
        <v>2017</v>
      </c>
      <c r="I5" s="68">
        <v>2018</v>
      </c>
      <c r="J5" s="68">
        <v>2019</v>
      </c>
      <c r="K5" s="68">
        <v>2020</v>
      </c>
      <c r="L5" s="68">
        <v>2021</v>
      </c>
      <c r="M5" s="68">
        <v>2022</v>
      </c>
      <c r="N5" s="68">
        <v>2023</v>
      </c>
      <c r="O5" s="68">
        <v>2024</v>
      </c>
      <c r="P5" s="68">
        <v>2025</v>
      </c>
      <c r="Q5" s="147">
        <v>2026</v>
      </c>
    </row>
    <row r="6" spans="2:17" x14ac:dyDescent="0.45">
      <c r="B6" s="138" t="s">
        <v>145</v>
      </c>
      <c r="C6" s="108"/>
      <c r="D6" s="108"/>
      <c r="E6" s="108"/>
      <c r="F6" s="108"/>
      <c r="G6" s="108"/>
      <c r="H6" s="108"/>
      <c r="I6" s="109"/>
      <c r="J6" s="109"/>
      <c r="K6" s="109"/>
      <c r="L6" s="109"/>
      <c r="M6" s="109"/>
      <c r="N6" s="109"/>
      <c r="O6" s="109"/>
      <c r="P6" s="109"/>
      <c r="Q6" s="112"/>
    </row>
    <row r="7" spans="2:17" x14ac:dyDescent="0.45">
      <c r="B7" s="117" t="s">
        <v>236</v>
      </c>
      <c r="C7" s="108">
        <v>108691940.19</v>
      </c>
      <c r="D7" s="108">
        <v>164477119.77000001</v>
      </c>
      <c r="E7" s="108">
        <v>150871075.40000001</v>
      </c>
      <c r="F7" s="108">
        <v>404559689.86000001</v>
      </c>
      <c r="G7" s="108">
        <v>863340643.92999995</v>
      </c>
      <c r="H7" s="108">
        <f>+G7*(1+supuestos!B5)</f>
        <v>942344186.51626754</v>
      </c>
      <c r="I7" s="108">
        <f>+H7*(1+supuestos!C5)</f>
        <v>1032699798.7031698</v>
      </c>
      <c r="J7" s="108">
        <f>+I7*(1+supuestos!D5)</f>
        <v>1143851533.4539523</v>
      </c>
      <c r="K7" s="108">
        <f>+J7*(1+supuestos!E5)</f>
        <v>1268817155.6322849</v>
      </c>
      <c r="L7" s="108">
        <f>+K7*(1+supuestos!F5)</f>
        <v>1400652443.7581944</v>
      </c>
      <c r="M7" s="108">
        <f>+L7*(1+supuestos!G5)</f>
        <v>1540949720.2178469</v>
      </c>
      <c r="N7" s="108">
        <f>+M7*(1+supuestos!H5)</f>
        <v>1695299965.970283</v>
      </c>
      <c r="O7" s="108">
        <f>+N7*(1+supuestos!I5)</f>
        <v>1865110805.9596741</v>
      </c>
      <c r="P7" s="108">
        <f>+O7*(1+supuestos!J5)</f>
        <v>2051930860.8117568</v>
      </c>
      <c r="Q7" s="139">
        <f>+P7*(1+supuestos!K5)</f>
        <v>2257463869.7593346</v>
      </c>
    </row>
    <row r="8" spans="2:17" x14ac:dyDescent="0.45">
      <c r="B8" s="117" t="s">
        <v>5</v>
      </c>
      <c r="C8" s="108">
        <v>0</v>
      </c>
      <c r="D8" s="108">
        <v>105589603.23999999</v>
      </c>
      <c r="E8" s="108">
        <v>182250276.72</v>
      </c>
      <c r="F8" s="108">
        <v>145109081.13</v>
      </c>
      <c r="G8" s="108">
        <v>0</v>
      </c>
      <c r="H8" s="108">
        <f>+AVERAGE(C8:G8)*(1+AVERAGE(supuestos!B26:F26))</f>
        <v>86324963.424374521</v>
      </c>
      <c r="I8" s="108">
        <f>+AVERAGE(D8:H8)*(1+AVERAGE(supuestos!C26:G26))</f>
        <v>103552919.03972927</v>
      </c>
      <c r="J8" s="108">
        <f>+AVERAGE(E8:I8)*(1+AVERAGE(supuestos!D26:H26))</f>
        <v>103999733.49508393</v>
      </c>
      <c r="K8" s="108">
        <f>+AVERAGE(F8:J8)*(1+AVERAGE(supuestos!E26:I26))</f>
        <v>88830440.135706455</v>
      </c>
      <c r="L8" s="108">
        <f>+AVERAGE(G8:K8)*(1+AVERAGE(supuestos!F26:J26))</f>
        <v>77717904.232327893</v>
      </c>
      <c r="M8" s="108">
        <f>+AVERAGE(H8:L8)*(1+AVERAGE(supuestos!G26:K26))</f>
        <v>93218053.985054389</v>
      </c>
      <c r="N8" s="108">
        <f>+AVERAGE(I8:M8)*(1+AVERAGE(supuestos!H26:L26))</f>
        <v>94969261.305281162</v>
      </c>
      <c r="O8" s="108">
        <f>+AVERAGE(J8:N8)*(1+AVERAGE(supuestos!I26:M26))</f>
        <v>93335534.58272621</v>
      </c>
      <c r="P8" s="108">
        <f>+AVERAGE(K8:O8)*(1+AVERAGE(supuestos!J26:N26))</f>
        <v>91223679.084389433</v>
      </c>
      <c r="Q8" s="139">
        <f>+AVERAGE(L8:P8)*(1+AVERAGE(supuestos!K26:O26))</f>
        <v>91790974.011409625</v>
      </c>
    </row>
    <row r="9" spans="2:17" x14ac:dyDescent="0.45">
      <c r="B9" s="117" t="s">
        <v>237</v>
      </c>
      <c r="C9" s="108">
        <v>0</v>
      </c>
      <c r="D9" s="108">
        <v>0</v>
      </c>
      <c r="E9" s="108">
        <v>483057916</v>
      </c>
      <c r="F9" s="108">
        <v>281551641</v>
      </c>
      <c r="G9" s="108">
        <v>655387293</v>
      </c>
      <c r="H9" s="108">
        <f>+G9*(1+supuestos!B6)</f>
        <v>715361207.44161212</v>
      </c>
      <c r="I9" s="108">
        <f>+H9*(1+supuestos!C6)</f>
        <v>783952812.03579259</v>
      </c>
      <c r="J9" s="108">
        <f>+I9*(1+supuestos!D6)</f>
        <v>868331365.34814632</v>
      </c>
      <c r="K9" s="108">
        <f>+J9*(1+supuestos!E6)</f>
        <v>963196447.1827029</v>
      </c>
      <c r="L9" s="108">
        <f>+K9*(1+supuestos!F6)</f>
        <v>1063276494.6288655</v>
      </c>
      <c r="M9" s="108">
        <f>+L9*(1+supuestos!G6)</f>
        <v>1169780286.4758523</v>
      </c>
      <c r="N9" s="108">
        <f>+M9*(1+supuestos!H6)</f>
        <v>1286952100.9256952</v>
      </c>
      <c r="O9" s="108">
        <f>+N9*(1+supuestos!I6)</f>
        <v>1415860507.503304</v>
      </c>
      <c r="P9" s="108">
        <f>+O9*(1+supuestos!J6)</f>
        <v>1557681109.7053075</v>
      </c>
      <c r="Q9" s="139">
        <f>+P9*(1+supuestos!K6)</f>
        <v>1713707266.1284721</v>
      </c>
    </row>
    <row r="10" spans="2:17" x14ac:dyDescent="0.45">
      <c r="B10" s="117" t="s">
        <v>7</v>
      </c>
      <c r="C10" s="108">
        <v>0</v>
      </c>
      <c r="D10" s="108">
        <v>0</v>
      </c>
      <c r="E10" s="108">
        <v>296388006.05000001</v>
      </c>
      <c r="F10" s="108">
        <v>388037550.37</v>
      </c>
      <c r="G10" s="108">
        <v>519040582.94</v>
      </c>
      <c r="H10" s="108">
        <f>+H87*supuestos!$E$16</f>
        <v>515501608.77471286</v>
      </c>
      <c r="I10" s="108">
        <f>+I87*supuestos!$E$16</f>
        <v>564929900.59276617</v>
      </c>
      <c r="J10" s="108">
        <f>+J87*supuestos!$E$16</f>
        <v>625734539.6004684</v>
      </c>
      <c r="K10" s="108">
        <f>+K87*supuestos!$E$16</f>
        <v>694095951.70045304</v>
      </c>
      <c r="L10" s="108">
        <f>+L87*supuestos!$E$16</f>
        <v>766215357.85228491</v>
      </c>
      <c r="M10" s="108">
        <f>+M87*supuestos!$E$16</f>
        <v>842963824.87369514</v>
      </c>
      <c r="N10" s="108">
        <f>+N87*supuestos!$E$16</f>
        <v>927399852.7482934</v>
      </c>
      <c r="O10" s="108">
        <f>+O87*supuestos!$E$16</f>
        <v>1020293471.0827291</v>
      </c>
      <c r="P10" s="108">
        <f>+P87*supuestos!$E$16</f>
        <v>1122491840.0074217</v>
      </c>
      <c r="Q10" s="139">
        <f>+Q87*supuestos!$E$16</f>
        <v>1234926976.0063796</v>
      </c>
    </row>
    <row r="11" spans="2:17" x14ac:dyDescent="0.45">
      <c r="B11" s="117" t="s">
        <v>8</v>
      </c>
      <c r="C11" s="108">
        <v>1991341951.9400001</v>
      </c>
      <c r="D11" s="108">
        <v>2368966835.52</v>
      </c>
      <c r="E11" s="108">
        <v>470326190.06999999</v>
      </c>
      <c r="F11" s="108">
        <v>106249105.38</v>
      </c>
      <c r="G11" s="108">
        <v>236319713.96000001</v>
      </c>
      <c r="H11" s="108">
        <f>+G11*(1+supuestos!B7)</f>
        <v>257945123.02313131</v>
      </c>
      <c r="I11" s="108">
        <f>+H11*(1+supuestos!C7)</f>
        <v>282677900.95594078</v>
      </c>
      <c r="J11" s="108">
        <f>+I11*(1+supuestos!D7)</f>
        <v>313103140.80436432</v>
      </c>
      <c r="K11" s="108">
        <f>+J11*(1+supuestos!E7)</f>
        <v>347309615.72900766</v>
      </c>
      <c r="L11" s="108">
        <f>+K11*(1+supuestos!F7)</f>
        <v>383396504.25765109</v>
      </c>
      <c r="M11" s="108">
        <f>+L11*(1+supuestos!G7)</f>
        <v>421799668.14831156</v>
      </c>
      <c r="N11" s="108">
        <f>+M11*(1+supuestos!H7)</f>
        <v>464049510.29616821</v>
      </c>
      <c r="O11" s="108">
        <f>+N11*(1+supuestos!I7)</f>
        <v>510531335.76766074</v>
      </c>
      <c r="P11" s="108">
        <f>+O11*(1+supuestos!J7)</f>
        <v>561669043.96551013</v>
      </c>
      <c r="Q11" s="139">
        <f>+P11*(1+supuestos!K7)</f>
        <v>617928994.45588446</v>
      </c>
    </row>
    <row r="12" spans="2:17" x14ac:dyDescent="0.45">
      <c r="B12" s="117" t="s">
        <v>9</v>
      </c>
      <c r="C12" s="108">
        <v>3157853791.96</v>
      </c>
      <c r="D12" s="108">
        <v>2022939654.75</v>
      </c>
      <c r="E12" s="108">
        <v>1142198028.3199999</v>
      </c>
      <c r="F12" s="108">
        <v>874037587.47000003</v>
      </c>
      <c r="G12" s="108">
        <v>716458651.04999995</v>
      </c>
      <c r="H12" s="108">
        <f>+G12*(1+supuestos!B8)</f>
        <v>782021151.72397256</v>
      </c>
      <c r="I12" s="108">
        <f>+H12*(1+supuestos!C8)</f>
        <v>857004370.08322978</v>
      </c>
      <c r="J12" s="108">
        <f>+I12*(1+supuestos!D8)</f>
        <v>949245622.13283193</v>
      </c>
      <c r="K12" s="108">
        <f>+J12*(1+supuestos!E8)</f>
        <v>1052950575.3549479</v>
      </c>
      <c r="L12" s="108">
        <f>+K12*(1+supuestos!F8)</f>
        <v>1162356443.5433285</v>
      </c>
      <c r="M12" s="108">
        <f>+L12*(1+supuestos!G8)</f>
        <v>1278784643.8660989</v>
      </c>
      <c r="N12" s="108">
        <f>+M12*(1+supuestos!H8)</f>
        <v>1406874951.7168117</v>
      </c>
      <c r="O12" s="108">
        <f>+N12*(1+supuestos!I8)</f>
        <v>1547795509.7929943</v>
      </c>
      <c r="P12" s="108">
        <f>+O12*(1+supuestos!J8)</f>
        <v>1702831468.5764461</v>
      </c>
      <c r="Q12" s="139">
        <f>+P12*(1+supuestos!K8)</f>
        <v>1873396706.4951751</v>
      </c>
    </row>
    <row r="13" spans="2:17" x14ac:dyDescent="0.45">
      <c r="B13" s="117" t="s">
        <v>10</v>
      </c>
      <c r="C13" s="108">
        <v>1200000</v>
      </c>
      <c r="D13" s="108">
        <v>1200000</v>
      </c>
      <c r="E13" s="108">
        <v>0</v>
      </c>
      <c r="F13" s="108">
        <v>0</v>
      </c>
      <c r="G13" s="108">
        <v>0</v>
      </c>
      <c r="H13" s="108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9">
        <v>0</v>
      </c>
      <c r="O13" s="109">
        <v>0</v>
      </c>
      <c r="P13" s="109">
        <v>0</v>
      </c>
      <c r="Q13" s="112">
        <v>0</v>
      </c>
    </row>
    <row r="14" spans="2:17" x14ac:dyDescent="0.45">
      <c r="B14" s="117" t="s">
        <v>11</v>
      </c>
      <c r="C14" s="108">
        <v>0</v>
      </c>
      <c r="D14" s="108">
        <v>19967228.27</v>
      </c>
      <c r="E14" s="108">
        <v>0</v>
      </c>
      <c r="F14" s="108">
        <v>0</v>
      </c>
      <c r="G14" s="108">
        <v>0</v>
      </c>
      <c r="H14" s="108">
        <v>0</v>
      </c>
      <c r="I14" s="109">
        <v>0</v>
      </c>
      <c r="J14" s="109">
        <v>0</v>
      </c>
      <c r="K14" s="109">
        <v>0</v>
      </c>
      <c r="L14" s="109">
        <v>0</v>
      </c>
      <c r="M14" s="109">
        <v>0</v>
      </c>
      <c r="N14" s="109">
        <v>0</v>
      </c>
      <c r="O14" s="109">
        <v>0</v>
      </c>
      <c r="P14" s="109">
        <v>0</v>
      </c>
      <c r="Q14" s="112">
        <v>0</v>
      </c>
    </row>
    <row r="15" spans="2:17" x14ac:dyDescent="0.45">
      <c r="B15" s="138" t="s">
        <v>12</v>
      </c>
      <c r="C15" s="72">
        <f>SUM(C7:C14)</f>
        <v>5259087684.0900002</v>
      </c>
      <c r="D15" s="72">
        <f t="shared" ref="D15:Q15" si="0">SUM(D7:D14)</f>
        <v>4683140441.5500002</v>
      </c>
      <c r="E15" s="72">
        <f t="shared" si="0"/>
        <v>2725091492.5599999</v>
      </c>
      <c r="F15" s="72">
        <f t="shared" si="0"/>
        <v>2199544655.21</v>
      </c>
      <c r="G15" s="72">
        <f t="shared" si="0"/>
        <v>2990546884.8800001</v>
      </c>
      <c r="H15" s="72">
        <f>SUM(H7:H14)</f>
        <v>3299498240.9040709</v>
      </c>
      <c r="I15" s="73">
        <f>SUM(I7:I14)</f>
        <v>3624817701.4106283</v>
      </c>
      <c r="J15" s="73">
        <f>SUM(J7:J14)</f>
        <v>4004265934.834847</v>
      </c>
      <c r="K15" s="73">
        <f>SUM(K7:K14)</f>
        <v>4415200185.7351027</v>
      </c>
      <c r="L15" s="73">
        <f>SUM(L7:L14)</f>
        <v>4853615148.2726517</v>
      </c>
      <c r="M15" s="73">
        <f t="shared" si="0"/>
        <v>5347496197.5668602</v>
      </c>
      <c r="N15" s="73">
        <f t="shared" si="0"/>
        <v>5875545642.962532</v>
      </c>
      <c r="O15" s="73">
        <f t="shared" si="0"/>
        <v>6452927164.6890888</v>
      </c>
      <c r="P15" s="73">
        <f t="shared" si="0"/>
        <v>7087828002.1508312</v>
      </c>
      <c r="Q15" s="148">
        <f t="shared" si="0"/>
        <v>7789214786.8566561</v>
      </c>
    </row>
    <row r="16" spans="2:17" x14ac:dyDescent="0.45">
      <c r="B16" s="117"/>
      <c r="C16" s="108"/>
      <c r="D16" s="108"/>
      <c r="E16" s="108"/>
      <c r="F16" s="108"/>
      <c r="G16" s="108"/>
      <c r="H16" s="108"/>
      <c r="I16" s="109"/>
      <c r="J16" s="109"/>
      <c r="K16" s="109"/>
      <c r="L16" s="109"/>
      <c r="M16" s="109"/>
      <c r="N16" s="109"/>
      <c r="O16" s="109"/>
      <c r="P16" s="109"/>
      <c r="Q16" s="112"/>
    </row>
    <row r="17" spans="2:17" x14ac:dyDescent="0.45">
      <c r="B17" s="138" t="s">
        <v>13</v>
      </c>
      <c r="C17" s="108"/>
      <c r="D17" s="108"/>
      <c r="E17" s="108"/>
      <c r="F17" s="108"/>
      <c r="G17" s="108"/>
      <c r="H17" s="108"/>
      <c r="I17" s="109"/>
      <c r="J17" s="109"/>
      <c r="K17" s="109"/>
      <c r="L17" s="109"/>
      <c r="M17" s="109"/>
      <c r="N17" s="109"/>
      <c r="O17" s="109"/>
      <c r="P17" s="109"/>
      <c r="Q17" s="112"/>
    </row>
    <row r="18" spans="2:17" x14ac:dyDescent="0.45">
      <c r="B18" s="117" t="s">
        <v>14</v>
      </c>
      <c r="C18" s="108">
        <v>92552795.200000003</v>
      </c>
      <c r="D18" s="108">
        <v>65532395.200000003</v>
      </c>
      <c r="E18" s="108">
        <v>56994814.200000003</v>
      </c>
      <c r="F18" s="108">
        <v>43433739</v>
      </c>
      <c r="G18" s="108">
        <v>35635548</v>
      </c>
      <c r="H18" s="108">
        <f>+AVERAGE(C18:G18)*(1+AVERAGE(supuestos!B26:F26))</f>
        <v>58649931.333123557</v>
      </c>
      <c r="I18" s="108">
        <f>+AVERAGE(D18:H18)*(1+AVERAGE(supuestos!C26:G26))</f>
        <v>51897998.318767667</v>
      </c>
      <c r="J18" s="108">
        <f>+AVERAGE(E18:I18)*(1+AVERAGE(supuestos!D26:H26))</f>
        <v>49585728.726150952</v>
      </c>
      <c r="K18" s="108">
        <f>+AVERAGE(F18:J18)*(1+AVERAGE(supuestos!E26:I26))</f>
        <v>48403523.524932325</v>
      </c>
      <c r="L18" s="108">
        <f>+AVERAGE(G18:K18)*(1+AVERAGE(supuestos!F26:J26))</f>
        <v>49585036.260747291</v>
      </c>
      <c r="M18" s="108">
        <f>+AVERAGE(H18:L18)*(1+AVERAGE(supuestos!G26:K26))</f>
        <v>52259544.293348119</v>
      </c>
      <c r="N18" s="108">
        <f>+AVERAGE(I18:M18)*(1+AVERAGE(supuestos!H26:L26))</f>
        <v>51157311.056427717</v>
      </c>
      <c r="O18" s="108">
        <f>+AVERAGE(J18:N18)*(1+AVERAGE(supuestos!I26:M26))</f>
        <v>51067331.92486959</v>
      </c>
      <c r="P18" s="108">
        <f>+AVERAGE(K18:O18)*(1+AVERAGE(supuestos!J26:N26))</f>
        <v>51401413.773974128</v>
      </c>
      <c r="Q18" s="139">
        <f>+AVERAGE(L18:P18)*(1+AVERAGE(supuestos!K26:O26))</f>
        <v>52057159.016731925</v>
      </c>
    </row>
    <row r="19" spans="2:17" x14ac:dyDescent="0.45">
      <c r="B19" s="117" t="s">
        <v>15</v>
      </c>
      <c r="C19" s="108">
        <v>0</v>
      </c>
      <c r="D19" s="108">
        <v>0</v>
      </c>
      <c r="E19" s="108">
        <v>0</v>
      </c>
      <c r="F19" s="108">
        <v>545478194.78999996</v>
      </c>
      <c r="G19" s="108">
        <v>547245209.78999996</v>
      </c>
      <c r="H19" s="108">
        <f>+AVERAGE(C19:G19)*(1+AVERAGE(supuestos!B26:F26))</f>
        <v>217876277.36960348</v>
      </c>
      <c r="I19" s="108">
        <f>+AVERAGE(D19:H19)*(1+AVERAGE(supuestos!C26:G26))</f>
        <v>261358054.68249598</v>
      </c>
      <c r="J19" s="108">
        <f>+AVERAGE(E19:I19)*(1+AVERAGE(supuestos!D26:H26))</f>
        <v>316070021.51661563</v>
      </c>
      <c r="K19" s="108">
        <f>+AVERAGE(F19:J19)*(1+AVERAGE(supuestos!E26:I26))</f>
        <v>382048790.6737352</v>
      </c>
      <c r="L19" s="108">
        <f>+AVERAGE(G19:K19)*(1+AVERAGE(supuestos!F26:J26))</f>
        <v>350220403.21171188</v>
      </c>
      <c r="M19" s="108">
        <f>+AVERAGE(H19:L19)*(1+AVERAGE(supuestos!G26:K26))</f>
        <v>309273250.60368472</v>
      </c>
      <c r="N19" s="108">
        <f>+AVERAGE(I19:M19)*(1+AVERAGE(supuestos!H26:L26))</f>
        <v>329009558.10096055</v>
      </c>
      <c r="O19" s="108">
        <f>+AVERAGE(J19:N19)*(1+AVERAGE(supuestos!I26:M26))</f>
        <v>343164644.82246608</v>
      </c>
      <c r="P19" s="108">
        <f>+AVERAGE(K19:O19)*(1+AVERAGE(supuestos!J26:N26))</f>
        <v>348898879.22815406</v>
      </c>
      <c r="Q19" s="139">
        <f>+AVERAGE(L19:P19)*(1+AVERAGE(supuestos!K26:O26))</f>
        <v>342448473.66361272</v>
      </c>
    </row>
    <row r="20" spans="2:17" x14ac:dyDescent="0.45">
      <c r="B20" s="117" t="s">
        <v>16</v>
      </c>
      <c r="C20" s="108">
        <v>0</v>
      </c>
      <c r="D20" s="108">
        <v>0</v>
      </c>
      <c r="E20" s="108">
        <v>0</v>
      </c>
      <c r="F20" s="108">
        <v>-173649564</v>
      </c>
      <c r="G20" s="108">
        <v>-247594418.75999999</v>
      </c>
      <c r="H20" s="108">
        <f>+AVERAGE(C20:G20)*(1+AVERAGE(supuestos!B26:F26))</f>
        <v>-83991127.529084548</v>
      </c>
      <c r="I20" s="108">
        <f>+AVERAGE(D20:H20)*(1+AVERAGE(supuestos!C26:G26))</f>
        <v>-100753317.2799359</v>
      </c>
      <c r="J20" s="108">
        <f>+AVERAGE(E20:I20)*(1+AVERAGE(supuestos!D26:H26))</f>
        <v>-121844735.94749521</v>
      </c>
      <c r="K20" s="108">
        <f>+AVERAGE(F20:J20)*(1+AVERAGE(supuestos!E26:I26))</f>
        <v>-147279497.73703548</v>
      </c>
      <c r="L20" s="108">
        <f>+AVERAGE(G20:K20)*(1+AVERAGE(supuestos!F26:J26))</f>
        <v>-142448639.23467043</v>
      </c>
      <c r="M20" s="108">
        <f>+AVERAGE(H20:L20)*(1+AVERAGE(supuestos!G26:K26))</f>
        <v>-120730681.38188049</v>
      </c>
      <c r="N20" s="108">
        <f>+AVERAGE(I20:M20)*(1+AVERAGE(supuestos!H26:L26))</f>
        <v>-128650743.73503976</v>
      </c>
      <c r="O20" s="108">
        <f>+AVERAGE(J20:N20)*(1+AVERAGE(supuestos!I26:M26))</f>
        <v>-134479535.83410454</v>
      </c>
      <c r="P20" s="108">
        <f>+AVERAGE(K20:O20)*(1+AVERAGE(supuestos!J26:N26))</f>
        <v>-137137304.27978212</v>
      </c>
      <c r="Q20" s="139">
        <f>+AVERAGE(L20:P20)*(1+AVERAGE(supuestos!K26:O26))</f>
        <v>-135190334.86065367</v>
      </c>
    </row>
    <row r="21" spans="2:17" x14ac:dyDescent="0.45">
      <c r="B21" s="117" t="s">
        <v>17</v>
      </c>
      <c r="C21" s="108">
        <v>0</v>
      </c>
      <c r="D21" s="108">
        <v>0</v>
      </c>
      <c r="E21" s="108">
        <v>192508226.43000001</v>
      </c>
      <c r="F21" s="108">
        <v>201185412.46000001</v>
      </c>
      <c r="G21" s="108">
        <v>233040237.22999999</v>
      </c>
      <c r="H21" s="108">
        <f>+AVERAGE(C21:G21)*(1+AVERAGE(supuestos!B26:F26))</f>
        <v>124963410.92184484</v>
      </c>
      <c r="I21" s="108">
        <f>+AVERAGE(D21:H21)*(1+AVERAGE(supuestos!C26:G26))</f>
        <v>149902478.50443244</v>
      </c>
      <c r="J21" s="108">
        <f>+AVERAGE(E21:I21)*(1+AVERAGE(supuestos!D26:H26))</f>
        <v>181282645.61751473</v>
      </c>
      <c r="K21" s="108">
        <f>+AVERAGE(F21:J21)*(1+AVERAGE(supuestos!E26:I26))</f>
        <v>180170222.10425794</v>
      </c>
      <c r="L21" s="108">
        <f>+AVERAGE(G21:K21)*(1+AVERAGE(supuestos!F26:J26))</f>
        <v>176543864.16112751</v>
      </c>
      <c r="M21" s="108">
        <f>+AVERAGE(H21:L21)*(1+AVERAGE(supuestos!G26:K26))</f>
        <v>164572544.21922684</v>
      </c>
      <c r="N21" s="108">
        <f>+AVERAGE(I21:M21)*(1+AVERAGE(supuestos!H26:L26))</f>
        <v>173240557.31257105</v>
      </c>
      <c r="O21" s="108">
        <f>+AVERAGE(J21:N21)*(1+AVERAGE(supuestos!I26:M26))</f>
        <v>178194619.84967136</v>
      </c>
      <c r="P21" s="108">
        <f>+AVERAGE(K21:O21)*(1+AVERAGE(supuestos!J26:N26))</f>
        <v>177679116.92151126</v>
      </c>
      <c r="Q21" s="139">
        <f>+AVERAGE(L21:P21)*(1+AVERAGE(supuestos!K26:O26))</f>
        <v>177326594.30663821</v>
      </c>
    </row>
    <row r="22" spans="2:17" x14ac:dyDescent="0.45">
      <c r="B22" s="117" t="s">
        <v>18</v>
      </c>
      <c r="C22" s="108">
        <v>1726253841.96</v>
      </c>
      <c r="D22" s="108">
        <v>1601061815.28</v>
      </c>
      <c r="E22" s="108">
        <v>1555859741.46</v>
      </c>
      <c r="F22" s="108">
        <v>1556516534.7799997</v>
      </c>
      <c r="G22" s="108">
        <v>1533143811.0999994</v>
      </c>
      <c r="H22" s="108">
        <f>+AVERAGE(C22:G22)*(1+AVERAGE(supuestos!B26:F26))</f>
        <v>1589690277.3635302</v>
      </c>
      <c r="I22" s="108">
        <f>+AVERAGE(D22:H22)*(1+AVERAGE(supuestos!C26:G26))</f>
        <v>1562699030.9324768</v>
      </c>
      <c r="J22" s="108">
        <f>+AVERAGE(E22:I22)*(1+AVERAGE(supuestos!D26:H26))</f>
        <v>1567908177.8266191</v>
      </c>
      <c r="K22" s="108">
        <f>+AVERAGE(F22:J22)*(1+AVERAGE(supuestos!E26:I26))</f>
        <v>1580371333.0227666</v>
      </c>
      <c r="L22" s="108">
        <f>+AVERAGE(G22:K22)*(1+AVERAGE(supuestos!F26:J26))</f>
        <v>1590840563.9113343</v>
      </c>
      <c r="M22" s="108">
        <f>+AVERAGE(H22:L22)*(1+AVERAGE(supuestos!G26:K26))</f>
        <v>1597718658.5450928</v>
      </c>
      <c r="N22" s="108">
        <f>+AVERAGE(I22:M22)*(1+AVERAGE(supuestos!H26:L26))</f>
        <v>1605355623.0962212</v>
      </c>
      <c r="O22" s="108">
        <f>+AVERAGE(J22:N22)*(1+AVERAGE(supuestos!I26:M26))</f>
        <v>1615940184.861042</v>
      </c>
      <c r="P22" s="108">
        <f>+AVERAGE(K22:O22)*(1+AVERAGE(supuestos!J26:N26))</f>
        <v>1626745604.1763606</v>
      </c>
      <c r="Q22" s="139">
        <f>+AVERAGE(L22:P22)*(1+AVERAGE(supuestos!K26:O26))</f>
        <v>1637615193.6482594</v>
      </c>
    </row>
    <row r="23" spans="2:17" x14ac:dyDescent="0.45">
      <c r="B23" s="117" t="s">
        <v>19</v>
      </c>
      <c r="C23" s="108">
        <v>13857839.43</v>
      </c>
      <c r="D23" s="108">
        <v>13270230</v>
      </c>
      <c r="E23" s="108">
        <v>9527346</v>
      </c>
      <c r="F23" s="108">
        <v>8983183.6099999994</v>
      </c>
      <c r="G23" s="108">
        <v>24843000</v>
      </c>
      <c r="H23" s="108">
        <f>+AVERAGE(C23:G23)*(1+AVERAGE(supuestos!B26:F26))</f>
        <v>14053207.204612374</v>
      </c>
      <c r="I23" s="108">
        <f>+AVERAGE(D23:H23)*(1+AVERAGE(supuestos!C26:G26))</f>
        <v>14094307.21824082</v>
      </c>
      <c r="J23" s="108">
        <f>+AVERAGE(E23:I23)*(1+AVERAGE(supuestos!D26:H26))</f>
        <v>14376554.788516894</v>
      </c>
      <c r="K23" s="108">
        <f>+AVERAGE(F23:J23)*(1+AVERAGE(supuestos!E26:I26))</f>
        <v>15449731.410008634</v>
      </c>
      <c r="L23" s="108">
        <f>+AVERAGE(G23:K23)*(1+AVERAGE(supuestos!F26:J26))</f>
        <v>16817906.174214903</v>
      </c>
      <c r="M23" s="108">
        <f>+AVERAGE(H23:L23)*(1+AVERAGE(supuestos!G26:K26))</f>
        <v>15142363.729341175</v>
      </c>
      <c r="N23" s="108">
        <f>+AVERAGE(I23:M23)*(1+AVERAGE(supuestos!H26:L26))</f>
        <v>15420620.073258359</v>
      </c>
      <c r="O23" s="108">
        <f>+AVERAGE(J23:N23)*(1+AVERAGE(supuestos!I26:M26))</f>
        <v>15708779.330086498</v>
      </c>
      <c r="P23" s="108">
        <f>+AVERAGE(K23:O23)*(1+AVERAGE(supuestos!J26:N26))</f>
        <v>15989988.150464542</v>
      </c>
      <c r="Q23" s="139">
        <f>+AVERAGE(L23:P23)*(1+AVERAGE(supuestos!K26:O26))</f>
        <v>16114033.09047066</v>
      </c>
    </row>
    <row r="24" spans="2:17" x14ac:dyDescent="0.45">
      <c r="B24" s="117" t="s">
        <v>20</v>
      </c>
      <c r="C24" s="108">
        <v>9425466.2200000007</v>
      </c>
      <c r="D24" s="108">
        <v>9425466.2200000007</v>
      </c>
      <c r="E24" s="108">
        <v>9425466.2200000007</v>
      </c>
      <c r="F24" s="108">
        <v>9425466.2200000007</v>
      </c>
      <c r="G24" s="108">
        <v>9425466.2200000007</v>
      </c>
      <c r="H24" s="108">
        <v>9425466.2200000007</v>
      </c>
      <c r="I24" s="113">
        <v>9425466.2200000007</v>
      </c>
      <c r="J24" s="113">
        <v>9425466.2200000007</v>
      </c>
      <c r="K24" s="113">
        <v>9425466.2200000007</v>
      </c>
      <c r="L24" s="113">
        <v>9425466.2200000007</v>
      </c>
      <c r="M24" s="113">
        <v>9425466.2200000007</v>
      </c>
      <c r="N24" s="113">
        <v>9425466.2200000007</v>
      </c>
      <c r="O24" s="113">
        <v>9425466.2200000007</v>
      </c>
      <c r="P24" s="113">
        <v>9425466.2200000007</v>
      </c>
      <c r="Q24" s="114">
        <v>9425466.2200000007</v>
      </c>
    </row>
    <row r="25" spans="2:17" x14ac:dyDescent="0.45">
      <c r="B25" s="117" t="s">
        <v>21</v>
      </c>
      <c r="C25" s="108">
        <v>19473662972.68</v>
      </c>
      <c r="D25" s="108">
        <v>19473662972.68</v>
      </c>
      <c r="E25" s="108">
        <v>19473662972.68</v>
      </c>
      <c r="F25" s="108">
        <v>19473662972.68</v>
      </c>
      <c r="G25" s="108">
        <v>19473662972.68</v>
      </c>
      <c r="H25" s="108">
        <v>19473662972.68</v>
      </c>
      <c r="I25" s="113">
        <v>19473662972.68</v>
      </c>
      <c r="J25" s="113">
        <v>19473662972.68</v>
      </c>
      <c r="K25" s="113">
        <v>19473662972.68</v>
      </c>
      <c r="L25" s="113">
        <v>19473662972.68</v>
      </c>
      <c r="M25" s="113">
        <v>19473662972.68</v>
      </c>
      <c r="N25" s="113">
        <v>19473662972.68</v>
      </c>
      <c r="O25" s="113">
        <v>19473662972.68</v>
      </c>
      <c r="P25" s="113">
        <v>19473662972.68</v>
      </c>
      <c r="Q25" s="114">
        <v>19473662972.68</v>
      </c>
    </row>
    <row r="26" spans="2:17" x14ac:dyDescent="0.45">
      <c r="B26" s="117" t="s">
        <v>10</v>
      </c>
      <c r="C26" s="108">
        <v>0</v>
      </c>
      <c r="D26" s="108">
        <v>0</v>
      </c>
      <c r="E26" s="108">
        <v>1200000</v>
      </c>
      <c r="F26" s="108">
        <v>1200000</v>
      </c>
      <c r="G26" s="108">
        <v>1200000</v>
      </c>
      <c r="H26" s="108">
        <v>1200000</v>
      </c>
      <c r="I26" s="113">
        <v>1200000</v>
      </c>
      <c r="J26" s="113">
        <v>1200000</v>
      </c>
      <c r="K26" s="113">
        <v>1200000</v>
      </c>
      <c r="L26" s="113">
        <v>1200000</v>
      </c>
      <c r="M26" s="113">
        <v>1200000</v>
      </c>
      <c r="N26" s="113">
        <v>1200000</v>
      </c>
      <c r="O26" s="113">
        <v>1200000</v>
      </c>
      <c r="P26" s="113">
        <v>1200000</v>
      </c>
      <c r="Q26" s="114">
        <v>1200000</v>
      </c>
    </row>
    <row r="27" spans="2:17" x14ac:dyDescent="0.45">
      <c r="B27" s="117" t="s">
        <v>22</v>
      </c>
      <c r="C27" s="108">
        <v>0</v>
      </c>
      <c r="D27" s="108">
        <v>0</v>
      </c>
      <c r="E27" s="108">
        <v>77962030</v>
      </c>
      <c r="F27" s="108">
        <v>225163880.44</v>
      </c>
      <c r="G27" s="108">
        <v>144521996.24000001</v>
      </c>
      <c r="H27" s="108">
        <f>+AVERAGE(C27:G27)*(1+AVERAGE(supuestos!B26:F26))</f>
        <v>89255761.403977141</v>
      </c>
      <c r="I27" s="108">
        <f>+AVERAGE(D27:H27)*(1+AVERAGE(supuestos!C26:G26))</f>
        <v>107068619.1786522</v>
      </c>
      <c r="J27" s="108">
        <f>+AVERAGE(E27:I27)*(1+AVERAGE(supuestos!D26:H26))</f>
        <v>129482065.54667692</v>
      </c>
      <c r="K27" s="108">
        <f>+AVERAGE(F27:J27)*(1+AVERAGE(supuestos!E26:I26))</f>
        <v>140735219.44015461</v>
      </c>
      <c r="L27" s="108">
        <f>+AVERAGE(G27:K27)*(1+AVERAGE(supuestos!F26:J26))</f>
        <v>124090900.07916576</v>
      </c>
      <c r="M27" s="108">
        <f>+AVERAGE(H27:L27)*(1+AVERAGE(supuestos!G26:K26))</f>
        <v>119579743.83294053</v>
      </c>
      <c r="N27" s="108">
        <f>+AVERAGE(I27:M27)*(1+AVERAGE(supuestos!H26:L26))</f>
        <v>126191698.28741238</v>
      </c>
      <c r="O27" s="108">
        <f>+AVERAGE(J27:N27)*(1+AVERAGE(supuestos!I26:M26))</f>
        <v>130232319.26420259</v>
      </c>
      <c r="P27" s="108">
        <f>+AVERAGE(K27:O27)*(1+AVERAGE(supuestos!J26:N26))</f>
        <v>130467792.07102384</v>
      </c>
      <c r="Q27" s="139">
        <f>+AVERAGE(L27:P27)*(1+AVERAGE(supuestos!K26:O26))</f>
        <v>128489482.23309311</v>
      </c>
    </row>
    <row r="28" spans="2:17" x14ac:dyDescent="0.45">
      <c r="B28" s="117" t="s">
        <v>23</v>
      </c>
      <c r="C28" s="108">
        <v>0</v>
      </c>
      <c r="D28" s="108">
        <v>0</v>
      </c>
      <c r="E28" s="108">
        <v>1371276998.0799999</v>
      </c>
      <c r="F28" s="108">
        <v>1371276998.0799999</v>
      </c>
      <c r="G28" s="108">
        <v>1371276998.0799999</v>
      </c>
      <c r="H28" s="108">
        <v>1371276998.0799999</v>
      </c>
      <c r="I28" s="113">
        <v>1371276998.0799999</v>
      </c>
      <c r="J28" s="113">
        <v>1371276998.0799999</v>
      </c>
      <c r="K28" s="113">
        <v>1371276998.0799999</v>
      </c>
      <c r="L28" s="113">
        <v>1371276998.0799999</v>
      </c>
      <c r="M28" s="113">
        <v>1371276998.0799999</v>
      </c>
      <c r="N28" s="113">
        <v>1371276998.0799999</v>
      </c>
      <c r="O28" s="113">
        <v>1371276998.0799999</v>
      </c>
      <c r="P28" s="113">
        <v>1371276998.0799999</v>
      </c>
      <c r="Q28" s="114">
        <v>1371276998.0799999</v>
      </c>
    </row>
    <row r="29" spans="2:17" x14ac:dyDescent="0.45">
      <c r="B29" s="117" t="s">
        <v>24</v>
      </c>
      <c r="C29" s="108">
        <v>0</v>
      </c>
      <c r="D29" s="108">
        <v>0</v>
      </c>
      <c r="E29" s="108"/>
      <c r="F29" s="108">
        <v>0</v>
      </c>
      <c r="G29" s="108">
        <v>110345786.44</v>
      </c>
      <c r="H29" s="108">
        <v>0</v>
      </c>
      <c r="I29" s="109">
        <v>0</v>
      </c>
      <c r="J29" s="109">
        <v>0</v>
      </c>
      <c r="K29" s="109">
        <v>0</v>
      </c>
      <c r="L29" s="109">
        <v>0</v>
      </c>
      <c r="M29" s="109">
        <v>0</v>
      </c>
      <c r="N29" s="109">
        <v>0</v>
      </c>
      <c r="O29" s="109">
        <v>0</v>
      </c>
      <c r="P29" s="109">
        <v>0</v>
      </c>
      <c r="Q29" s="112">
        <v>0</v>
      </c>
    </row>
    <row r="30" spans="2:17" x14ac:dyDescent="0.45">
      <c r="B30" s="138" t="s">
        <v>25</v>
      </c>
      <c r="C30" s="72">
        <f t="shared" ref="C30:Q30" si="1">SUM(C18:C29)</f>
        <v>21315752915.490002</v>
      </c>
      <c r="D30" s="72">
        <f t="shared" si="1"/>
        <v>21162952879.380001</v>
      </c>
      <c r="E30" s="72">
        <f t="shared" si="1"/>
        <v>22748417595.07</v>
      </c>
      <c r="F30" s="72">
        <f t="shared" si="1"/>
        <v>23262676818.059998</v>
      </c>
      <c r="G30" s="72">
        <f t="shared" si="1"/>
        <v>23236746607.02</v>
      </c>
      <c r="H30" s="72">
        <f t="shared" si="1"/>
        <v>22866063175.047607</v>
      </c>
      <c r="I30" s="74">
        <f t="shared" si="1"/>
        <v>22901832608.535133</v>
      </c>
      <c r="J30" s="74">
        <f t="shared" si="1"/>
        <v>22992425895.054596</v>
      </c>
      <c r="K30" s="74">
        <f t="shared" si="1"/>
        <v>23055464759.418823</v>
      </c>
      <c r="L30" s="74">
        <f t="shared" si="1"/>
        <v>23021215471.543633</v>
      </c>
      <c r="M30" s="74">
        <f t="shared" si="1"/>
        <v>22993380860.821754</v>
      </c>
      <c r="N30" s="74">
        <f t="shared" si="1"/>
        <v>23027290061.171806</v>
      </c>
      <c r="O30" s="74">
        <f t="shared" si="1"/>
        <v>23055393781.198235</v>
      </c>
      <c r="P30" s="74">
        <f t="shared" si="1"/>
        <v>23069610927.021706</v>
      </c>
      <c r="Q30" s="141">
        <f t="shared" si="1"/>
        <v>23074426038.078156</v>
      </c>
    </row>
    <row r="31" spans="2:17" x14ac:dyDescent="0.45">
      <c r="B31" s="138"/>
      <c r="C31" s="78"/>
      <c r="D31" s="78"/>
      <c r="E31" s="78"/>
      <c r="F31" s="78"/>
      <c r="G31" s="78"/>
      <c r="H31" s="78"/>
      <c r="I31" s="149"/>
      <c r="J31" s="149"/>
      <c r="K31" s="149"/>
      <c r="L31" s="149"/>
      <c r="M31" s="149"/>
      <c r="N31" s="149"/>
      <c r="O31" s="149"/>
      <c r="P31" s="149"/>
      <c r="Q31" s="150"/>
    </row>
    <row r="32" spans="2:17" x14ac:dyDescent="0.45">
      <c r="B32" s="138" t="s">
        <v>26</v>
      </c>
      <c r="C32" s="72">
        <f>+C15+C30</f>
        <v>26574840599.580002</v>
      </c>
      <c r="D32" s="72">
        <f t="shared" ref="D32:Q32" si="2">+D15+D30</f>
        <v>25846093320.93</v>
      </c>
      <c r="E32" s="72">
        <f t="shared" si="2"/>
        <v>25473509087.630001</v>
      </c>
      <c r="F32" s="72">
        <f t="shared" si="2"/>
        <v>25462221473.269997</v>
      </c>
      <c r="G32" s="72">
        <f t="shared" si="2"/>
        <v>26227293491.900002</v>
      </c>
      <c r="H32" s="72">
        <f t="shared" si="2"/>
        <v>26165561415.951679</v>
      </c>
      <c r="I32" s="72">
        <f t="shared" si="2"/>
        <v>26526650309.945763</v>
      </c>
      <c r="J32" s="72">
        <f t="shared" si="2"/>
        <v>26996691829.889442</v>
      </c>
      <c r="K32" s="72">
        <f t="shared" si="2"/>
        <v>27470664945.153927</v>
      </c>
      <c r="L32" s="72">
        <f t="shared" si="2"/>
        <v>27874830619.816284</v>
      </c>
      <c r="M32" s="72">
        <f t="shared" si="2"/>
        <v>28340877058.388615</v>
      </c>
      <c r="N32" s="72">
        <f t="shared" si="2"/>
        <v>28902835704.134338</v>
      </c>
      <c r="O32" s="72">
        <f t="shared" si="2"/>
        <v>29508320945.887321</v>
      </c>
      <c r="P32" s="72">
        <f t="shared" si="2"/>
        <v>30157438929.172539</v>
      </c>
      <c r="Q32" s="140">
        <f t="shared" si="2"/>
        <v>30863640824.934811</v>
      </c>
    </row>
    <row r="33" spans="2:17" x14ac:dyDescent="0.45">
      <c r="B33" s="117"/>
      <c r="C33" s="108"/>
      <c r="D33" s="108"/>
      <c r="E33" s="108"/>
      <c r="F33" s="108"/>
      <c r="G33" s="108"/>
      <c r="H33" s="108"/>
      <c r="I33" s="109"/>
      <c r="J33" s="109"/>
      <c r="K33" s="109"/>
      <c r="L33" s="109"/>
      <c r="M33" s="109"/>
      <c r="N33" s="109"/>
      <c r="O33" s="109"/>
      <c r="P33" s="109"/>
      <c r="Q33" s="112"/>
    </row>
    <row r="34" spans="2:17" x14ac:dyDescent="0.45">
      <c r="B34" s="138" t="s">
        <v>146</v>
      </c>
      <c r="C34" s="108"/>
      <c r="D34" s="108"/>
      <c r="E34" s="108"/>
      <c r="F34" s="108"/>
      <c r="G34" s="108"/>
      <c r="H34" s="108"/>
      <c r="I34" s="109"/>
      <c r="J34" s="109"/>
      <c r="K34" s="109"/>
      <c r="L34" s="109"/>
      <c r="M34" s="109"/>
      <c r="N34" s="109"/>
      <c r="O34" s="109"/>
      <c r="P34" s="109"/>
      <c r="Q34" s="112"/>
    </row>
    <row r="35" spans="2:17" x14ac:dyDescent="0.45">
      <c r="B35" s="117" t="s">
        <v>27</v>
      </c>
      <c r="C35" s="108">
        <v>858014262.33000004</v>
      </c>
      <c r="D35" s="108">
        <v>1602610061.52</v>
      </c>
      <c r="E35" s="108">
        <v>2671718162.27</v>
      </c>
      <c r="F35" s="108">
        <v>566000000</v>
      </c>
      <c r="G35" s="108">
        <v>550000000</v>
      </c>
      <c r="H35" s="108">
        <f>+AVERAGE(C35:G35)*(1+AVERAGE(supuestos!B54:F54))</f>
        <v>1245846473.956888</v>
      </c>
      <c r="I35" s="108">
        <f>+AVERAGE(D35:H35)*(1+AVERAGE(supuestos!C54:G54))</f>
        <v>1323377178.7249842</v>
      </c>
      <c r="J35" s="108">
        <f>+AVERAGE(E35:I35)*(1+AVERAGE(supuestos!D54:H54))</f>
        <v>1278176053.5982866</v>
      </c>
      <c r="K35" s="108">
        <f>+AVERAGE(F35:J35)*(1+AVERAGE(supuestos!E54:I54))</f>
        <v>1004360686.5579484</v>
      </c>
      <c r="L35" s="108">
        <f>+AVERAGE(G35:K35)*(1+AVERAGE(supuestos!F54:J54))</f>
        <v>1096954950.9364893</v>
      </c>
      <c r="M35" s="108">
        <f>+AVERAGE(H35:L35)*(1+AVERAGE(supuestos!G54:K54))</f>
        <v>1204379674.1252429</v>
      </c>
      <c r="N35" s="108">
        <f>+AVERAGE(I35:M35)*(1+AVERAGE(supuestos!H54:L54))</f>
        <v>1200479692.6191037</v>
      </c>
      <c r="O35" s="108">
        <f>+AVERAGE(J35:N35)*(1+AVERAGE(supuestos!I54:M54))</f>
        <v>1176899594.5267756</v>
      </c>
      <c r="P35" s="108">
        <f>+AVERAGE(K35:O35)*(1+AVERAGE(supuestos!J54:N54))</f>
        <v>1157028124.2660728</v>
      </c>
      <c r="Q35" s="139">
        <f>+AVERAGE(L35:P35)*(1+AVERAGE(supuestos!K54:O54))</f>
        <v>1189147036.1247618</v>
      </c>
    </row>
    <row r="36" spans="2:17" x14ac:dyDescent="0.45">
      <c r="B36" s="117" t="s">
        <v>28</v>
      </c>
      <c r="C36" s="108">
        <v>1196020819</v>
      </c>
      <c r="D36" s="108">
        <v>840794054</v>
      </c>
      <c r="E36" s="108">
        <v>206040813</v>
      </c>
      <c r="F36" s="108">
        <v>187000310</v>
      </c>
      <c r="G36" s="108">
        <v>132009778</v>
      </c>
      <c r="H36" s="108">
        <f>+G36*(1+supuestos!B46)</f>
        <v>144089876.61617535</v>
      </c>
      <c r="I36" s="108">
        <f>+H36*(1+supuestos!C46)</f>
        <v>157905772.33440611</v>
      </c>
      <c r="J36" s="108">
        <f>+I36*(1+supuestos!D46)</f>
        <v>174901515.47696498</v>
      </c>
      <c r="K36" s="108">
        <f>+J36*(1+supuestos!E46)</f>
        <v>194009481.90641427</v>
      </c>
      <c r="L36" s="108">
        <f>+K36*(1+supuestos!F46)</f>
        <v>214167859.99324328</v>
      </c>
      <c r="M36" s="108">
        <f>+L36*(1+supuestos!G46)</f>
        <v>235620125.04025409</v>
      </c>
      <c r="N36" s="108">
        <f>+M36*(1+supuestos!H46)</f>
        <v>259221170.37419367</v>
      </c>
      <c r="O36" s="108">
        <f>+N36*(1+supuestos!I46)</f>
        <v>285186229.99069726</v>
      </c>
      <c r="P36" s="108">
        <f>+O36*(1+supuestos!J46)</f>
        <v>313752096.94062728</v>
      </c>
      <c r="Q36" s="139">
        <f>+P36*(1+supuestos!K46)</f>
        <v>345179282.80706918</v>
      </c>
    </row>
    <row r="37" spans="2:17" x14ac:dyDescent="0.45">
      <c r="B37" s="117" t="s">
        <v>29</v>
      </c>
      <c r="C37" s="108">
        <v>901559339.44000006</v>
      </c>
      <c r="D37" s="108">
        <v>1007741160.4299999</v>
      </c>
      <c r="E37" s="108">
        <v>1005100714</v>
      </c>
      <c r="F37" s="108">
        <v>822525760</v>
      </c>
      <c r="G37" s="108">
        <v>245919133</v>
      </c>
      <c r="H37" s="108">
        <f>+G37*(1+supuestos!B47)</f>
        <v>268422976.45199296</v>
      </c>
      <c r="I37" s="108">
        <f>+H37*(1+supuestos!C47)</f>
        <v>294160411.57324374</v>
      </c>
      <c r="J37" s="108">
        <f>+I37*(1+supuestos!D47)</f>
        <v>325821539.11721081</v>
      </c>
      <c r="K37" s="108">
        <f>+J37*(1+supuestos!E47)</f>
        <v>361417497.30239367</v>
      </c>
      <c r="L37" s="108">
        <f>+K37*(1+supuestos!F47)</f>
        <v>398970252.3854239</v>
      </c>
      <c r="M37" s="108">
        <f>+L37*(1+supuestos!G47)</f>
        <v>438933371.03597647</v>
      </c>
      <c r="N37" s="108">
        <f>+M37*(1+supuestos!H47)</f>
        <v>482899421.84181994</v>
      </c>
      <c r="O37" s="108">
        <f>+N37*(1+supuestos!I47)</f>
        <v>531269361.14422429</v>
      </c>
      <c r="P37" s="108">
        <f>+O37*(1+supuestos!J47)</f>
        <v>584484307.34101391</v>
      </c>
      <c r="Q37" s="139">
        <f>+P37*(1+supuestos!K47)</f>
        <v>643029563.74546945</v>
      </c>
    </row>
    <row r="38" spans="2:17" x14ac:dyDescent="0.45">
      <c r="B38" s="117" t="s">
        <v>30</v>
      </c>
      <c r="C38" s="108">
        <v>166899633.19999999</v>
      </c>
      <c r="D38" s="108">
        <v>120652291.73999999</v>
      </c>
      <c r="E38" s="108">
        <v>232170897.77000001</v>
      </c>
      <c r="F38" s="108">
        <v>305662532</v>
      </c>
      <c r="G38" s="108">
        <v>297371607</v>
      </c>
      <c r="H38" s="108">
        <f>+AVERAGE(C38:G38)*(1+AVERAGE(supuestos!B54:F54))</f>
        <v>223864617.69088253</v>
      </c>
      <c r="I38" s="108">
        <f>+AVERAGE(D38:H38)*(1+AVERAGE(supuestos!C54:G54))</f>
        <v>235258589.76758635</v>
      </c>
      <c r="J38" s="108">
        <f>+AVERAGE(E38:I38)*(1+AVERAGE(supuestos!D54:H54))</f>
        <v>260247681.26358393</v>
      </c>
      <c r="K38" s="108">
        <f>+AVERAGE(F38:J38)*(1+AVERAGE(supuestos!E54:I54))</f>
        <v>267593121.68030238</v>
      </c>
      <c r="L38" s="108">
        <f>+AVERAGE(G38:K38)*(1+AVERAGE(supuestos!F54:J54))</f>
        <v>260814662.57583603</v>
      </c>
      <c r="M38" s="108">
        <f>+AVERAGE(H38:L38)*(1+AVERAGE(supuestos!G54:K54))</f>
        <v>252625850.23749703</v>
      </c>
      <c r="N38" s="108">
        <f>+AVERAGE(I38:M38)*(1+AVERAGE(supuestos!H54:L54))</f>
        <v>259420307.44106069</v>
      </c>
      <c r="O38" s="108">
        <f>+AVERAGE(J38:N38)*(1+AVERAGE(supuestos!I54:M54))</f>
        <v>264644244.03638834</v>
      </c>
      <c r="P38" s="108">
        <f>+AVERAGE(K38:O38)*(1+AVERAGE(supuestos!J54:N54))</f>
        <v>265707458.14689431</v>
      </c>
      <c r="Q38" s="139">
        <f>+AVERAGE(L38:P38)*(1+AVERAGE(supuestos!K54:O54))</f>
        <v>265555142.56998733</v>
      </c>
    </row>
    <row r="39" spans="2:17" x14ac:dyDescent="0.45">
      <c r="B39" s="117" t="s">
        <v>31</v>
      </c>
      <c r="C39" s="108">
        <v>787418942</v>
      </c>
      <c r="D39" s="108">
        <v>645832642.27999997</v>
      </c>
      <c r="E39" s="108">
        <v>362840464.27999997</v>
      </c>
      <c r="F39" s="108">
        <v>381769170.49000001</v>
      </c>
      <c r="G39" s="108">
        <v>384910961.49000001</v>
      </c>
      <c r="H39" s="108">
        <f>+AVERAGE(C39:G39)*(1+AVERAGE(supuestos!B54:F54))</f>
        <v>510986824.3895179</v>
      </c>
      <c r="I39" s="108">
        <f>+AVERAGE(D39:H39)*(1+AVERAGE(supuestos!C54:G54))</f>
        <v>455938910.57642728</v>
      </c>
      <c r="J39" s="108">
        <f>+AVERAGE(E39:I39)*(1+AVERAGE(supuestos!D54:H54))</f>
        <v>421527768.57644916</v>
      </c>
      <c r="K39" s="108">
        <f>+AVERAGE(F39:J39)*(1+AVERAGE(supuestos!E54:I54))</f>
        <v>436098566.68578005</v>
      </c>
      <c r="L39" s="108">
        <f>+AVERAGE(G39:K39)*(1+AVERAGE(supuestos!F54:J54))</f>
        <v>448683620.76330179</v>
      </c>
      <c r="M39" s="108">
        <f>+AVERAGE(H39:L39)*(1+AVERAGE(supuestos!G54:K54))</f>
        <v>460240354.85096252</v>
      </c>
      <c r="N39" s="108">
        <f>+AVERAGE(I39:M39)*(1+AVERAGE(supuestos!H54:L54))</f>
        <v>451657511.54228741</v>
      </c>
      <c r="O39" s="108">
        <f>+AVERAGE(J39:N39)*(1+AVERAGE(supuestos!I54:M54))</f>
        <v>451322518.40830767</v>
      </c>
      <c r="P39" s="108">
        <f>+AVERAGE(K39:O39)*(1+AVERAGE(supuestos!J54:N54))</f>
        <v>457675181.68447709</v>
      </c>
      <c r="Q39" s="139">
        <f>+AVERAGE(L39:P39)*(1+AVERAGE(supuestos!K54:O54))</f>
        <v>462471327.02233255</v>
      </c>
    </row>
    <row r="40" spans="2:17" x14ac:dyDescent="0.45">
      <c r="B40" s="117" t="s">
        <v>32</v>
      </c>
      <c r="C40" s="108">
        <v>334268669.26999998</v>
      </c>
      <c r="D40" s="108">
        <v>139966213.94999999</v>
      </c>
      <c r="E40" s="108">
        <v>16571344</v>
      </c>
      <c r="F40" s="108">
        <v>9668127.6300000008</v>
      </c>
      <c r="G40" s="108">
        <v>67105802.630000003</v>
      </c>
      <c r="H40" s="108">
        <f>+AVERAGE(C40:G40)*(1+AVERAGE(supuestos!B54:F54))</f>
        <v>113168850.69202544</v>
      </c>
      <c r="I40" s="108">
        <f>+AVERAGE(D40:H40)*(1+AVERAGE(supuestos!C54:G54))</f>
        <v>69094650.798677236</v>
      </c>
      <c r="J40" s="108">
        <f>+AVERAGE(E40:I40)*(1+AVERAGE(supuestos!D54:H54))</f>
        <v>55416039.281264901</v>
      </c>
      <c r="K40" s="108">
        <f>+AVERAGE(F40:J40)*(1+AVERAGE(supuestos!E54:I54))</f>
        <v>63630721.43002826</v>
      </c>
      <c r="L40" s="108">
        <f>+AVERAGE(G40:K40)*(1+AVERAGE(supuestos!F54:J54))</f>
        <v>74815578.05818592</v>
      </c>
      <c r="M40" s="108">
        <f>+AVERAGE(H40:L40)*(1+AVERAGE(supuestos!G54:K54))</f>
        <v>76150612.484207913</v>
      </c>
      <c r="N40" s="108">
        <f>+AVERAGE(I40:M40)*(1+AVERAGE(supuestos!H54:L54))</f>
        <v>68913943.073216155</v>
      </c>
      <c r="O40" s="108">
        <f>+AVERAGE(J40:N40)*(1+AVERAGE(supuestos!I54:M54))</f>
        <v>68958975.78123571</v>
      </c>
      <c r="P40" s="108">
        <f>+AVERAGE(K40:O40)*(1+AVERAGE(supuestos!J54:N54))</f>
        <v>71760013.023686409</v>
      </c>
      <c r="Q40" s="139">
        <f>+AVERAGE(L40:P40)*(1+AVERAGE(supuestos!K54:O54))</f>
        <v>73479152.261273801</v>
      </c>
    </row>
    <row r="41" spans="2:17" x14ac:dyDescent="0.45">
      <c r="B41" s="117" t="s">
        <v>33</v>
      </c>
      <c r="C41" s="108">
        <v>61916866.579999998</v>
      </c>
      <c r="D41" s="108">
        <v>81804560.579999998</v>
      </c>
      <c r="E41" s="108">
        <v>59283510.68</v>
      </c>
      <c r="F41" s="108">
        <v>21752789.600000001</v>
      </c>
      <c r="G41" s="108">
        <v>12519541.6</v>
      </c>
      <c r="H41" s="108">
        <f>+AVERAGE(C41:G41)*(1+AVERAGE(supuestos!B54:F54))</f>
        <v>47310314.637885332</v>
      </c>
      <c r="I41" s="108">
        <f>+AVERAGE(D41:H41)*(1+AVERAGE(supuestos!C54:G54))</f>
        <v>44404699.815650925</v>
      </c>
      <c r="J41" s="108">
        <f>+AVERAGE(E41:I41)*(1+AVERAGE(supuestos!D54:H54))</f>
        <v>37251996.146667168</v>
      </c>
      <c r="K41" s="108">
        <f>+AVERAGE(F41:J41)*(1+AVERAGE(supuestos!E54:I54))</f>
        <v>33032031.894645419</v>
      </c>
      <c r="L41" s="108">
        <f>+AVERAGE(G41:K41)*(1+AVERAGE(supuestos!F54:J54))</f>
        <v>35440117.837712474</v>
      </c>
      <c r="M41" s="108">
        <f>+AVERAGE(H41:L41)*(1+AVERAGE(supuestos!G54:K54))</f>
        <v>39973624.192615598</v>
      </c>
      <c r="N41" s="108">
        <f>+AVERAGE(I41:M41)*(1+AVERAGE(supuestos!H54:L54))</f>
        <v>38632902.089489631</v>
      </c>
      <c r="O41" s="108">
        <f>+AVERAGE(J41:N41)*(1+AVERAGE(supuestos!I54:M54))</f>
        <v>37504413.40024782</v>
      </c>
      <c r="P41" s="108">
        <f>+AVERAGE(K41:O41)*(1+AVERAGE(supuestos!J54:N54))</f>
        <v>37579627.366343141</v>
      </c>
      <c r="Q41" s="139">
        <f>+AVERAGE(L41:P41)*(1+AVERAGE(supuestos!K54:O54))</f>
        <v>38539090.996013284</v>
      </c>
    </row>
    <row r="42" spans="2:17" x14ac:dyDescent="0.45">
      <c r="B42" s="138" t="s">
        <v>34</v>
      </c>
      <c r="C42" s="72">
        <f>SUM(C35:C41)</f>
        <v>4306098531.8199997</v>
      </c>
      <c r="D42" s="72">
        <f t="shared" ref="D42:Q42" si="3">SUM(D35:D41)</f>
        <v>4439400984.499999</v>
      </c>
      <c r="E42" s="72">
        <f t="shared" si="3"/>
        <v>4553725906</v>
      </c>
      <c r="F42" s="72">
        <f t="shared" si="3"/>
        <v>2294378689.7199998</v>
      </c>
      <c r="G42" s="72">
        <f t="shared" si="3"/>
        <v>1689836823.72</v>
      </c>
      <c r="H42" s="72">
        <f>SUM(H35:H41)</f>
        <v>2553689934.4353676</v>
      </c>
      <c r="I42" s="74">
        <f t="shared" si="3"/>
        <v>2580140213.5909762</v>
      </c>
      <c r="J42" s="74">
        <f t="shared" si="3"/>
        <v>2553342593.4604273</v>
      </c>
      <c r="K42" s="74">
        <f t="shared" si="3"/>
        <v>2360142107.4575124</v>
      </c>
      <c r="L42" s="74">
        <f t="shared" si="3"/>
        <v>2529847042.5501924</v>
      </c>
      <c r="M42" s="74">
        <f t="shared" si="3"/>
        <v>2707923611.9667568</v>
      </c>
      <c r="N42" s="74">
        <f t="shared" si="3"/>
        <v>2761224948.9811707</v>
      </c>
      <c r="O42" s="74">
        <f t="shared" si="3"/>
        <v>2815785337.2878766</v>
      </c>
      <c r="P42" s="74">
        <f t="shared" si="3"/>
        <v>2887986808.769115</v>
      </c>
      <c r="Q42" s="141">
        <f t="shared" si="3"/>
        <v>3017400595.5269074</v>
      </c>
    </row>
    <row r="43" spans="2:17" x14ac:dyDescent="0.45">
      <c r="B43" s="117"/>
      <c r="C43" s="108"/>
      <c r="D43" s="108"/>
      <c r="E43" s="108"/>
      <c r="F43" s="108"/>
      <c r="G43" s="108"/>
      <c r="H43" s="108"/>
      <c r="I43" s="109"/>
      <c r="J43" s="109"/>
      <c r="K43" s="109"/>
      <c r="L43" s="109"/>
      <c r="M43" s="109"/>
      <c r="N43" s="109"/>
      <c r="O43" s="109"/>
      <c r="P43" s="109"/>
      <c r="Q43" s="112"/>
    </row>
    <row r="44" spans="2:17" x14ac:dyDescent="0.45">
      <c r="B44" s="138" t="s">
        <v>35</v>
      </c>
      <c r="C44" s="108"/>
      <c r="D44" s="108"/>
      <c r="E44" s="108"/>
      <c r="F44" s="108"/>
      <c r="G44" s="108"/>
      <c r="H44" s="108"/>
      <c r="I44" s="109"/>
      <c r="J44" s="109"/>
      <c r="K44" s="109"/>
      <c r="L44" s="109"/>
      <c r="M44" s="109"/>
      <c r="N44" s="109"/>
      <c r="O44" s="109"/>
      <c r="P44" s="109"/>
      <c r="Q44" s="112"/>
    </row>
    <row r="45" spans="2:17" x14ac:dyDescent="0.45">
      <c r="B45" s="117" t="s">
        <v>27</v>
      </c>
      <c r="C45" s="108">
        <v>0</v>
      </c>
      <c r="D45" s="108">
        <v>0</v>
      </c>
      <c r="E45" s="108">
        <v>53972650</v>
      </c>
      <c r="F45" s="108">
        <v>2686048232</v>
      </c>
      <c r="G45" s="108">
        <v>3600000000</v>
      </c>
      <c r="H45" s="108">
        <f>+AVERAGE(C45:G45)*(1+AVERAGE(supuestos!B54:F54))</f>
        <v>1264126074.7468324</v>
      </c>
      <c r="I45" s="108">
        <f>+AVERAGE(D45:H45)*(1+AVERAGE(supuestos!C54:G54))</f>
        <v>1516408926.0107086</v>
      </c>
      <c r="J45" s="108">
        <f>+AVERAGE(E45:I45)*(1+AVERAGE(supuestos!D54:H54))</f>
        <v>1833849744.7666082</v>
      </c>
      <c r="K45" s="108">
        <f>+AVERAGE(F45:J45)*(1+AVERAGE(supuestos!E54:I54))</f>
        <v>2205739411.8859015</v>
      </c>
      <c r="L45" s="108">
        <f>+AVERAGE(G45:K45)*(1+AVERAGE(supuestos!F54:J54))</f>
        <v>2116052166.8082147</v>
      </c>
      <c r="M45" s="108">
        <f>+AVERAGE(H45:L45)*(1+AVERAGE(supuestos!G54:K54))</f>
        <v>1809222413.1300628</v>
      </c>
      <c r="N45" s="108">
        <f>+AVERAGE(I45:M45)*(1+AVERAGE(supuestos!H54:L54))</f>
        <v>1926798103.5449178</v>
      </c>
      <c r="O45" s="108">
        <f>+AVERAGE(J45:N45)*(1+AVERAGE(supuestos!I54:M54))</f>
        <v>2012584072.5173357</v>
      </c>
      <c r="P45" s="108">
        <f>+AVERAGE(K45:O45)*(1+AVERAGE(supuestos!J54:N54))</f>
        <v>2050251388.795213</v>
      </c>
      <c r="Q45" s="139">
        <f>+AVERAGE(L45:P45)*(1+AVERAGE(supuestos!K54:O54))</f>
        <v>2020357233.0893397</v>
      </c>
    </row>
    <row r="46" spans="2:17" x14ac:dyDescent="0.45">
      <c r="B46" s="117" t="s">
        <v>36</v>
      </c>
      <c r="C46" s="108">
        <v>0</v>
      </c>
      <c r="D46" s="108">
        <v>0</v>
      </c>
      <c r="E46" s="108">
        <v>340197591.66000003</v>
      </c>
      <c r="F46" s="108">
        <v>373568527.57999998</v>
      </c>
      <c r="G46" s="108">
        <v>3337553</v>
      </c>
      <c r="H46" s="108">
        <f>+AVERAGE(C46:G46)*(1+AVERAGE(supuestos!B54:F54))</f>
        <v>142982092.21186763</v>
      </c>
      <c r="I46" s="108">
        <f>+AVERAGE(D46:H46)*(1+AVERAGE(supuestos!C54:G54))</f>
        <v>171517165.27418745</v>
      </c>
      <c r="J46" s="108">
        <f>+AVERAGE(E46:I46)*(1+AVERAGE(supuestos!D54:H54))</f>
        <v>207422090.68145487</v>
      </c>
      <c r="K46" s="108">
        <f>+AVERAGE(F46:J46)*(1+AVERAGE(supuestos!E54:I54))</f>
        <v>181880764.56782725</v>
      </c>
      <c r="L46" s="108">
        <f>+AVERAGE(G46:K46)*(1+AVERAGE(supuestos!F54:J54))</f>
        <v>143601400.45463884</v>
      </c>
      <c r="M46" s="108">
        <f>+AVERAGE(H46:L46)*(1+AVERAGE(supuestos!G54:K54))</f>
        <v>171565709.24786222</v>
      </c>
      <c r="N46" s="108">
        <f>+AVERAGE(I46:M46)*(1+AVERAGE(supuestos!H54:L54))</f>
        <v>178019386.35377651</v>
      </c>
      <c r="O46" s="108">
        <f>+AVERAGE(J46:N46)*(1+AVERAGE(supuestos!I54:M54))</f>
        <v>179553652.49115297</v>
      </c>
      <c r="P46" s="108">
        <f>+AVERAGE(K46:O46)*(1+AVERAGE(supuestos!J54:N54))</f>
        <v>173993920.87429053</v>
      </c>
      <c r="Q46" s="139">
        <f>+AVERAGE(L46:P46)*(1+AVERAGE(supuestos!K54:O54))</f>
        <v>172538693.92196846</v>
      </c>
    </row>
    <row r="47" spans="2:17" x14ac:dyDescent="0.45">
      <c r="B47" s="117" t="s">
        <v>37</v>
      </c>
      <c r="C47" s="108">
        <v>0</v>
      </c>
      <c r="D47" s="108">
        <v>0</v>
      </c>
      <c r="E47" s="108">
        <v>149590824.21000001</v>
      </c>
      <c r="F47" s="108">
        <v>18219553.199999999</v>
      </c>
      <c r="G47" s="108">
        <v>186552223.80000001</v>
      </c>
      <c r="H47" s="108">
        <f>+AVERAGE(C47:G47)*(1+AVERAGE(supuestos!B54:F54))</f>
        <v>70655761.620041057</v>
      </c>
      <c r="I47" s="108">
        <f>+AVERAGE(D47:H47)*(1+AVERAGE(supuestos!C54:G54))</f>
        <v>84756599.626483247</v>
      </c>
      <c r="J47" s="108">
        <f>+AVERAGE(E47:I47)*(1+AVERAGE(supuestos!D54:H54))</f>
        <v>102499309.99892724</v>
      </c>
      <c r="K47" s="108">
        <f>+AVERAGE(F47:J47)*(1+AVERAGE(supuestos!E54:I54))</f>
        <v>93625557.730282605</v>
      </c>
      <c r="L47" s="108">
        <f>+AVERAGE(G47:K47)*(1+AVERAGE(supuestos!F54:J54))</f>
        <v>109271764.45138897</v>
      </c>
      <c r="M47" s="108">
        <f>+AVERAGE(H47:L47)*(1+AVERAGE(supuestos!G54:K54))</f>
        <v>93295603.04453674</v>
      </c>
      <c r="N47" s="108">
        <f>+AVERAGE(I47:M47)*(1+AVERAGE(supuestos!H54:L54))</f>
        <v>98247179.603577554</v>
      </c>
      <c r="O47" s="108">
        <f>+AVERAGE(J47:N47)*(1+AVERAGE(supuestos!I54:M54))</f>
        <v>101108627.39284992</v>
      </c>
      <c r="P47" s="108">
        <f>+AVERAGE(K47:O47)*(1+AVERAGE(supuestos!J54:N54))</f>
        <v>100889722.66007718</v>
      </c>
      <c r="Q47" s="139">
        <f>+AVERAGE(L47:P47)*(1+AVERAGE(supuestos!K54:O54))</f>
        <v>102458001.50813667</v>
      </c>
    </row>
    <row r="48" spans="2:17" x14ac:dyDescent="0.45">
      <c r="B48" s="117"/>
      <c r="C48" s="108">
        <v>0</v>
      </c>
      <c r="D48" s="108">
        <v>0</v>
      </c>
      <c r="E48" s="108"/>
      <c r="F48" s="108"/>
      <c r="G48" s="108">
        <v>0</v>
      </c>
      <c r="H48" s="108">
        <v>0</v>
      </c>
      <c r="I48" s="109">
        <v>0</v>
      </c>
      <c r="J48" s="109">
        <v>0</v>
      </c>
      <c r="K48" s="109">
        <v>0</v>
      </c>
      <c r="L48" s="109">
        <v>0</v>
      </c>
      <c r="M48" s="109">
        <v>0</v>
      </c>
      <c r="N48" s="109">
        <v>0</v>
      </c>
      <c r="O48" s="109">
        <v>0</v>
      </c>
      <c r="P48" s="109">
        <v>0</v>
      </c>
      <c r="Q48" s="112">
        <v>0</v>
      </c>
    </row>
    <row r="49" spans="2:17" x14ac:dyDescent="0.45">
      <c r="B49" s="138" t="s">
        <v>38</v>
      </c>
      <c r="C49" s="72">
        <f>SUM(C45:C48)</f>
        <v>0</v>
      </c>
      <c r="D49" s="72">
        <f t="shared" ref="D49:Q49" si="4">SUM(D45:D48)</f>
        <v>0</v>
      </c>
      <c r="E49" s="72">
        <f t="shared" si="4"/>
        <v>543761065.87</v>
      </c>
      <c r="F49" s="72">
        <f t="shared" si="4"/>
        <v>3077836312.7799997</v>
      </c>
      <c r="G49" s="72">
        <f t="shared" si="4"/>
        <v>3789889776.8000002</v>
      </c>
      <c r="H49" s="72">
        <f t="shared" si="4"/>
        <v>1477763928.5787411</v>
      </c>
      <c r="I49" s="74">
        <f t="shared" si="4"/>
        <v>1772682690.9113791</v>
      </c>
      <c r="J49" s="74">
        <f t="shared" si="4"/>
        <v>2143771145.4469905</v>
      </c>
      <c r="K49" s="74">
        <f t="shared" si="4"/>
        <v>2481245734.1840115</v>
      </c>
      <c r="L49" s="74">
        <f t="shared" si="4"/>
        <v>2368925331.7142425</v>
      </c>
      <c r="M49" s="74">
        <f t="shared" si="4"/>
        <v>2074083725.4224617</v>
      </c>
      <c r="N49" s="74">
        <f t="shared" si="4"/>
        <v>2203064669.5022717</v>
      </c>
      <c r="O49" s="74">
        <f t="shared" si="4"/>
        <v>2293246352.4013386</v>
      </c>
      <c r="P49" s="74">
        <f t="shared" si="4"/>
        <v>2325135032.3295808</v>
      </c>
      <c r="Q49" s="141">
        <f t="shared" si="4"/>
        <v>2295353928.5194449</v>
      </c>
    </row>
    <row r="50" spans="2:17" x14ac:dyDescent="0.45">
      <c r="B50" s="138"/>
      <c r="C50" s="78"/>
      <c r="D50" s="78"/>
      <c r="E50" s="78"/>
      <c r="F50" s="78"/>
      <c r="G50" s="78"/>
      <c r="H50" s="78"/>
      <c r="I50" s="149"/>
      <c r="J50" s="149"/>
      <c r="K50" s="149"/>
      <c r="L50" s="149"/>
      <c r="M50" s="149"/>
      <c r="N50" s="149"/>
      <c r="O50" s="149"/>
      <c r="P50" s="149"/>
      <c r="Q50" s="150"/>
    </row>
    <row r="51" spans="2:17" x14ac:dyDescent="0.45">
      <c r="B51" s="138" t="s">
        <v>39</v>
      </c>
      <c r="C51" s="72">
        <v>4306098531.8199997</v>
      </c>
      <c r="D51" s="72">
        <v>4439400984.499999</v>
      </c>
      <c r="E51" s="72">
        <v>5097486971.8699999</v>
      </c>
      <c r="F51" s="72">
        <v>5372215002.5</v>
      </c>
      <c r="G51" s="72">
        <v>5479726600.5200005</v>
      </c>
      <c r="H51" s="72">
        <v>4031453863.0141087</v>
      </c>
      <c r="I51" s="74">
        <v>4352822904.4951143</v>
      </c>
      <c r="J51" s="74">
        <v>4697113738.9059448</v>
      </c>
      <c r="K51" s="74">
        <v>4841387841.6398335</v>
      </c>
      <c r="L51" s="74">
        <v>4898772374.2625618</v>
      </c>
      <c r="M51" s="74">
        <v>4782007337.3869514</v>
      </c>
      <c r="N51" s="74">
        <v>4964289618.4883308</v>
      </c>
      <c r="O51" s="74">
        <v>5109031689.6887302</v>
      </c>
      <c r="P51" s="74">
        <v>5213121841.098587</v>
      </c>
      <c r="Q51" s="141">
        <v>5312754524.0462971</v>
      </c>
    </row>
    <row r="52" spans="2:17" x14ac:dyDescent="0.45">
      <c r="B52" s="117"/>
      <c r="C52" s="108"/>
      <c r="D52" s="108"/>
      <c r="E52" s="108"/>
      <c r="F52" s="108"/>
      <c r="G52" s="108"/>
      <c r="H52" s="108"/>
      <c r="I52" s="109"/>
      <c r="J52" s="109"/>
      <c r="K52" s="109"/>
      <c r="L52" s="109"/>
      <c r="M52" s="109"/>
      <c r="N52" s="109"/>
      <c r="O52" s="109"/>
      <c r="P52" s="109"/>
      <c r="Q52" s="112"/>
    </row>
    <row r="53" spans="2:17" x14ac:dyDescent="0.45">
      <c r="B53" s="138" t="s">
        <v>40</v>
      </c>
      <c r="C53" s="108"/>
      <c r="D53" s="108"/>
      <c r="E53" s="108"/>
      <c r="F53" s="108"/>
      <c r="G53" s="108"/>
      <c r="H53" s="108"/>
      <c r="I53" s="109"/>
      <c r="J53" s="109"/>
      <c r="K53" s="109"/>
      <c r="L53" s="109"/>
      <c r="M53" s="109"/>
      <c r="N53" s="109"/>
      <c r="O53" s="109"/>
      <c r="P53" s="109"/>
      <c r="Q53" s="112"/>
    </row>
    <row r="54" spans="2:17" x14ac:dyDescent="0.45">
      <c r="B54" s="117" t="s">
        <v>41</v>
      </c>
      <c r="C54" s="108">
        <v>3000000000</v>
      </c>
      <c r="D54" s="108">
        <v>3000000000</v>
      </c>
      <c r="E54" s="108">
        <v>3000000000</v>
      </c>
      <c r="F54" s="108">
        <v>3000000000</v>
      </c>
      <c r="G54" s="108">
        <v>3000000000</v>
      </c>
      <c r="H54" s="108">
        <v>3000000000</v>
      </c>
      <c r="I54" s="113">
        <v>3000000000</v>
      </c>
      <c r="J54" s="113">
        <v>3000000000</v>
      </c>
      <c r="K54" s="113">
        <v>3000000000</v>
      </c>
      <c r="L54" s="113">
        <v>3000000000</v>
      </c>
      <c r="M54" s="113">
        <v>3000000000</v>
      </c>
      <c r="N54" s="113">
        <v>3000000000</v>
      </c>
      <c r="O54" s="113">
        <v>3000000000</v>
      </c>
      <c r="P54" s="113">
        <v>3000000000</v>
      </c>
      <c r="Q54" s="114">
        <v>3000000000</v>
      </c>
    </row>
    <row r="55" spans="2:17" x14ac:dyDescent="0.45">
      <c r="B55" s="117" t="s">
        <v>42</v>
      </c>
      <c r="C55" s="108">
        <v>436482866.36000001</v>
      </c>
      <c r="D55" s="108">
        <v>436482866.36000001</v>
      </c>
      <c r="E55" s="108">
        <v>436482866.36000001</v>
      </c>
      <c r="F55" s="108">
        <v>436482866.35000002</v>
      </c>
      <c r="G55" s="108">
        <v>436482866.36000001</v>
      </c>
      <c r="H55" s="108">
        <v>436482866.36000001</v>
      </c>
      <c r="I55" s="113">
        <v>436482866.36000001</v>
      </c>
      <c r="J55" s="113">
        <v>436482866.36000001</v>
      </c>
      <c r="K55" s="113">
        <v>436482866.36000001</v>
      </c>
      <c r="L55" s="113">
        <v>436482866.36000001</v>
      </c>
      <c r="M55" s="113">
        <v>436482866.36000001</v>
      </c>
      <c r="N55" s="113">
        <v>436482866.36000001</v>
      </c>
      <c r="O55" s="113">
        <v>436482866.36000001</v>
      </c>
      <c r="P55" s="113">
        <v>436482866.36000001</v>
      </c>
      <c r="Q55" s="114">
        <v>436482866.36000001</v>
      </c>
    </row>
    <row r="56" spans="2:17" x14ac:dyDescent="0.45">
      <c r="B56" s="117" t="s">
        <v>43</v>
      </c>
      <c r="C56" s="108">
        <v>1325621254.6400001</v>
      </c>
      <c r="D56" s="108">
        <v>1335927974.6400001</v>
      </c>
      <c r="E56" s="108">
        <v>1343171054.6400001</v>
      </c>
      <c r="F56" s="108">
        <v>1403900914.6400001</v>
      </c>
      <c r="G56" s="108">
        <v>1403900914.6400001</v>
      </c>
      <c r="H56" s="108">
        <f>+AVERAGE(C56:G56)*(1+AVERAGE(supuestos!B54:F54))</f>
        <v>1358337298.6255586</v>
      </c>
      <c r="I56" s="108">
        <f>+AVERAGE(D56:H56)*(1+AVERAGE(supuestos!C54:G54))</f>
        <v>1365068337.2203095</v>
      </c>
      <c r="J56" s="108">
        <f>+AVERAGE(E56:I56)*(1+AVERAGE(supuestos!D54:H54))</f>
        <v>1382215892.9736392</v>
      </c>
      <c r="K56" s="108">
        <f>+AVERAGE(F56:J56)*(1+AVERAGE(supuestos!E54:I54))</f>
        <v>1398954555.6085117</v>
      </c>
      <c r="L56" s="108">
        <f>+AVERAGE(G56:K56)*(1+AVERAGE(supuestos!F54:J54))</f>
        <v>1402929322.3753786</v>
      </c>
      <c r="M56" s="108">
        <f>+AVERAGE(H56:L56)*(1+AVERAGE(supuestos!G54:K54))</f>
        <v>1398496756.0383332</v>
      </c>
      <c r="N56" s="108">
        <f>+AVERAGE(I56:M56)*(1+AVERAGE(supuestos!H54:L54))</f>
        <v>1411914619.5679905</v>
      </c>
      <c r="O56" s="108">
        <f>+AVERAGE(J56:N56)*(1+AVERAGE(supuestos!I54:M54))</f>
        <v>1423122014.8975751</v>
      </c>
      <c r="P56" s="108">
        <f>+AVERAGE(K56:O56)*(1+AVERAGE(supuestos!J54:N54))</f>
        <v>1432354178.028161</v>
      </c>
      <c r="Q56" s="139">
        <f>+AVERAGE(L56:P56)*(1+AVERAGE(supuestos!K54:O54))</f>
        <v>1440410251.548846</v>
      </c>
    </row>
    <row r="57" spans="2:17" x14ac:dyDescent="0.45">
      <c r="B57" s="117" t="s">
        <v>44</v>
      </c>
      <c r="C57" s="108">
        <v>1590856391.5699999</v>
      </c>
      <c r="D57" s="108">
        <v>1590856391.5699999</v>
      </c>
      <c r="E57" s="108">
        <v>1590856391.5699999</v>
      </c>
      <c r="F57" s="108">
        <v>1590856391.5699999</v>
      </c>
      <c r="G57" s="108">
        <v>1590856391.5699999</v>
      </c>
      <c r="H57" s="108">
        <v>1590856391.5699999</v>
      </c>
      <c r="I57" s="113">
        <v>1590856391.5699999</v>
      </c>
      <c r="J57" s="113">
        <v>1590856391.5699999</v>
      </c>
      <c r="K57" s="113">
        <v>1590856391.5699999</v>
      </c>
      <c r="L57" s="113">
        <v>1590856391.5699999</v>
      </c>
      <c r="M57" s="113">
        <v>1590856391.5699999</v>
      </c>
      <c r="N57" s="113">
        <v>1590856391.5699999</v>
      </c>
      <c r="O57" s="113">
        <v>1590856391.5699999</v>
      </c>
      <c r="P57" s="113">
        <v>1590856391.5699999</v>
      </c>
      <c r="Q57" s="114">
        <v>1590856391.5699999</v>
      </c>
    </row>
    <row r="58" spans="2:17" x14ac:dyDescent="0.45">
      <c r="B58" s="117" t="s">
        <v>45</v>
      </c>
      <c r="C58" s="108">
        <v>-1170791013.97</v>
      </c>
      <c r="D58" s="108">
        <v>-872356451.33000004</v>
      </c>
      <c r="E58" s="108">
        <v>-1037913301.67</v>
      </c>
      <c r="F58" s="108">
        <v>-346745504.98000002</v>
      </c>
      <c r="G58" s="108">
        <v>657560420.60000002</v>
      </c>
      <c r="H58" s="108">
        <f>+H159</f>
        <v>979877577.43708861</v>
      </c>
      <c r="I58" s="108">
        <f t="shared" ref="I58:Q58" si="5">+I159</f>
        <v>1075307146.2807436</v>
      </c>
      <c r="J58" s="108">
        <f t="shared" si="5"/>
        <v>1218863296.9993994</v>
      </c>
      <c r="K58" s="108">
        <f t="shared" si="5"/>
        <v>1419525140.652626</v>
      </c>
      <c r="L58" s="108">
        <f t="shared" si="5"/>
        <v>1648921548.6371765</v>
      </c>
      <c r="M58" s="108">
        <f t="shared" si="5"/>
        <v>1925687176.6415484</v>
      </c>
      <c r="N58" s="108">
        <f t="shared" si="5"/>
        <v>2171207381.5246782</v>
      </c>
      <c r="O58" s="108">
        <f t="shared" si="5"/>
        <v>2450530783.1737461</v>
      </c>
      <c r="P58" s="108">
        <f t="shared" si="5"/>
        <v>2764020542.8285847</v>
      </c>
      <c r="Q58" s="108">
        <f t="shared" si="5"/>
        <v>3109390873.8386631</v>
      </c>
    </row>
    <row r="59" spans="2:17" x14ac:dyDescent="0.45">
      <c r="B59" s="117" t="s">
        <v>46</v>
      </c>
      <c r="C59" s="108">
        <v>-2387090403.52</v>
      </c>
      <c r="D59" s="108">
        <v>-3557881417.4899998</v>
      </c>
      <c r="E59" s="108">
        <v>-4430237867.8199997</v>
      </c>
      <c r="F59" s="108">
        <v>-5468151169.4899998</v>
      </c>
      <c r="G59" s="108">
        <v>-5814896674.4700003</v>
      </c>
      <c r="H59" s="108">
        <v>-4705109553.7350731</v>
      </c>
      <c r="I59" s="113">
        <v>-4767550308.6604042</v>
      </c>
      <c r="J59" s="113">
        <v>-4802503329.5995407</v>
      </c>
      <c r="K59" s="113">
        <v>-4690204823.3570442</v>
      </c>
      <c r="L59" s="113">
        <v>-4576794856.0688324</v>
      </c>
      <c r="M59" s="113">
        <v>-4266316442.2882195</v>
      </c>
      <c r="N59" s="113">
        <v>-4145578146.0566597</v>
      </c>
      <c r="O59" s="113">
        <v>-3975365772.4827271</v>
      </c>
      <c r="P59" s="113">
        <v>-3753059863.3927917</v>
      </c>
      <c r="Q59" s="114">
        <v>-3499917055.1089973</v>
      </c>
    </row>
    <row r="60" spans="2:17" x14ac:dyDescent="0.45">
      <c r="B60" s="117" t="s">
        <v>47</v>
      </c>
      <c r="C60" s="108">
        <v>19473662972.68</v>
      </c>
      <c r="D60" s="108">
        <v>19473662972.68</v>
      </c>
      <c r="E60" s="108">
        <v>19473662972.68</v>
      </c>
      <c r="F60" s="108">
        <v>19473662972.68</v>
      </c>
      <c r="G60" s="108">
        <v>19473662972.68</v>
      </c>
      <c r="H60" s="108">
        <v>19473662972.68</v>
      </c>
      <c r="I60" s="113">
        <v>19473662972.68</v>
      </c>
      <c r="J60" s="113">
        <v>19473662972.68</v>
      </c>
      <c r="K60" s="113">
        <v>19473662972.68</v>
      </c>
      <c r="L60" s="113">
        <v>19473662972.68</v>
      </c>
      <c r="M60" s="113">
        <v>19473662972.68</v>
      </c>
      <c r="N60" s="113">
        <v>19473662972.68</v>
      </c>
      <c r="O60" s="113">
        <v>19473662972.68</v>
      </c>
      <c r="P60" s="113">
        <v>19473662972.68</v>
      </c>
      <c r="Q60" s="114">
        <v>19473662972.68</v>
      </c>
    </row>
    <row r="61" spans="2:17" x14ac:dyDescent="0.45">
      <c r="B61" s="117"/>
      <c r="C61" s="108"/>
      <c r="D61" s="108"/>
      <c r="E61" s="108"/>
      <c r="F61" s="108"/>
      <c r="G61" s="108"/>
      <c r="H61" s="108"/>
      <c r="I61" s="109"/>
      <c r="J61" s="109"/>
      <c r="K61" s="109"/>
      <c r="L61" s="109"/>
      <c r="M61" s="109"/>
      <c r="N61" s="109"/>
      <c r="O61" s="109"/>
      <c r="P61" s="109"/>
      <c r="Q61" s="112"/>
    </row>
    <row r="62" spans="2:17" x14ac:dyDescent="0.45">
      <c r="B62" s="138" t="s">
        <v>48</v>
      </c>
      <c r="C62" s="72">
        <f>SUM(C54:C61)</f>
        <v>22268742067.759998</v>
      </c>
      <c r="D62" s="72">
        <f t="shared" ref="D62:Q62" si="6">SUM(D54:D61)</f>
        <v>21406692336.43</v>
      </c>
      <c r="E62" s="72">
        <f t="shared" si="6"/>
        <v>20376022115.760002</v>
      </c>
      <c r="F62" s="72">
        <f t="shared" si="6"/>
        <v>20090006470.77</v>
      </c>
      <c r="G62" s="72">
        <f t="shared" si="6"/>
        <v>20747566891.380001</v>
      </c>
      <c r="H62" s="72">
        <f t="shared" si="6"/>
        <v>22134107552.937576</v>
      </c>
      <c r="I62" s="72">
        <f t="shared" si="6"/>
        <v>22173827405.450649</v>
      </c>
      <c r="J62" s="72">
        <f t="shared" si="6"/>
        <v>22299578090.983498</v>
      </c>
      <c r="K62" s="72">
        <f t="shared" si="6"/>
        <v>22629277103.514091</v>
      </c>
      <c r="L62" s="72">
        <f t="shared" si="6"/>
        <v>22976058245.553722</v>
      </c>
      <c r="M62" s="72">
        <f t="shared" si="6"/>
        <v>23558869721.001663</v>
      </c>
      <c r="N62" s="72">
        <f t="shared" si="6"/>
        <v>23938546085.646011</v>
      </c>
      <c r="O62" s="72">
        <f t="shared" si="6"/>
        <v>24399289256.198593</v>
      </c>
      <c r="P62" s="72">
        <f t="shared" si="6"/>
        <v>24944317088.073952</v>
      </c>
      <c r="Q62" s="140">
        <f t="shared" si="6"/>
        <v>25550886300.888512</v>
      </c>
    </row>
    <row r="63" spans="2:17" x14ac:dyDescent="0.45">
      <c r="B63" s="138"/>
      <c r="C63" s="78"/>
      <c r="D63" s="78"/>
      <c r="E63" s="78"/>
      <c r="F63" s="78"/>
      <c r="G63" s="78"/>
      <c r="H63" s="78"/>
      <c r="I63" s="149"/>
      <c r="J63" s="149"/>
      <c r="K63" s="149"/>
      <c r="L63" s="149"/>
      <c r="M63" s="149"/>
      <c r="N63" s="149"/>
      <c r="O63" s="149"/>
      <c r="P63" s="149"/>
      <c r="Q63" s="150"/>
    </row>
    <row r="64" spans="2:17" x14ac:dyDescent="0.45">
      <c r="B64" s="138" t="s">
        <v>49</v>
      </c>
      <c r="C64" s="133">
        <f>+C51+C62</f>
        <v>26574840599.579998</v>
      </c>
      <c r="D64" s="133">
        <f t="shared" ref="D64:Q64" si="7">+D51+D62</f>
        <v>25846093320.93</v>
      </c>
      <c r="E64" s="133">
        <f t="shared" si="7"/>
        <v>25473509087.630001</v>
      </c>
      <c r="F64" s="133">
        <f t="shared" si="7"/>
        <v>25462221473.27</v>
      </c>
      <c r="G64" s="133">
        <f t="shared" si="7"/>
        <v>26227293491.900002</v>
      </c>
      <c r="H64" s="133">
        <f t="shared" si="7"/>
        <v>26165561415.951683</v>
      </c>
      <c r="I64" s="133">
        <f t="shared" si="7"/>
        <v>26526650309.945763</v>
      </c>
      <c r="J64" s="133">
        <f t="shared" si="7"/>
        <v>26996691829.889442</v>
      </c>
      <c r="K64" s="133">
        <f t="shared" si="7"/>
        <v>27470664945.153923</v>
      </c>
      <c r="L64" s="133">
        <f t="shared" si="7"/>
        <v>27874830619.816284</v>
      </c>
      <c r="M64" s="133">
        <f t="shared" si="7"/>
        <v>28340877058.388615</v>
      </c>
      <c r="N64" s="133">
        <f t="shared" si="7"/>
        <v>28902835704.134342</v>
      </c>
      <c r="O64" s="133">
        <f t="shared" si="7"/>
        <v>29508320945.887321</v>
      </c>
      <c r="P64" s="133">
        <f t="shared" si="7"/>
        <v>30157438929.172539</v>
      </c>
      <c r="Q64" s="151">
        <f t="shared" si="7"/>
        <v>30863640824.934807</v>
      </c>
    </row>
    <row r="65" spans="2:17" x14ac:dyDescent="0.45">
      <c r="B65" s="117"/>
      <c r="C65" s="108"/>
      <c r="D65" s="108"/>
      <c r="E65" s="108"/>
      <c r="F65" s="108"/>
      <c r="G65" s="108"/>
      <c r="H65" s="108"/>
      <c r="I65" s="109"/>
      <c r="J65" s="109"/>
      <c r="K65" s="109"/>
      <c r="L65" s="109"/>
      <c r="M65" s="109"/>
      <c r="N65" s="109"/>
      <c r="O65" s="109"/>
      <c r="P65" s="109"/>
      <c r="Q65" s="112"/>
    </row>
    <row r="66" spans="2:17" x14ac:dyDescent="0.45">
      <c r="B66" s="97" t="s">
        <v>50</v>
      </c>
      <c r="C66" s="134">
        <f t="shared" ref="C66:P66" si="8">+C32-C64</f>
        <v>0</v>
      </c>
      <c r="D66" s="134">
        <f t="shared" si="8"/>
        <v>0</v>
      </c>
      <c r="E66" s="134">
        <f t="shared" si="8"/>
        <v>0</v>
      </c>
      <c r="F66" s="134">
        <f t="shared" si="8"/>
        <v>0</v>
      </c>
      <c r="G66" s="134">
        <f t="shared" si="8"/>
        <v>0</v>
      </c>
      <c r="H66" s="134">
        <f t="shared" si="8"/>
        <v>0</v>
      </c>
      <c r="I66" s="134">
        <f t="shared" si="8"/>
        <v>0</v>
      </c>
      <c r="J66" s="134">
        <f t="shared" si="8"/>
        <v>0</v>
      </c>
      <c r="K66" s="134">
        <f t="shared" si="8"/>
        <v>0</v>
      </c>
      <c r="L66" s="134">
        <f t="shared" si="8"/>
        <v>0</v>
      </c>
      <c r="M66" s="134">
        <f t="shared" si="8"/>
        <v>0</v>
      </c>
      <c r="N66" s="134">
        <f t="shared" si="8"/>
        <v>0</v>
      </c>
      <c r="O66" s="134">
        <f t="shared" si="8"/>
        <v>0</v>
      </c>
      <c r="P66" s="134">
        <f t="shared" si="8"/>
        <v>0</v>
      </c>
      <c r="Q66" s="134">
        <f>+Q32-Q64</f>
        <v>0</v>
      </c>
    </row>
    <row r="68" spans="2:17" x14ac:dyDescent="0.45">
      <c r="B68" s="308" t="s">
        <v>51</v>
      </c>
      <c r="C68" s="309"/>
      <c r="D68" s="309"/>
      <c r="E68" s="309"/>
      <c r="F68" s="309"/>
      <c r="G68" s="309"/>
      <c r="H68" s="309"/>
      <c r="I68" s="309"/>
      <c r="J68" s="309"/>
      <c r="K68" s="309"/>
      <c r="L68" s="309"/>
      <c r="M68" s="309"/>
      <c r="N68" s="309"/>
      <c r="O68" s="309"/>
      <c r="P68" s="309"/>
      <c r="Q68" s="310"/>
    </row>
    <row r="69" spans="2:17" x14ac:dyDescent="0.45">
      <c r="B69" s="311" t="s">
        <v>52</v>
      </c>
      <c r="C69" s="312"/>
      <c r="D69" s="312"/>
      <c r="E69" s="312"/>
      <c r="F69" s="312"/>
      <c r="G69" s="312"/>
      <c r="H69" s="312"/>
      <c r="I69" s="312"/>
      <c r="J69" s="312"/>
      <c r="K69" s="312"/>
      <c r="L69" s="312"/>
      <c r="M69" s="312"/>
      <c r="N69" s="312"/>
      <c r="O69" s="312"/>
      <c r="P69" s="312"/>
      <c r="Q69" s="313"/>
    </row>
    <row r="70" spans="2:17" x14ac:dyDescent="0.45">
      <c r="B70" s="311" t="s">
        <v>1</v>
      </c>
      <c r="C70" s="312"/>
      <c r="D70" s="312"/>
      <c r="E70" s="312"/>
      <c r="F70" s="312"/>
      <c r="G70" s="312"/>
      <c r="H70" s="312"/>
      <c r="I70" s="312"/>
      <c r="J70" s="312"/>
      <c r="K70" s="312"/>
      <c r="L70" s="312"/>
      <c r="M70" s="312"/>
      <c r="N70" s="312"/>
      <c r="O70" s="312"/>
      <c r="P70" s="312"/>
      <c r="Q70" s="313"/>
    </row>
    <row r="71" spans="2:17" x14ac:dyDescent="0.45">
      <c r="B71" s="117"/>
      <c r="C71" s="306" t="s">
        <v>2</v>
      </c>
      <c r="D71" s="306"/>
      <c r="E71" s="306"/>
      <c r="F71" s="306"/>
      <c r="G71" s="306"/>
      <c r="H71" s="306" t="s">
        <v>3</v>
      </c>
      <c r="I71" s="306"/>
      <c r="J71" s="306"/>
      <c r="K71" s="306"/>
      <c r="L71" s="306"/>
      <c r="M71" s="306"/>
      <c r="N71" s="306"/>
      <c r="O71" s="306"/>
      <c r="P71" s="306"/>
      <c r="Q71" s="307"/>
    </row>
    <row r="72" spans="2:17" x14ac:dyDescent="0.45">
      <c r="B72" s="117"/>
      <c r="C72" s="135">
        <v>2012</v>
      </c>
      <c r="D72" s="135">
        <v>2013</v>
      </c>
      <c r="E72" s="135">
        <v>2014</v>
      </c>
      <c r="F72" s="135">
        <v>2015</v>
      </c>
      <c r="G72" s="135">
        <v>2016</v>
      </c>
      <c r="H72" s="135">
        <v>2017</v>
      </c>
      <c r="I72" s="135">
        <v>2018</v>
      </c>
      <c r="J72" s="135">
        <v>2019</v>
      </c>
      <c r="K72" s="135">
        <v>2020</v>
      </c>
      <c r="L72" s="135">
        <v>2021</v>
      </c>
      <c r="M72" s="135">
        <v>2022</v>
      </c>
      <c r="N72" s="135">
        <v>2023</v>
      </c>
      <c r="O72" s="135">
        <v>2024</v>
      </c>
      <c r="P72" s="135">
        <v>2025</v>
      </c>
      <c r="Q72" s="135">
        <v>2026</v>
      </c>
    </row>
    <row r="73" spans="2:17" x14ac:dyDescent="0.45">
      <c r="B73" s="138" t="s">
        <v>53</v>
      </c>
      <c r="C73" s="108"/>
      <c r="D73" s="108"/>
      <c r="E73" s="108"/>
      <c r="F73" s="108"/>
      <c r="G73" s="108"/>
      <c r="H73" s="108"/>
      <c r="I73" s="109"/>
      <c r="J73" s="109"/>
      <c r="K73" s="109"/>
      <c r="L73" s="109"/>
      <c r="M73" s="109"/>
      <c r="N73" s="109"/>
      <c r="O73" s="109"/>
      <c r="P73" s="109"/>
      <c r="Q73" s="112"/>
    </row>
    <row r="74" spans="2:17" x14ac:dyDescent="0.45">
      <c r="B74" s="117" t="s">
        <v>54</v>
      </c>
      <c r="C74" s="108">
        <v>7365630940.71</v>
      </c>
      <c r="D74" s="108">
        <v>8222715428</v>
      </c>
      <c r="E74" s="108">
        <v>8399307395.4399996</v>
      </c>
      <c r="F74" s="108">
        <v>10204446613</v>
      </c>
      <c r="G74" s="108">
        <v>13128436491</v>
      </c>
      <c r="H74" s="108">
        <f>+G74*(1+supuestos!B92)</f>
        <v>14329808161.267298</v>
      </c>
      <c r="I74" s="108">
        <f>+H74*(1+supuestos!C92)</f>
        <v>15703805695.776228</v>
      </c>
      <c r="J74" s="108">
        <f>+I74*(1+supuestos!D92)</f>
        <v>17394040599.924259</v>
      </c>
      <c r="K74" s="108">
        <f>+J74*(1+supuestos!E92)</f>
        <v>19294337135.088383</v>
      </c>
      <c r="L74" s="108">
        <f>+K74*(1+supuestos!F92)</f>
        <v>21299097619.37994</v>
      </c>
      <c r="M74" s="108">
        <f>+L74*(1+supuestos!G92)</f>
        <v>23432535789.829563</v>
      </c>
      <c r="N74" s="108">
        <f>+M74*(1+supuestos!H92)</f>
        <v>25779671202.691463</v>
      </c>
      <c r="O74" s="108">
        <f>+N74*(1+supuestos!I92)</f>
        <v>28361908983.292049</v>
      </c>
      <c r="P74" s="108">
        <f>+O74*(1+supuestos!J92)</f>
        <v>31202798315.463428</v>
      </c>
      <c r="Q74" s="139">
        <f>+P74*(1+supuestos!K92)</f>
        <v>34328247202.578712</v>
      </c>
    </row>
    <row r="75" spans="2:17" x14ac:dyDescent="0.45">
      <c r="B75" s="117" t="s">
        <v>55</v>
      </c>
      <c r="C75" s="108">
        <v>1210545356</v>
      </c>
      <c r="D75" s="108">
        <v>1010767460</v>
      </c>
      <c r="E75" s="108">
        <v>735373803</v>
      </c>
      <c r="F75" s="108">
        <v>956659910</v>
      </c>
      <c r="G75" s="108">
        <v>826145900</v>
      </c>
      <c r="H75" s="108">
        <f>+G75*(1+supuestos!B92)</f>
        <v>901745784.30060804</v>
      </c>
      <c r="I75" s="108">
        <f>+H75*(1+supuestos!C92)</f>
        <v>988208664.36426425</v>
      </c>
      <c r="J75" s="108">
        <f>+I75*(1+supuestos!D92)</f>
        <v>1094571721.1575129</v>
      </c>
      <c r="K75" s="108">
        <f>+J75*(1+supuestos!E92)</f>
        <v>1214153530.6430736</v>
      </c>
      <c r="L75" s="108">
        <f>+K75*(1+supuestos!F92)</f>
        <v>1340309044.7223687</v>
      </c>
      <c r="M75" s="108">
        <f>+L75*(1+supuestos!G92)</f>
        <v>1474561984.7909544</v>
      </c>
      <c r="N75" s="108">
        <f>+M75*(1+supuestos!H92)</f>
        <v>1622262459.2084503</v>
      </c>
      <c r="O75" s="108">
        <f>+N75*(1+supuestos!I92)</f>
        <v>1784757449.1282878</v>
      </c>
      <c r="P75" s="108">
        <f>+O75*(1+supuestos!J92)</f>
        <v>1963528856.9601393</v>
      </c>
      <c r="Q75" s="139">
        <f>+P75*(1+supuestos!K92)</f>
        <v>2160207020.8465972</v>
      </c>
    </row>
    <row r="76" spans="2:17" x14ac:dyDescent="0.45">
      <c r="B76" s="117" t="s">
        <v>56</v>
      </c>
      <c r="C76" s="108">
        <v>61139263</v>
      </c>
      <c r="D76" s="108">
        <v>102251990</v>
      </c>
      <c r="E76" s="108">
        <v>78239094</v>
      </c>
      <c r="F76" s="108">
        <v>72891079</v>
      </c>
      <c r="G76" s="108">
        <v>100126300</v>
      </c>
      <c r="H76" s="108">
        <f>+G76*(1+supuestos!B92)</f>
        <v>109288769.60185599</v>
      </c>
      <c r="I76" s="108">
        <f>+H76*(1+supuestos!C92)</f>
        <v>119767800.32526413</v>
      </c>
      <c r="J76" s="108">
        <f>+I76*(1+supuestos!D92)</f>
        <v>132658670.2471482</v>
      </c>
      <c r="K76" s="108">
        <f>+J76*(1+supuestos!E92)</f>
        <v>147151611.66475263</v>
      </c>
      <c r="L76" s="108">
        <f>+K76*(1+supuestos!F92)</f>
        <v>162441265.52535731</v>
      </c>
      <c r="M76" s="108">
        <f>+L76*(1+supuestos!G92)</f>
        <v>178712302.09793997</v>
      </c>
      <c r="N76" s="108">
        <f>+M76*(1+supuestos!H92)</f>
        <v>196613137.78769952</v>
      </c>
      <c r="O76" s="108">
        <f>+N76*(1+supuestos!I92)</f>
        <v>216307022.49887538</v>
      </c>
      <c r="P76" s="108">
        <f>+O76*(1+supuestos!J92)</f>
        <v>237973558.17011008</v>
      </c>
      <c r="Q76" s="139">
        <f>+P76*(1+supuestos!K92)</f>
        <v>261810336.68676755</v>
      </c>
    </row>
    <row r="77" spans="2:17" x14ac:dyDescent="0.45">
      <c r="B77" s="117" t="s">
        <v>57</v>
      </c>
      <c r="C77" s="108">
        <v>420868794</v>
      </c>
      <c r="D77" s="108">
        <v>300934008</v>
      </c>
      <c r="E77" s="108">
        <v>108292515</v>
      </c>
      <c r="F77" s="108">
        <v>243202029</v>
      </c>
      <c r="G77" s="108">
        <v>22427706</v>
      </c>
      <c r="H77" s="108">
        <f>+G77*(1+supuestos!B92)</f>
        <v>24480045.63967872</v>
      </c>
      <c r="I77" s="108">
        <f>+H77*(1+supuestos!C92)</f>
        <v>26827287.275787964</v>
      </c>
      <c r="J77" s="108">
        <f>+I77*(1+supuestos!D92)</f>
        <v>29714766.796076428</v>
      </c>
      <c r="K77" s="108">
        <f>+J77*(1+supuestos!E92)</f>
        <v>32961100.967909958</v>
      </c>
      <c r="L77" s="108">
        <f>+K77*(1+supuestos!F92)</f>
        <v>36385894.070495464</v>
      </c>
      <c r="M77" s="108">
        <f>+L77*(1+supuestos!G92)</f>
        <v>40030511.16475673</v>
      </c>
      <c r="N77" s="108">
        <f>+M77*(1+supuestos!H92)</f>
        <v>44040193.735711962</v>
      </c>
      <c r="O77" s="108">
        <f>+N77*(1+supuestos!I92)</f>
        <v>48451508.80777742</v>
      </c>
      <c r="P77" s="108">
        <f>+O77*(1+supuestos!J92)</f>
        <v>53304686.165504262</v>
      </c>
      <c r="Q77" s="139">
        <f>+P77*(1+supuestos!K92)</f>
        <v>58643985.236364871</v>
      </c>
    </row>
    <row r="78" spans="2:17" x14ac:dyDescent="0.45">
      <c r="B78" s="117" t="s">
        <v>58</v>
      </c>
      <c r="C78" s="108">
        <v>18856000</v>
      </c>
      <c r="D78" s="108"/>
      <c r="E78" s="108">
        <v>21662910</v>
      </c>
      <c r="F78" s="108">
        <v>9822050</v>
      </c>
      <c r="G78" s="108"/>
      <c r="H78" s="108">
        <v>0</v>
      </c>
      <c r="I78" s="109">
        <v>0</v>
      </c>
      <c r="J78" s="109">
        <v>0</v>
      </c>
      <c r="K78" s="109">
        <v>0</v>
      </c>
      <c r="L78" s="109">
        <v>0</v>
      </c>
      <c r="M78" s="109">
        <v>0</v>
      </c>
      <c r="N78" s="109">
        <v>0</v>
      </c>
      <c r="O78" s="109">
        <v>0</v>
      </c>
      <c r="P78" s="109">
        <v>0</v>
      </c>
      <c r="Q78" s="112">
        <v>0</v>
      </c>
    </row>
    <row r="79" spans="2:17" x14ac:dyDescent="0.45">
      <c r="B79" s="117" t="s">
        <v>59</v>
      </c>
      <c r="C79" s="108">
        <v>3459743662</v>
      </c>
      <c r="D79" s="108">
        <v>663536305</v>
      </c>
      <c r="E79" s="108">
        <v>28653609</v>
      </c>
      <c r="F79" s="108">
        <v>2702539</v>
      </c>
      <c r="G79" s="108">
        <v>200689</v>
      </c>
      <c r="H79" s="108">
        <v>0</v>
      </c>
      <c r="I79" s="109">
        <v>0</v>
      </c>
      <c r="J79" s="109">
        <v>0</v>
      </c>
      <c r="K79" s="109">
        <v>0</v>
      </c>
      <c r="L79" s="109">
        <v>0</v>
      </c>
      <c r="M79" s="109">
        <v>0</v>
      </c>
      <c r="N79" s="109">
        <v>0</v>
      </c>
      <c r="O79" s="109">
        <v>0</v>
      </c>
      <c r="P79" s="109">
        <v>0</v>
      </c>
      <c r="Q79" s="112">
        <v>0</v>
      </c>
    </row>
    <row r="80" spans="2:17" x14ac:dyDescent="0.45">
      <c r="B80" s="117" t="s">
        <v>60</v>
      </c>
      <c r="C80" s="108">
        <v>464601315</v>
      </c>
      <c r="D80" s="108">
        <v>46892097</v>
      </c>
      <c r="E80" s="108">
        <v>0</v>
      </c>
      <c r="F80" s="108">
        <v>0</v>
      </c>
      <c r="G80" s="108"/>
      <c r="H80" s="108">
        <v>0</v>
      </c>
      <c r="I80" s="109">
        <v>0</v>
      </c>
      <c r="J80" s="109">
        <v>0</v>
      </c>
      <c r="K80" s="109">
        <v>0</v>
      </c>
      <c r="L80" s="109">
        <v>0</v>
      </c>
      <c r="M80" s="109">
        <v>0</v>
      </c>
      <c r="N80" s="109">
        <v>0</v>
      </c>
      <c r="O80" s="109">
        <v>0</v>
      </c>
      <c r="P80" s="109">
        <v>0</v>
      </c>
      <c r="Q80" s="112">
        <v>0</v>
      </c>
    </row>
    <row r="81" spans="2:17" x14ac:dyDescent="0.45">
      <c r="B81" s="117" t="s">
        <v>61</v>
      </c>
      <c r="C81" s="108">
        <v>0</v>
      </c>
      <c r="D81" s="108">
        <v>0</v>
      </c>
      <c r="E81" s="108">
        <v>13068244</v>
      </c>
      <c r="F81" s="108">
        <v>29511962</v>
      </c>
      <c r="G81" s="108">
        <v>4867982</v>
      </c>
      <c r="H81" s="108">
        <v>0</v>
      </c>
      <c r="I81" s="109">
        <v>0</v>
      </c>
      <c r="J81" s="109">
        <v>0</v>
      </c>
      <c r="K81" s="109">
        <v>0</v>
      </c>
      <c r="L81" s="109">
        <v>0</v>
      </c>
      <c r="M81" s="109">
        <v>0</v>
      </c>
      <c r="N81" s="109">
        <v>0</v>
      </c>
      <c r="O81" s="109">
        <v>0</v>
      </c>
      <c r="P81" s="109">
        <v>0</v>
      </c>
      <c r="Q81" s="112">
        <v>0</v>
      </c>
    </row>
    <row r="82" spans="2:17" x14ac:dyDescent="0.45">
      <c r="B82" s="117" t="s">
        <v>62</v>
      </c>
      <c r="C82" s="108">
        <v>0</v>
      </c>
      <c r="D82" s="108">
        <v>0</v>
      </c>
      <c r="E82" s="108">
        <v>370291435</v>
      </c>
      <c r="F82" s="108">
        <v>0</v>
      </c>
      <c r="G82" s="108"/>
      <c r="H82" s="108"/>
      <c r="I82" s="109"/>
      <c r="J82" s="109"/>
      <c r="K82" s="109"/>
      <c r="L82" s="109"/>
      <c r="M82" s="109"/>
      <c r="N82" s="109"/>
      <c r="O82" s="109"/>
      <c r="P82" s="109"/>
      <c r="Q82" s="112"/>
    </row>
    <row r="83" spans="2:17" x14ac:dyDescent="0.45">
      <c r="B83" s="138" t="s">
        <v>63</v>
      </c>
      <c r="C83" s="72">
        <f>SUM(C74:C82)</f>
        <v>13001385330.709999</v>
      </c>
      <c r="D83" s="72">
        <f t="shared" ref="D83:Q83" si="9">SUM(D74:D82)</f>
        <v>10347097288</v>
      </c>
      <c r="E83" s="72">
        <f t="shared" si="9"/>
        <v>9754889005.4399986</v>
      </c>
      <c r="F83" s="72">
        <f t="shared" si="9"/>
        <v>11519236182</v>
      </c>
      <c r="G83" s="72">
        <f t="shared" si="9"/>
        <v>14082205068</v>
      </c>
      <c r="H83" s="72">
        <f t="shared" si="9"/>
        <v>15365322760.809441</v>
      </c>
      <c r="I83" s="72">
        <f t="shared" si="9"/>
        <v>16838609447.741543</v>
      </c>
      <c r="J83" s="72">
        <f t="shared" si="9"/>
        <v>18650985758.124996</v>
      </c>
      <c r="K83" s="72">
        <f t="shared" si="9"/>
        <v>20688603378.36412</v>
      </c>
      <c r="L83" s="72">
        <f t="shared" si="9"/>
        <v>22838233823.698162</v>
      </c>
      <c r="M83" s="72">
        <f t="shared" si="9"/>
        <v>25125840587.883213</v>
      </c>
      <c r="N83" s="72">
        <f t="shared" si="9"/>
        <v>27642586993.423325</v>
      </c>
      <c r="O83" s="72">
        <f t="shared" si="9"/>
        <v>30411424963.72699</v>
      </c>
      <c r="P83" s="72">
        <f t="shared" si="9"/>
        <v>33457605416.759182</v>
      </c>
      <c r="Q83" s="140">
        <f t="shared" si="9"/>
        <v>36808908545.348442</v>
      </c>
    </row>
    <row r="84" spans="2:17" x14ac:dyDescent="0.45">
      <c r="B84" s="117"/>
      <c r="C84" s="108"/>
      <c r="D84" s="108"/>
      <c r="E84" s="108"/>
      <c r="F84" s="108"/>
      <c r="G84" s="108"/>
      <c r="H84" s="108"/>
      <c r="I84" s="109"/>
      <c r="J84" s="109"/>
      <c r="K84" s="109"/>
      <c r="L84" s="109"/>
      <c r="M84" s="109"/>
      <c r="N84" s="109"/>
      <c r="O84" s="109"/>
      <c r="P84" s="109"/>
      <c r="Q84" s="112"/>
    </row>
    <row r="85" spans="2:17" x14ac:dyDescent="0.45">
      <c r="B85" s="138" t="s">
        <v>64</v>
      </c>
      <c r="C85" s="108"/>
      <c r="D85" s="108"/>
      <c r="E85" s="108"/>
      <c r="F85" s="108"/>
      <c r="G85" s="108"/>
      <c r="H85" s="108"/>
      <c r="I85" s="109"/>
      <c r="J85" s="109"/>
      <c r="K85" s="109"/>
      <c r="L85" s="109"/>
      <c r="M85" s="109"/>
      <c r="N85" s="109"/>
      <c r="O85" s="109"/>
      <c r="P85" s="109"/>
      <c r="Q85" s="112"/>
    </row>
    <row r="86" spans="2:17" x14ac:dyDescent="0.45">
      <c r="B86" s="117" t="s">
        <v>65</v>
      </c>
      <c r="C86" s="108"/>
      <c r="D86" s="108"/>
      <c r="E86" s="108">
        <v>103675715</v>
      </c>
      <c r="F86" s="108">
        <v>7200200</v>
      </c>
      <c r="G86" s="108">
        <v>35795000</v>
      </c>
      <c r="H86" s="108">
        <f>+H83*supuestos!$G$104</f>
        <v>42392915.073618382</v>
      </c>
      <c r="I86" s="108">
        <f>+I83*supuestos!$G$104</f>
        <v>46457712.043422811</v>
      </c>
      <c r="J86" s="108">
        <f>+J83*supuestos!$G$104</f>
        <v>51458057.054299504</v>
      </c>
      <c r="K86" s="108">
        <f>+K83*supuestos!$G$104</f>
        <v>57079842.686269864</v>
      </c>
      <c r="L86" s="108">
        <f>+L83*supuestos!$G$104</f>
        <v>63010671.626690365</v>
      </c>
      <c r="M86" s="108">
        <f>+M83*supuestos!$G$104</f>
        <v>69322177.137221083</v>
      </c>
      <c r="N86" s="108">
        <f>+N83*supuestos!$G$104</f>
        <v>76265878.762807742</v>
      </c>
      <c r="O86" s="108">
        <f>+O83*supuestos!$G$104</f>
        <v>83905100.844564378</v>
      </c>
      <c r="P86" s="108">
        <f>+P83*supuestos!$G$104</f>
        <v>92309510.64802672</v>
      </c>
      <c r="Q86" s="139">
        <f>+Q83*supuestos!$G$104</f>
        <v>101555753.70636335</v>
      </c>
    </row>
    <row r="87" spans="2:17" x14ac:dyDescent="0.45">
      <c r="B87" s="138" t="s">
        <v>66</v>
      </c>
      <c r="C87" s="72">
        <f>+C83-C86</f>
        <v>13001385330.709999</v>
      </c>
      <c r="D87" s="72">
        <f t="shared" ref="D87:Q87" si="10">+D83-D86</f>
        <v>10347097288</v>
      </c>
      <c r="E87" s="72">
        <f t="shared" si="10"/>
        <v>9651213290.4399986</v>
      </c>
      <c r="F87" s="72">
        <f t="shared" si="10"/>
        <v>11512035982</v>
      </c>
      <c r="G87" s="72">
        <f t="shared" si="10"/>
        <v>14046410068</v>
      </c>
      <c r="H87" s="72">
        <f t="shared" si="10"/>
        <v>15322929845.735823</v>
      </c>
      <c r="I87" s="74">
        <f t="shared" si="10"/>
        <v>16792151735.69812</v>
      </c>
      <c r="J87" s="74">
        <f t="shared" si="10"/>
        <v>18599527701.070698</v>
      </c>
      <c r="K87" s="74">
        <f t="shared" si="10"/>
        <v>20631523535.677849</v>
      </c>
      <c r="L87" s="74">
        <f t="shared" si="10"/>
        <v>22775223152.071472</v>
      </c>
      <c r="M87" s="74">
        <f t="shared" si="10"/>
        <v>25056518410.745991</v>
      </c>
      <c r="N87" s="74">
        <f t="shared" si="10"/>
        <v>27566321114.660519</v>
      </c>
      <c r="O87" s="74">
        <f t="shared" si="10"/>
        <v>30327519862.882427</v>
      </c>
      <c r="P87" s="74">
        <f t="shared" si="10"/>
        <v>33365295906.111156</v>
      </c>
      <c r="Q87" s="141">
        <f t="shared" si="10"/>
        <v>36707352791.642082</v>
      </c>
    </row>
    <row r="88" spans="2:17" x14ac:dyDescent="0.45">
      <c r="B88" s="117"/>
      <c r="C88" s="108"/>
      <c r="D88" s="108"/>
      <c r="E88" s="108"/>
      <c r="F88" s="108"/>
      <c r="G88" s="108"/>
      <c r="H88" s="108"/>
      <c r="I88" s="109"/>
      <c r="J88" s="109"/>
      <c r="K88" s="109"/>
      <c r="L88" s="109"/>
      <c r="M88" s="109"/>
      <c r="N88" s="109"/>
      <c r="O88" s="109"/>
      <c r="P88" s="109"/>
      <c r="Q88" s="112"/>
    </row>
    <row r="89" spans="2:17" x14ac:dyDescent="0.45">
      <c r="B89" s="138" t="s">
        <v>67</v>
      </c>
      <c r="C89" s="108"/>
      <c r="D89" s="108"/>
      <c r="E89" s="108"/>
      <c r="F89" s="108"/>
      <c r="G89" s="108"/>
      <c r="H89" s="108"/>
      <c r="I89" s="109"/>
      <c r="J89" s="109"/>
      <c r="K89" s="109"/>
      <c r="L89" s="109"/>
      <c r="M89" s="109"/>
      <c r="N89" s="109"/>
      <c r="O89" s="109"/>
      <c r="P89" s="109"/>
      <c r="Q89" s="112"/>
    </row>
    <row r="90" spans="2:17" x14ac:dyDescent="0.45">
      <c r="B90" s="117" t="s">
        <v>68</v>
      </c>
      <c r="C90" s="108">
        <v>7275285284.3699999</v>
      </c>
      <c r="D90" s="108">
        <v>7997348556.4200001</v>
      </c>
      <c r="E90" s="108">
        <v>7540942973.2799997</v>
      </c>
      <c r="F90" s="108">
        <v>8780540916.8700008</v>
      </c>
      <c r="G90" s="108">
        <v>10607190758.559999</v>
      </c>
      <c r="H90" s="108">
        <f>+G90*(1+supuestos!B110)</f>
        <v>11577845450.547958</v>
      </c>
      <c r="I90" s="108">
        <f>+H90*(1+supuestos!C110)</f>
        <v>12687974136.497614</v>
      </c>
      <c r="J90" s="108">
        <f>+I90*(1+supuestos!D110)</f>
        <v>14053608503.344364</v>
      </c>
      <c r="K90" s="108">
        <f>+J90*(1+supuestos!E110)</f>
        <v>15588963292.936762</v>
      </c>
      <c r="L90" s="108">
        <f>+K90*(1+supuestos!F110)</f>
        <v>17208720291.165871</v>
      </c>
      <c r="M90" s="108">
        <f>+L90*(1+supuestos!G110)</f>
        <v>18932443116.885895</v>
      </c>
      <c r="N90" s="108">
        <f>+M90*(1+supuestos!H110)</f>
        <v>20828823777.101227</v>
      </c>
      <c r="O90" s="108">
        <f>+N90*(1+supuestos!I110)</f>
        <v>22915156657.758266</v>
      </c>
      <c r="P90" s="108">
        <f>+O90*(1+supuestos!J110)</f>
        <v>25210468448.386017</v>
      </c>
      <c r="Q90" s="139">
        <f>+P90*(1+supuestos!K110)</f>
        <v>27735691659.42778</v>
      </c>
    </row>
    <row r="91" spans="2:17" x14ac:dyDescent="0.45">
      <c r="B91" s="117" t="s">
        <v>69</v>
      </c>
      <c r="C91" s="108">
        <v>1130383623.1600001</v>
      </c>
      <c r="D91" s="108">
        <v>873058640.48000002</v>
      </c>
      <c r="E91" s="108">
        <v>493066934.04000002</v>
      </c>
      <c r="F91" s="108">
        <v>597682244.76999998</v>
      </c>
      <c r="G91" s="108">
        <v>460079786.25</v>
      </c>
      <c r="H91" s="108">
        <f>+G91*(1+supuestos!B110)</f>
        <v>502181282.61952561</v>
      </c>
      <c r="I91" s="108">
        <f>+H91*(1+supuestos!C110)</f>
        <v>550332369.94955575</v>
      </c>
      <c r="J91" s="108">
        <f>+I91*(1+supuestos!D110)</f>
        <v>609565844.85312235</v>
      </c>
      <c r="K91" s="108">
        <f>+J91*(1+supuestos!E110)</f>
        <v>676160829.28323936</v>
      </c>
      <c r="L91" s="108">
        <f>+K91*(1+supuestos!F110)</f>
        <v>746416702.91507733</v>
      </c>
      <c r="M91" s="108">
        <f>+L91*(1+supuestos!G110)</f>
        <v>821182024.59758997</v>
      </c>
      <c r="N91" s="108">
        <f>+M91*(1+supuestos!H110)</f>
        <v>903436264.07154381</v>
      </c>
      <c r="O91" s="108">
        <f>+N91*(1+supuestos!I110)</f>
        <v>993929553.73020434</v>
      </c>
      <c r="P91" s="108">
        <f>+O91*(1+supuestos!J110)</f>
        <v>1093487163.4730957</v>
      </c>
      <c r="Q91" s="139">
        <f>+P91*(1+supuestos!K110)</f>
        <v>1203017026.9039061</v>
      </c>
    </row>
    <row r="92" spans="2:17" x14ac:dyDescent="0.45">
      <c r="B92" s="117" t="s">
        <v>70</v>
      </c>
      <c r="C92" s="108">
        <v>38933591.359999999</v>
      </c>
      <c r="D92" s="108">
        <v>65232906.799999997</v>
      </c>
      <c r="E92" s="108">
        <v>46297474.759999998</v>
      </c>
      <c r="F92" s="108">
        <v>50512091.530000001</v>
      </c>
      <c r="G92" s="108">
        <v>45453334.130000003</v>
      </c>
      <c r="H92" s="108">
        <f>+G92*(1+supuestos!B110)</f>
        <v>49612728.737302266</v>
      </c>
      <c r="I92" s="108">
        <f>+H92*(1+supuestos!C110)</f>
        <v>54369789.417958654</v>
      </c>
      <c r="J92" s="108">
        <f>+I92*(1+supuestos!D110)</f>
        <v>60221728.596633628</v>
      </c>
      <c r="K92" s="108">
        <f>+J92*(1+supuestos!E110)</f>
        <v>66800944.135217302</v>
      </c>
      <c r="L92" s="108">
        <f>+K92*(1+supuestos!F110)</f>
        <v>73741835.246325061</v>
      </c>
      <c r="M92" s="108">
        <f>+L92*(1+supuestos!G110)</f>
        <v>81128234.843384475</v>
      </c>
      <c r="N92" s="108">
        <f>+M92*(1+supuestos!H110)</f>
        <v>89254498.031107083</v>
      </c>
      <c r="O92" s="108">
        <f>+N92*(1+supuestos!I110)</f>
        <v>98194733.734361634</v>
      </c>
      <c r="P92" s="108">
        <f>+O92*(1+supuestos!J110)</f>
        <v>108030474.04738824</v>
      </c>
      <c r="Q92" s="139">
        <f>+P92*(1+supuestos!K110)</f>
        <v>118851417.78045776</v>
      </c>
    </row>
    <row r="93" spans="2:17" x14ac:dyDescent="0.45">
      <c r="B93" s="117" t="s">
        <v>57</v>
      </c>
      <c r="C93" s="108">
        <v>429937797.63</v>
      </c>
      <c r="D93" s="108">
        <v>332200181.98000002</v>
      </c>
      <c r="E93" s="108">
        <v>106097668.86</v>
      </c>
      <c r="F93" s="108">
        <v>236559427.06999999</v>
      </c>
      <c r="G93" s="108">
        <v>20945919.16</v>
      </c>
      <c r="H93" s="108">
        <f>+G93*(1+supuestos!B110)</f>
        <v>22862661.78992274</v>
      </c>
      <c r="I93" s="108">
        <f>+H93*(1+supuestos!C110)</f>
        <v>25054822.395154964</v>
      </c>
      <c r="J93" s="108">
        <f>+I93*(1+supuestos!D110)</f>
        <v>27751527.649277601</v>
      </c>
      <c r="K93" s="108">
        <f>+J93*(1+supuestos!E110)</f>
        <v>30783378.215250362</v>
      </c>
      <c r="L93" s="108">
        <f>+K93*(1+supuestos!F110)</f>
        <v>33981897.023481645</v>
      </c>
      <c r="M93" s="108">
        <f>+L93*(1+supuestos!G110)</f>
        <v>37385716.166890718</v>
      </c>
      <c r="N93" s="108">
        <f>+M93*(1+supuestos!H110)</f>
        <v>41130481.101319999</v>
      </c>
      <c r="O93" s="108">
        <f>+N93*(1+supuestos!I110)</f>
        <v>45250342.886951245</v>
      </c>
      <c r="P93" s="108">
        <f>+O93*(1+supuestos!J110)</f>
        <v>49782873.347449027</v>
      </c>
      <c r="Q93" s="139">
        <f>+P93*(1+supuestos!K110)</f>
        <v>54769407.712992668</v>
      </c>
    </row>
    <row r="94" spans="2:17" x14ac:dyDescent="0.45">
      <c r="B94" s="117" t="s">
        <v>71</v>
      </c>
      <c r="C94" s="108">
        <v>38010800</v>
      </c>
      <c r="D94" s="108"/>
      <c r="E94" s="108">
        <v>24336700</v>
      </c>
      <c r="F94" s="108">
        <v>47400700</v>
      </c>
      <c r="G94" s="108">
        <v>6529000</v>
      </c>
      <c r="H94" s="108"/>
      <c r="I94" s="109">
        <v>0</v>
      </c>
      <c r="J94" s="109">
        <v>0</v>
      </c>
      <c r="K94" s="109">
        <v>0</v>
      </c>
      <c r="L94" s="109">
        <v>0</v>
      </c>
      <c r="M94" s="109">
        <v>0</v>
      </c>
      <c r="N94" s="109">
        <v>0</v>
      </c>
      <c r="O94" s="109">
        <v>0</v>
      </c>
      <c r="P94" s="109">
        <v>0</v>
      </c>
      <c r="Q94" s="112">
        <v>0</v>
      </c>
    </row>
    <row r="95" spans="2:17" x14ac:dyDescent="0.45">
      <c r="B95" s="117" t="s">
        <v>72</v>
      </c>
      <c r="C95" s="108">
        <v>3051037140.3800001</v>
      </c>
      <c r="D95" s="108">
        <v>568514199.25</v>
      </c>
      <c r="E95" s="108">
        <v>26376305</v>
      </c>
      <c r="F95" s="108">
        <v>6354671.2800000003</v>
      </c>
      <c r="G95" s="108">
        <v>0</v>
      </c>
      <c r="H95" s="108">
        <v>0</v>
      </c>
      <c r="I95" s="109">
        <v>0</v>
      </c>
      <c r="J95" s="109">
        <v>0</v>
      </c>
      <c r="K95" s="109">
        <v>0</v>
      </c>
      <c r="L95" s="109">
        <v>0</v>
      </c>
      <c r="M95" s="109">
        <v>0</v>
      </c>
      <c r="N95" s="109">
        <v>0</v>
      </c>
      <c r="O95" s="109">
        <v>0</v>
      </c>
      <c r="P95" s="109">
        <v>0</v>
      </c>
      <c r="Q95" s="112">
        <v>0</v>
      </c>
    </row>
    <row r="96" spans="2:17" x14ac:dyDescent="0.45">
      <c r="B96" s="117" t="s">
        <v>73</v>
      </c>
      <c r="C96" s="108">
        <v>423774923</v>
      </c>
      <c r="D96" s="108">
        <v>45371135</v>
      </c>
      <c r="E96" s="108">
        <v>0</v>
      </c>
      <c r="F96" s="108">
        <v>0</v>
      </c>
      <c r="G96" s="108">
        <v>0</v>
      </c>
      <c r="H96" s="108">
        <v>0</v>
      </c>
      <c r="I96" s="109">
        <v>0</v>
      </c>
      <c r="J96" s="109">
        <v>0</v>
      </c>
      <c r="K96" s="109">
        <v>0</v>
      </c>
      <c r="L96" s="109">
        <v>0</v>
      </c>
      <c r="M96" s="109">
        <v>0</v>
      </c>
      <c r="N96" s="109">
        <v>0</v>
      </c>
      <c r="O96" s="109">
        <v>0</v>
      </c>
      <c r="P96" s="109">
        <v>0</v>
      </c>
      <c r="Q96" s="112">
        <v>0</v>
      </c>
    </row>
    <row r="97" spans="2:17" x14ac:dyDescent="0.45">
      <c r="B97" s="117" t="s">
        <v>74</v>
      </c>
      <c r="C97" s="108">
        <v>70463207.150000006</v>
      </c>
      <c r="D97" s="108">
        <v>4793027.5999999996</v>
      </c>
      <c r="E97" s="108">
        <v>0</v>
      </c>
      <c r="F97" s="108">
        <v>0</v>
      </c>
      <c r="G97" s="108">
        <v>0</v>
      </c>
      <c r="H97" s="108">
        <v>0</v>
      </c>
      <c r="I97" s="109">
        <v>0</v>
      </c>
      <c r="J97" s="109">
        <v>0</v>
      </c>
      <c r="K97" s="109">
        <v>0</v>
      </c>
      <c r="L97" s="109">
        <v>0</v>
      </c>
      <c r="M97" s="109">
        <v>0</v>
      </c>
      <c r="N97" s="109">
        <v>0</v>
      </c>
      <c r="O97" s="109">
        <v>0</v>
      </c>
      <c r="P97" s="109">
        <v>0</v>
      </c>
      <c r="Q97" s="112">
        <v>0</v>
      </c>
    </row>
    <row r="98" spans="2:17" x14ac:dyDescent="0.45">
      <c r="B98" s="117" t="s">
        <v>75</v>
      </c>
      <c r="C98" s="108"/>
      <c r="D98" s="108"/>
      <c r="E98" s="108">
        <v>13447837.26</v>
      </c>
      <c r="F98" s="108">
        <v>27891867.109999999</v>
      </c>
      <c r="G98" s="108">
        <v>22722594.91</v>
      </c>
      <c r="H98" s="108"/>
      <c r="I98" s="109"/>
      <c r="J98" s="109"/>
      <c r="K98" s="109"/>
      <c r="L98" s="109"/>
      <c r="M98" s="109"/>
      <c r="N98" s="109"/>
      <c r="O98" s="109"/>
      <c r="P98" s="109"/>
      <c r="Q98" s="112"/>
    </row>
    <row r="99" spans="2:17" x14ac:dyDescent="0.45">
      <c r="B99" s="138" t="s">
        <v>76</v>
      </c>
      <c r="C99" s="72">
        <f>SUM(C90:C98)</f>
        <v>12457826367.049997</v>
      </c>
      <c r="D99" s="72">
        <f t="shared" ref="D99:P99" si="11">SUM(D90:D98)</f>
        <v>9886518647.5299988</v>
      </c>
      <c r="E99" s="72">
        <f t="shared" si="11"/>
        <v>8250565893.1999998</v>
      </c>
      <c r="F99" s="72">
        <f t="shared" si="11"/>
        <v>9746941918.630003</v>
      </c>
      <c r="G99" s="72">
        <f t="shared" si="11"/>
        <v>11162921393.009998</v>
      </c>
      <c r="H99" s="72">
        <f t="shared" si="11"/>
        <v>12152502123.69471</v>
      </c>
      <c r="I99" s="74">
        <f t="shared" si="11"/>
        <v>13317731118.260284</v>
      </c>
      <c r="J99" s="74">
        <f t="shared" si="11"/>
        <v>14751147604.443398</v>
      </c>
      <c r="K99" s="74">
        <f t="shared" si="11"/>
        <v>16362708444.570469</v>
      </c>
      <c r="L99" s="74">
        <f t="shared" si="11"/>
        <v>18062860726.350758</v>
      </c>
      <c r="M99" s="74">
        <f t="shared" si="11"/>
        <v>19872139092.493759</v>
      </c>
      <c r="N99" s="74">
        <f t="shared" si="11"/>
        <v>21862645020.305199</v>
      </c>
      <c r="O99" s="74">
        <f t="shared" si="11"/>
        <v>24052531288.109783</v>
      </c>
      <c r="P99" s="74">
        <f t="shared" si="11"/>
        <v>26461768959.253952</v>
      </c>
      <c r="Q99" s="141">
        <f>SUM(Q90:Q98)</f>
        <v>29112329511.825138</v>
      </c>
    </row>
    <row r="100" spans="2:17" x14ac:dyDescent="0.45">
      <c r="B100" s="138" t="s">
        <v>77</v>
      </c>
      <c r="C100" s="72">
        <f>+C87-C99</f>
        <v>543558963.66000175</v>
      </c>
      <c r="D100" s="72">
        <f t="shared" ref="D100:Q100" si="12">+D87-D99</f>
        <v>460578640.47000122</v>
      </c>
      <c r="E100" s="72">
        <f t="shared" si="12"/>
        <v>1400647397.2399988</v>
      </c>
      <c r="F100" s="72">
        <f t="shared" si="12"/>
        <v>1765094063.369997</v>
      </c>
      <c r="G100" s="72">
        <f t="shared" si="12"/>
        <v>2883488674.9900017</v>
      </c>
      <c r="H100" s="72">
        <f>+H87-H99</f>
        <v>3170427722.0411129</v>
      </c>
      <c r="I100" s="74">
        <f t="shared" si="12"/>
        <v>3474420617.4378357</v>
      </c>
      <c r="J100" s="74">
        <f t="shared" si="12"/>
        <v>3848380096.6273003</v>
      </c>
      <c r="K100" s="74">
        <f t="shared" si="12"/>
        <v>4268815091.1073799</v>
      </c>
      <c r="L100" s="74">
        <f t="shared" si="12"/>
        <v>4712362425.7207146</v>
      </c>
      <c r="M100" s="74">
        <f t="shared" si="12"/>
        <v>5184379318.2522316</v>
      </c>
      <c r="N100" s="74">
        <f t="shared" si="12"/>
        <v>5703676094.35532</v>
      </c>
      <c r="O100" s="74">
        <f t="shared" si="12"/>
        <v>6274988574.772644</v>
      </c>
      <c r="P100" s="74">
        <f t="shared" si="12"/>
        <v>6903526946.8572044</v>
      </c>
      <c r="Q100" s="141">
        <f t="shared" si="12"/>
        <v>7595023279.8169441</v>
      </c>
    </row>
    <row r="101" spans="2:17" x14ac:dyDescent="0.45">
      <c r="B101" s="117"/>
      <c r="C101" s="108"/>
      <c r="D101" s="108"/>
      <c r="E101" s="108"/>
      <c r="F101" s="108"/>
      <c r="G101" s="108"/>
      <c r="H101" s="108"/>
      <c r="I101" s="109"/>
      <c r="J101" s="109"/>
      <c r="K101" s="109"/>
      <c r="L101" s="109"/>
      <c r="M101" s="109"/>
      <c r="N101" s="109"/>
      <c r="O101" s="109"/>
      <c r="P101" s="109"/>
      <c r="Q101" s="112"/>
    </row>
    <row r="102" spans="2:17" x14ac:dyDescent="0.45">
      <c r="B102" s="138" t="s">
        <v>78</v>
      </c>
      <c r="C102" s="72">
        <f>+C103+C120</f>
        <v>1713008580.4400001</v>
      </c>
      <c r="D102" s="72">
        <f t="shared" ref="D102:Q102" si="13">+D103+D120</f>
        <v>1302420946.0800002</v>
      </c>
      <c r="E102" s="72">
        <f t="shared" si="13"/>
        <v>1272074422.95</v>
      </c>
      <c r="F102" s="72">
        <f t="shared" si="13"/>
        <v>1583271587.9300001</v>
      </c>
      <c r="G102" s="72">
        <f t="shared" si="13"/>
        <v>1680041008.2800002</v>
      </c>
      <c r="H102" s="72">
        <f t="shared" si="13"/>
        <v>1981453636.3523779</v>
      </c>
      <c r="I102" s="74">
        <f t="shared" si="13"/>
        <v>2171443089.1386843</v>
      </c>
      <c r="J102" s="74">
        <f t="shared" si="13"/>
        <v>2405160251.2543869</v>
      </c>
      <c r="K102" s="74">
        <f t="shared" si="13"/>
        <v>2667923676.7918148</v>
      </c>
      <c r="L102" s="74">
        <f t="shared" si="13"/>
        <v>2945131850.6145515</v>
      </c>
      <c r="M102" s="74">
        <f t="shared" si="13"/>
        <v>3240132926.2183805</v>
      </c>
      <c r="N102" s="74">
        <f t="shared" si="13"/>
        <v>3564682979.2607746</v>
      </c>
      <c r="O102" s="74">
        <f t="shared" si="13"/>
        <v>3921741802.5691972</v>
      </c>
      <c r="P102" s="74">
        <f t="shared" si="13"/>
        <v>4314565658.5731297</v>
      </c>
      <c r="Q102" s="141">
        <f t="shared" si="13"/>
        <v>4746736975.3774433</v>
      </c>
    </row>
    <row r="103" spans="2:17" x14ac:dyDescent="0.45">
      <c r="B103" s="117" t="s">
        <v>79</v>
      </c>
      <c r="C103" s="78">
        <f>SUM(C104:C118)</f>
        <v>856407481.1400001</v>
      </c>
      <c r="D103" s="78">
        <f t="shared" ref="D103:P103" si="14">SUM(D104:D118)</f>
        <v>631669797.08000004</v>
      </c>
      <c r="E103" s="78">
        <f t="shared" si="14"/>
        <v>743681374.93000007</v>
      </c>
      <c r="F103" s="78">
        <f t="shared" si="14"/>
        <v>782811953.24000001</v>
      </c>
      <c r="G103" s="78">
        <f t="shared" si="14"/>
        <v>926479895.74000013</v>
      </c>
      <c r="H103" s="78">
        <f t="shared" si="14"/>
        <v>1035324793.7393711</v>
      </c>
      <c r="I103" s="136">
        <f t="shared" si="14"/>
        <v>1134595746.8466775</v>
      </c>
      <c r="J103" s="136">
        <f t="shared" si="14"/>
        <v>1256714765.0368965</v>
      </c>
      <c r="K103" s="136">
        <f t="shared" si="14"/>
        <v>1394010679.6905401</v>
      </c>
      <c r="L103" s="136">
        <f t="shared" si="14"/>
        <v>1538854086.6320353</v>
      </c>
      <c r="M103" s="136">
        <f t="shared" si="14"/>
        <v>1692994421.8632307</v>
      </c>
      <c r="N103" s="136">
        <f t="shared" si="14"/>
        <v>1862574325.5054791</v>
      </c>
      <c r="O103" s="136">
        <f t="shared" si="14"/>
        <v>2049140312.1187906</v>
      </c>
      <c r="P103" s="136">
        <f t="shared" si="14"/>
        <v>2254393803.9147749</v>
      </c>
      <c r="Q103" s="142">
        <f>SUM(Q104:Q118)</f>
        <v>2480206647.1838098</v>
      </c>
    </row>
    <row r="104" spans="2:17" x14ac:dyDescent="0.45">
      <c r="B104" s="117" t="s">
        <v>80</v>
      </c>
      <c r="C104" s="108">
        <v>560612828.15999997</v>
      </c>
      <c r="D104" s="108">
        <v>410727238.95999998</v>
      </c>
      <c r="E104" s="108">
        <v>474020975.93000001</v>
      </c>
      <c r="F104" s="108">
        <v>465062188.51999998</v>
      </c>
      <c r="G104" s="108">
        <v>532761842.19</v>
      </c>
      <c r="H104" s="108">
        <f>+$H$83*supuestos!G119</f>
        <v>644152727.43519509</v>
      </c>
      <c r="I104" s="108">
        <f>+I83*supuestos!$G$119</f>
        <v>705916587.03350019</v>
      </c>
      <c r="J104" s="108">
        <f>+J83*supuestos!$G$119</f>
        <v>781895931.0177418</v>
      </c>
      <c r="K104" s="108">
        <f>+K83*supuestos!$G$119</f>
        <v>867317953.57979178</v>
      </c>
      <c r="L104" s="108">
        <f>+L83*supuestos!$G$119</f>
        <v>957435833.68520856</v>
      </c>
      <c r="M104" s="108">
        <f>+M83*supuestos!$G$119</f>
        <v>1053338025.8739377</v>
      </c>
      <c r="N104" s="108">
        <f>+N83*supuestos!$G$119</f>
        <v>1158846324.4386978</v>
      </c>
      <c r="O104" s="108">
        <f>+O83*supuestos!$G$119</f>
        <v>1274922931.3646741</v>
      </c>
      <c r="P104" s="108">
        <f>+P83*supuestos!$G$119</f>
        <v>1402626428.2339516</v>
      </c>
      <c r="Q104" s="139">
        <f>+Q83*supuestos!$G$119</f>
        <v>1543121430.151448</v>
      </c>
    </row>
    <row r="105" spans="2:17" x14ac:dyDescent="0.45">
      <c r="B105" s="117" t="s">
        <v>81</v>
      </c>
      <c r="C105" s="108">
        <v>62139596</v>
      </c>
      <c r="D105" s="108">
        <v>62001390</v>
      </c>
      <c r="E105" s="108">
        <v>70090148</v>
      </c>
      <c r="F105" s="108">
        <v>73862519</v>
      </c>
      <c r="G105" s="108">
        <v>90143408.189999998</v>
      </c>
      <c r="H105" s="108">
        <f>+H83*supuestos!$G$120</f>
        <v>94558421.167384237</v>
      </c>
      <c r="I105" s="108">
        <f>+I83*supuestos!$G$120</f>
        <v>103625049.00279503</v>
      </c>
      <c r="J105" s="108">
        <f>+J83*supuestos!$G$120</f>
        <v>114778439.34407285</v>
      </c>
      <c r="K105" s="108">
        <f>+K83*supuestos!$G$120</f>
        <v>127317968.0029882</v>
      </c>
      <c r="L105" s="108">
        <f>+L83*supuestos!$G$120</f>
        <v>140546825.22703391</v>
      </c>
      <c r="M105" s="108">
        <f>+M83*supuestos!$G$120</f>
        <v>154624790.73680443</v>
      </c>
      <c r="N105" s="108">
        <f>+N83*supuestos!$G$120</f>
        <v>170112884.95331833</v>
      </c>
      <c r="O105" s="108">
        <f>+O83*supuestos!$G$120</f>
        <v>187152354.34917155</v>
      </c>
      <c r="P105" s="108">
        <f>+P83*supuestos!$G$120</f>
        <v>205898593.4431102</v>
      </c>
      <c r="Q105" s="139">
        <f>+Q83*supuestos!$G$120</f>
        <v>226522561.94841102</v>
      </c>
    </row>
    <row r="106" spans="2:17" x14ac:dyDescent="0.45">
      <c r="B106" s="117" t="s">
        <v>82</v>
      </c>
      <c r="C106" s="108">
        <v>16109478.84</v>
      </c>
      <c r="D106" s="108">
        <v>14850818</v>
      </c>
      <c r="E106" s="108">
        <v>55904668.140000001</v>
      </c>
      <c r="F106" s="108">
        <v>73800221.609999999</v>
      </c>
      <c r="G106" s="108">
        <v>64737154.060000002</v>
      </c>
      <c r="H106" s="108">
        <f>+H83*supuestos!$G$121</f>
        <v>59645246.760864414</v>
      </c>
      <c r="I106" s="108">
        <f>+I83*supuestos!$G$121</f>
        <v>65364264.145627268</v>
      </c>
      <c r="J106" s="108">
        <f>+J83*supuestos!$G$121</f>
        <v>72399562.651174024</v>
      </c>
      <c r="K106" s="108">
        <f>+K83*supuestos!$G$121</f>
        <v>80309204.87967515</v>
      </c>
      <c r="L106" s="108">
        <f>+L83*supuestos!$G$121</f>
        <v>88653659.490393743</v>
      </c>
      <c r="M106" s="108">
        <f>+M83*supuestos!$G$121</f>
        <v>97533711.804664299</v>
      </c>
      <c r="N106" s="108">
        <f>+N83*supuestos!$G$121</f>
        <v>107303240.4198283</v>
      </c>
      <c r="O106" s="108">
        <f>+O83*supuestos!$G$121</f>
        <v>118051340.31661908</v>
      </c>
      <c r="P106" s="108">
        <f>+P83*supuestos!$G$121</f>
        <v>129876030.73331785</v>
      </c>
      <c r="Q106" s="139">
        <f>+Q83*supuestos!$G$121</f>
        <v>142885149.06990093</v>
      </c>
    </row>
    <row r="107" spans="2:17" x14ac:dyDescent="0.45">
      <c r="B107" s="117" t="s">
        <v>62</v>
      </c>
      <c r="C107" s="108">
        <v>1437114</v>
      </c>
      <c r="D107" s="108">
        <v>659405</v>
      </c>
      <c r="E107" s="108">
        <v>2640216</v>
      </c>
      <c r="F107" s="108">
        <v>6753300</v>
      </c>
      <c r="G107" s="108">
        <v>9062474</v>
      </c>
      <c r="H107" s="108">
        <f>+H83*supuestos!$G$122</f>
        <v>5146532.7612326639</v>
      </c>
      <c r="I107" s="108">
        <f>+I83*supuestos!$G$122</f>
        <v>5640002.2651941003</v>
      </c>
      <c r="J107" s="108">
        <f>+J83*supuestos!$G$122</f>
        <v>6247048.0267618876</v>
      </c>
      <c r="K107" s="108">
        <f>+K83*supuestos!$G$122</f>
        <v>6929537.1615929967</v>
      </c>
      <c r="L107" s="108">
        <f>+L83*supuestos!$G$122</f>
        <v>7649544.3937008893</v>
      </c>
      <c r="M107" s="108">
        <f>+M83*supuestos!$G$122</f>
        <v>8415766.0565952398</v>
      </c>
      <c r="N107" s="108">
        <f>+N83*supuestos!$G$122</f>
        <v>9258736.8180596996</v>
      </c>
      <c r="O107" s="108">
        <f>+O83*supuestos!$G$122</f>
        <v>10186144.302206948</v>
      </c>
      <c r="P107" s="108">
        <f>+P83*supuestos!$G$122</f>
        <v>11206446.169092748</v>
      </c>
      <c r="Q107" s="139">
        <f>+Q83*supuestos!$G$122</f>
        <v>12328947.245874396</v>
      </c>
    </row>
    <row r="108" spans="2:17" x14ac:dyDescent="0.45">
      <c r="B108" s="117" t="s">
        <v>83</v>
      </c>
      <c r="C108" s="108">
        <v>12529478</v>
      </c>
      <c r="D108" s="108">
        <v>946000</v>
      </c>
      <c r="E108" s="108">
        <v>84500</v>
      </c>
      <c r="F108" s="108">
        <v>7863759</v>
      </c>
      <c r="G108" s="108">
        <v>4156500</v>
      </c>
      <c r="H108" s="108">
        <f>+H83*supuestos!$G$123</f>
        <v>6274015.3221115321</v>
      </c>
      <c r="I108" s="108">
        <f>+I83*supuestos!$G$123</f>
        <v>6875592.2230049577</v>
      </c>
      <c r="J108" s="108">
        <f>+J83*supuestos!$G$123</f>
        <v>7615627.2302603945</v>
      </c>
      <c r="K108" s="108">
        <f>+K83*supuestos!$G$123</f>
        <v>8447633.4542097859</v>
      </c>
      <c r="L108" s="108">
        <f>+L83*supuestos!$G$123</f>
        <v>9325377.0955801122</v>
      </c>
      <c r="M108" s="108">
        <f>+M83*supuestos!$G$123</f>
        <v>10259459.647107776</v>
      </c>
      <c r="N108" s="108">
        <f>+N83*supuestos!$G$123</f>
        <v>11287105.193903694</v>
      </c>
      <c r="O108" s="108">
        <f>+O83*supuestos!$G$123</f>
        <v>12417685.535140486</v>
      </c>
      <c r="P108" s="108">
        <f>+P83*supuestos!$G$123</f>
        <v>13661511.202440288</v>
      </c>
      <c r="Q108" s="139">
        <f>+Q83*supuestos!$G$123</f>
        <v>15029925.488630114</v>
      </c>
    </row>
    <row r="109" spans="2:17" x14ac:dyDescent="0.45">
      <c r="B109" s="117" t="s">
        <v>84</v>
      </c>
      <c r="C109" s="108">
        <v>11995888</v>
      </c>
      <c r="D109" s="108">
        <v>14269479</v>
      </c>
      <c r="E109" s="108">
        <v>8351854</v>
      </c>
      <c r="F109" s="108">
        <v>6660960</v>
      </c>
      <c r="G109" s="108">
        <v>10471848</v>
      </c>
      <c r="H109" s="108">
        <f>+H83*supuestos!$G$124</f>
        <v>13766662.95427691</v>
      </c>
      <c r="I109" s="108">
        <f>+I83*supuestos!$G$124</f>
        <v>15086663.944151923</v>
      </c>
      <c r="J109" s="108">
        <f>+J83*supuestos!$G$124</f>
        <v>16710474.533735046</v>
      </c>
      <c r="K109" s="108">
        <f>+K83*supuestos!$G$124</f>
        <v>18536091.570500117</v>
      </c>
      <c r="L109" s="108">
        <f>+L83*supuestos!$G$124</f>
        <v>20462067.24168133</v>
      </c>
      <c r="M109" s="108">
        <f>+M83*supuestos!$G$124</f>
        <v>22511663.71190872</v>
      </c>
      <c r="N109" s="108">
        <f>+N83*supuestos!$G$124</f>
        <v>24766559.365310106</v>
      </c>
      <c r="O109" s="108">
        <f>+O83*supuestos!$G$124</f>
        <v>27247318.130065579</v>
      </c>
      <c r="P109" s="108">
        <f>+P83*supuestos!$G$124</f>
        <v>29976563.733793564</v>
      </c>
      <c r="Q109" s="139">
        <f>+Q83*supuestos!$G$124</f>
        <v>32979186.024721064</v>
      </c>
    </row>
    <row r="110" spans="2:17" x14ac:dyDescent="0.45">
      <c r="B110" s="117" t="s">
        <v>85</v>
      </c>
      <c r="C110" s="108">
        <v>51134204.579999998</v>
      </c>
      <c r="D110" s="108">
        <v>51681092.789999999</v>
      </c>
      <c r="E110" s="108">
        <v>70678024.230000004</v>
      </c>
      <c r="F110" s="108">
        <v>76550087.099999994</v>
      </c>
      <c r="G110" s="108">
        <v>75764637.670000002</v>
      </c>
      <c r="H110" s="108">
        <f>+H83*supuestos!$G$125</f>
        <v>86656429.762878701</v>
      </c>
      <c r="I110" s="108">
        <f>+I83*supuestos!$G$125</f>
        <v>94965384.042208806</v>
      </c>
      <c r="J110" s="108">
        <f>+J83*supuestos!$G$125</f>
        <v>105186715.73107047</v>
      </c>
      <c r="K110" s="108">
        <f>+K83*supuestos!$G$125</f>
        <v>116678349.90892318</v>
      </c>
      <c r="L110" s="108">
        <f>+L83*supuestos!$G$125</f>
        <v>128801707.32887638</v>
      </c>
      <c r="M110" s="108">
        <f>+M83*supuestos!$G$125</f>
        <v>141703215.35260013</v>
      </c>
      <c r="N110" s="108">
        <f>+N83*supuestos!$G$125</f>
        <v>155897011.44251546</v>
      </c>
      <c r="O110" s="108">
        <f>+O83*supuestos!$G$125</f>
        <v>171512538.48568258</v>
      </c>
      <c r="P110" s="108">
        <f>+P83*supuestos!$G$125</f>
        <v>188692205.10137638</v>
      </c>
      <c r="Q110" s="139">
        <f>+Q83*supuestos!$G$125</f>
        <v>207592684.36221114</v>
      </c>
    </row>
    <row r="111" spans="2:17" x14ac:dyDescent="0.45">
      <c r="B111" s="117" t="s">
        <v>86</v>
      </c>
      <c r="C111" s="108">
        <v>5368618</v>
      </c>
      <c r="D111" s="108">
        <v>6545608</v>
      </c>
      <c r="E111" s="108">
        <v>710592</v>
      </c>
      <c r="F111" s="108">
        <v>1005039</v>
      </c>
      <c r="G111" s="108">
        <v>7849906</v>
      </c>
      <c r="H111" s="108">
        <f>+H83*supuestos!$G$126</f>
        <v>5417990.4703331217</v>
      </c>
      <c r="I111" s="108">
        <f>+I83*supuestos!$G$126</f>
        <v>5937488.3913417319</v>
      </c>
      <c r="J111" s="108">
        <f>+J83*supuestos!$G$126</f>
        <v>6576553.2343764883</v>
      </c>
      <c r="K111" s="108">
        <f>+K83*supuestos!$G$126</f>
        <v>7295040.7676677741</v>
      </c>
      <c r="L111" s="108">
        <f>+L83*supuestos!$G$126</f>
        <v>8053025.3182600746</v>
      </c>
      <c r="M111" s="108">
        <f>+M83*supuestos!$G$126</f>
        <v>8859661.9142603055</v>
      </c>
      <c r="N111" s="108">
        <f>+N83*supuestos!$G$126</f>
        <v>9747095.7972790524</v>
      </c>
      <c r="O111" s="108">
        <f>+O83*supuestos!$G$126</f>
        <v>10723420.080896735</v>
      </c>
      <c r="P111" s="108">
        <f>+P83*supuestos!$G$126</f>
        <v>11797538.530757012</v>
      </c>
      <c r="Q111" s="139">
        <f>+Q83*supuestos!$G$126</f>
        <v>12979246.764065718</v>
      </c>
    </row>
    <row r="112" spans="2:17" x14ac:dyDescent="0.45">
      <c r="B112" s="117" t="s">
        <v>87</v>
      </c>
      <c r="C112" s="108">
        <v>3069389</v>
      </c>
      <c r="D112" s="108">
        <v>4551718</v>
      </c>
      <c r="E112" s="108">
        <v>7390554</v>
      </c>
      <c r="F112" s="108">
        <v>6323027.5099999998</v>
      </c>
      <c r="G112" s="108">
        <v>11072785</v>
      </c>
      <c r="H112" s="108">
        <f>+H83*supuestos!$G$127</f>
        <v>8508752.678544689</v>
      </c>
      <c r="I112" s="108">
        <f>+I83*supuestos!$G$127</f>
        <v>9324604.8567801807</v>
      </c>
      <c r="J112" s="108">
        <f>+J83*supuestos!$G$127</f>
        <v>10328232.442452436</v>
      </c>
      <c r="K112" s="108">
        <f>+K83*supuestos!$G$127</f>
        <v>11456590.41149429</v>
      </c>
      <c r="L112" s="108">
        <f>+L83*supuestos!$G$127</f>
        <v>12646976.978333559</v>
      </c>
      <c r="M112" s="108">
        <f>+M83*supuestos!$G$127</f>
        <v>13913769.774373148</v>
      </c>
      <c r="N112" s="108">
        <f>+N83*supuestos!$G$127</f>
        <v>15307451.706911284</v>
      </c>
      <c r="O112" s="108">
        <f>+O83*supuestos!$G$127</f>
        <v>16840732.710052181</v>
      </c>
      <c r="P112" s="108">
        <f>+P83*supuestos!$G$127</f>
        <v>18527595.816838149</v>
      </c>
      <c r="Q112" s="139">
        <f>+Q83*supuestos!$G$127</f>
        <v>20383424.680044983</v>
      </c>
    </row>
    <row r="113" spans="2:17" x14ac:dyDescent="0.45">
      <c r="B113" s="117" t="s">
        <v>88</v>
      </c>
      <c r="C113" s="108">
        <v>54162170</v>
      </c>
      <c r="D113" s="108">
        <v>15610291.76</v>
      </c>
      <c r="E113" s="108">
        <v>6585846</v>
      </c>
      <c r="F113" s="108">
        <v>15161107</v>
      </c>
      <c r="G113" s="108">
        <v>47101156.960000001</v>
      </c>
      <c r="H113" s="108">
        <f>+H83*supuestos!$G$128</f>
        <v>33836155.296082176</v>
      </c>
      <c r="I113" s="108">
        <f>+I83*supuestos!$G$128</f>
        <v>37080496.980972297</v>
      </c>
      <c r="J113" s="108">
        <f>+J83*supuestos!$G$128</f>
        <v>41071551.854839742</v>
      </c>
      <c r="K113" s="108">
        <f>+K83*supuestos!$G$128</f>
        <v>45558613.227106832</v>
      </c>
      <c r="L113" s="108">
        <f>+L83*supuestos!$G$128</f>
        <v>50292339.3394555</v>
      </c>
      <c r="M113" s="108">
        <f>+M83*supuestos!$G$128</f>
        <v>55329904.702336028</v>
      </c>
      <c r="N113" s="108">
        <f>+N83*supuestos!$G$128</f>
        <v>60872061.124582618</v>
      </c>
      <c r="O113" s="108">
        <f>+O83*supuestos!$G$128</f>
        <v>66969351.302686788</v>
      </c>
      <c r="P113" s="108">
        <f>+P83*supuestos!$G$128</f>
        <v>73677380.575692266</v>
      </c>
      <c r="Q113" s="139">
        <f>+Q83*supuestos!$G$128</f>
        <v>81057324.02812767</v>
      </c>
    </row>
    <row r="114" spans="2:17" x14ac:dyDescent="0.45">
      <c r="B114" s="117" t="s">
        <v>89</v>
      </c>
      <c r="C114" s="108">
        <v>21091309</v>
      </c>
      <c r="D114" s="108">
        <v>3057057</v>
      </c>
      <c r="E114" s="108">
        <v>6335408</v>
      </c>
      <c r="F114" s="108">
        <v>2424658</v>
      </c>
      <c r="G114" s="108">
        <v>7185258.5199999996</v>
      </c>
      <c r="H114" s="108">
        <f>+H83*supuestos!$G$129</f>
        <v>10103838.167884655</v>
      </c>
      <c r="I114" s="108">
        <f>+I83*supuestos!$G$129</f>
        <v>11072633.323794333</v>
      </c>
      <c r="J114" s="108">
        <f>+J83*supuestos!$G$129</f>
        <v>12264405.031065494</v>
      </c>
      <c r="K114" s="108">
        <f>+K83*supuestos!$G$129</f>
        <v>13604289.588221507</v>
      </c>
      <c r="L114" s="108">
        <f>+L83*supuestos!$G$129</f>
        <v>15017830.87716927</v>
      </c>
      <c r="M114" s="108">
        <f>+M83*supuestos!$G$129</f>
        <v>16522101.81874931</v>
      </c>
      <c r="N114" s="108">
        <f>+N83*supuestos!$G$129</f>
        <v>18177049.052011535</v>
      </c>
      <c r="O114" s="108">
        <f>+O83*supuestos!$G$129</f>
        <v>19997765.167158648</v>
      </c>
      <c r="P114" s="108">
        <f>+P83*supuestos!$G$129</f>
        <v>22000854.513652105</v>
      </c>
      <c r="Q114" s="139">
        <f>+Q83*supuestos!$G$129</f>
        <v>24204584.626576047</v>
      </c>
    </row>
    <row r="115" spans="2:17" x14ac:dyDescent="0.45">
      <c r="B115" s="117" t="s">
        <v>90</v>
      </c>
      <c r="C115" s="108">
        <v>6869716</v>
      </c>
      <c r="D115" s="108">
        <v>8817283</v>
      </c>
      <c r="E115" s="108">
        <v>8508569</v>
      </c>
      <c r="F115" s="108">
        <v>11487721</v>
      </c>
      <c r="G115" s="108">
        <v>19655999.079999998</v>
      </c>
      <c r="H115" s="108">
        <f>+H83*supuestos!$G$130</f>
        <v>14276961.117957572</v>
      </c>
      <c r="I115" s="108">
        <f>+I83*supuestos!$G$130</f>
        <v>15645891.47317167</v>
      </c>
      <c r="J115" s="108">
        <f>+J83*supuestos!$G$130</f>
        <v>17329892.94305611</v>
      </c>
      <c r="K115" s="108">
        <f>+K83*supuestos!$G$130</f>
        <v>19223181.35555977</v>
      </c>
      <c r="L115" s="108">
        <f>+L83*supuestos!$G$130</f>
        <v>21220548.46354463</v>
      </c>
      <c r="M115" s="108">
        <f>+M83*supuestos!$G$130</f>
        <v>23346118.705957565</v>
      </c>
      <c r="N115" s="108">
        <f>+N83*supuestos!$G$130</f>
        <v>25684598.094578151</v>
      </c>
      <c r="O115" s="108">
        <f>+O83*supuestos!$G$130</f>
        <v>28257312.814556319</v>
      </c>
      <c r="P115" s="108">
        <f>+P83*supuestos!$G$130</f>
        <v>31087725.202452812</v>
      </c>
      <c r="Q115" s="139">
        <f>+Q83*supuestos!$G$130</f>
        <v>34201647.715255134</v>
      </c>
    </row>
    <row r="116" spans="2:17" x14ac:dyDescent="0.45">
      <c r="B116" s="117" t="s">
        <v>91</v>
      </c>
      <c r="C116" s="108">
        <v>799685.21</v>
      </c>
      <c r="D116" s="108">
        <v>1327801</v>
      </c>
      <c r="E116" s="108">
        <v>3370523</v>
      </c>
      <c r="F116" s="108">
        <v>9013143.7300000004</v>
      </c>
      <c r="G116" s="108">
        <v>9598288.6099999994</v>
      </c>
      <c r="H116" s="108">
        <f>+H83*supuestos!$G$131</f>
        <v>6144247.6559281964</v>
      </c>
      <c r="I116" s="108">
        <f>+I83*supuestos!$G$131</f>
        <v>6733381.9301382564</v>
      </c>
      <c r="J116" s="108">
        <f>+J83*supuestos!$G$131</f>
        <v>7458110.5329851713</v>
      </c>
      <c r="K116" s="108">
        <f>+K83*supuestos!$G$131</f>
        <v>8272908.0794945499</v>
      </c>
      <c r="L116" s="108">
        <f>+L83*supuestos!$G$131</f>
        <v>9132497.0403293557</v>
      </c>
      <c r="M116" s="108">
        <f>+M83*supuestos!$G$131</f>
        <v>10047259.633821992</v>
      </c>
      <c r="N116" s="108">
        <f>+N83*supuestos!$G$131</f>
        <v>11053650.02623513</v>
      </c>
      <c r="O116" s="108">
        <f>+O83*supuestos!$G$131</f>
        <v>12160846.17652199</v>
      </c>
      <c r="P116" s="108">
        <f>+P83*supuestos!$G$131</f>
        <v>13378945.359951792</v>
      </c>
      <c r="Q116" s="139">
        <f>+Q83*supuestos!$G$131</f>
        <v>14719056.252035303</v>
      </c>
    </row>
    <row r="117" spans="2:17" x14ac:dyDescent="0.45">
      <c r="B117" s="117" t="s">
        <v>92</v>
      </c>
      <c r="C117" s="108">
        <v>49088006.350000001</v>
      </c>
      <c r="D117" s="108">
        <v>36624614.57</v>
      </c>
      <c r="E117" s="108">
        <v>29009496.629999999</v>
      </c>
      <c r="F117" s="108">
        <v>26844221.77</v>
      </c>
      <c r="G117" s="108">
        <v>36918637.460000001</v>
      </c>
      <c r="H117" s="108">
        <f>+H83*supuestos!$G$132</f>
        <v>46836812.188697278</v>
      </c>
      <c r="I117" s="108">
        <f>+I83*supuestos!$G$132</f>
        <v>51327707.233996794</v>
      </c>
      <c r="J117" s="108">
        <f>+J83*supuestos!$G$132</f>
        <v>56852220.46330446</v>
      </c>
      <c r="K117" s="108">
        <f>+K83*supuestos!$G$132</f>
        <v>63063317.703314058</v>
      </c>
      <c r="L117" s="108">
        <f>+L83*supuestos!$G$132</f>
        <v>69615854.152467847</v>
      </c>
      <c r="M117" s="108">
        <f>+M83*supuestos!$G$132</f>
        <v>76588972.130113527</v>
      </c>
      <c r="N117" s="108">
        <f>+N83*supuestos!$G$132</f>
        <v>84260557.072247967</v>
      </c>
      <c r="O117" s="108">
        <f>+O83*supuestos!$G$132</f>
        <v>92700571.383357361</v>
      </c>
      <c r="P117" s="108">
        <f>+P83*supuestos!$G$132</f>
        <v>101985985.29834846</v>
      </c>
      <c r="Q117" s="139">
        <f>+Q83*supuestos!$G$132</f>
        <v>112201478.82650784</v>
      </c>
    </row>
    <row r="118" spans="2:17" x14ac:dyDescent="0.45">
      <c r="B118" s="117" t="s">
        <v>93</v>
      </c>
      <c r="C118" s="108"/>
      <c r="D118" s="108"/>
      <c r="E118" s="108"/>
      <c r="F118" s="108"/>
      <c r="G118" s="108"/>
      <c r="H118" s="108"/>
      <c r="I118" s="109"/>
      <c r="J118" s="109"/>
      <c r="K118" s="109"/>
      <c r="L118" s="109"/>
      <c r="M118" s="109"/>
      <c r="N118" s="109"/>
      <c r="O118" s="109"/>
      <c r="P118" s="109"/>
      <c r="Q118" s="112"/>
    </row>
    <row r="119" spans="2:17" x14ac:dyDescent="0.45">
      <c r="B119" s="117"/>
      <c r="C119" s="108"/>
      <c r="D119" s="108"/>
      <c r="E119" s="108"/>
      <c r="F119" s="108"/>
      <c r="G119" s="108"/>
      <c r="H119" s="108"/>
      <c r="I119" s="109"/>
      <c r="J119" s="109"/>
      <c r="K119" s="109"/>
      <c r="L119" s="109"/>
      <c r="M119" s="109"/>
      <c r="N119" s="109"/>
      <c r="O119" s="109"/>
      <c r="P119" s="109"/>
      <c r="Q119" s="112"/>
    </row>
    <row r="120" spans="2:17" x14ac:dyDescent="0.45">
      <c r="B120" s="117" t="s">
        <v>94</v>
      </c>
      <c r="C120" s="72">
        <f>SUM(C121:C135)</f>
        <v>856601099.29999995</v>
      </c>
      <c r="D120" s="72">
        <f t="shared" ref="D120:P120" si="15">SUM(D121:D135)</f>
        <v>670751149.00000012</v>
      </c>
      <c r="E120" s="72">
        <f t="shared" si="15"/>
        <v>528393048.01999998</v>
      </c>
      <c r="F120" s="72">
        <f t="shared" si="15"/>
        <v>800459634.69000006</v>
      </c>
      <c r="G120" s="72">
        <f t="shared" si="15"/>
        <v>753561112.53999996</v>
      </c>
      <c r="H120" s="72">
        <f t="shared" si="15"/>
        <v>946128842.61300683</v>
      </c>
      <c r="I120" s="74">
        <f t="shared" si="15"/>
        <v>1036847342.2920066</v>
      </c>
      <c r="J120" s="74">
        <f t="shared" si="15"/>
        <v>1148445486.2174907</v>
      </c>
      <c r="K120" s="74">
        <f t="shared" si="15"/>
        <v>1273912997.101275</v>
      </c>
      <c r="L120" s="74">
        <f t="shared" si="15"/>
        <v>1406277763.9825165</v>
      </c>
      <c r="M120" s="74">
        <f t="shared" si="15"/>
        <v>1547138504.3551497</v>
      </c>
      <c r="N120" s="74">
        <f t="shared" si="15"/>
        <v>1702108653.7552955</v>
      </c>
      <c r="O120" s="74">
        <f t="shared" si="15"/>
        <v>1872601490.4504066</v>
      </c>
      <c r="P120" s="74">
        <f t="shared" si="15"/>
        <v>2060171854.6583552</v>
      </c>
      <c r="Q120" s="141">
        <f>SUM(Q121:Q135)</f>
        <v>2266530328.193634</v>
      </c>
    </row>
    <row r="121" spans="2:17" x14ac:dyDescent="0.45">
      <c r="B121" s="117" t="s">
        <v>80</v>
      </c>
      <c r="C121" s="108">
        <v>154170869</v>
      </c>
      <c r="D121" s="108">
        <v>116548540</v>
      </c>
      <c r="E121" s="108">
        <v>100844992.5</v>
      </c>
      <c r="F121" s="108">
        <v>133361925.75</v>
      </c>
      <c r="G121" s="108">
        <v>220439070.77000001</v>
      </c>
      <c r="H121" s="108">
        <f>+H83*supuestos!$G$135</f>
        <v>186506961.23874322</v>
      </c>
      <c r="I121" s="108">
        <f>+I83*supuestos!$G$135</f>
        <v>204389971.39678866</v>
      </c>
      <c r="J121" s="108">
        <f>+J83*supuestos!$G$135</f>
        <v>226388910.4059225</v>
      </c>
      <c r="K121" s="108">
        <f>+K83*supuestos!$G$135</f>
        <v>251121867.62609994</v>
      </c>
      <c r="L121" s="108">
        <f>+L83*supuestos!$G$135</f>
        <v>277214456.00752473</v>
      </c>
      <c r="M121" s="108">
        <f>+M83*supuestos!$G$135</f>
        <v>304981824.95505941</v>
      </c>
      <c r="N121" s="108">
        <f>+N83*supuestos!$G$135</f>
        <v>335530530.73968744</v>
      </c>
      <c r="O121" s="108">
        <f>+O83*supuestos!$G$135</f>
        <v>369139167.80137855</v>
      </c>
      <c r="P121" s="108">
        <f>+P83*supuestos!$G$135</f>
        <v>406114236.17605442</v>
      </c>
      <c r="Q121" s="139">
        <f>+Q83*supuestos!$G$135</f>
        <v>446792936.67802483</v>
      </c>
    </row>
    <row r="122" spans="2:17" x14ac:dyDescent="0.45">
      <c r="B122" s="117" t="s">
        <v>81</v>
      </c>
      <c r="C122" s="108">
        <v>4261979</v>
      </c>
      <c r="D122" s="108">
        <v>2128603</v>
      </c>
      <c r="E122" s="108">
        <v>0</v>
      </c>
      <c r="F122" s="108">
        <v>2106570</v>
      </c>
      <c r="G122" s="108">
        <v>3155717</v>
      </c>
      <c r="H122" s="108">
        <f>+H83*supuestos!$G$136</f>
        <v>2890205.1148371836</v>
      </c>
      <c r="I122" s="108">
        <f>+I83*supuestos!$G$136</f>
        <v>3167329.180792592</v>
      </c>
      <c r="J122" s="108">
        <f>+J83*supuestos!$G$136</f>
        <v>3508235.7379682288</v>
      </c>
      <c r="K122" s="108">
        <f>+K83*supuestos!$G$136</f>
        <v>3891510.0082047265</v>
      </c>
      <c r="L122" s="108">
        <f>+L83*supuestos!$G$136</f>
        <v>4295853.8026586017</v>
      </c>
      <c r="M122" s="108">
        <f>+M83*supuestos!$G$136</f>
        <v>4726150.8340654103</v>
      </c>
      <c r="N122" s="108">
        <f>+N83*supuestos!$G$136</f>
        <v>5199548.8516191225</v>
      </c>
      <c r="O122" s="108">
        <f>+O83*supuestos!$G$136</f>
        <v>5720365.094043795</v>
      </c>
      <c r="P122" s="108">
        <f>+P83*supuestos!$G$136</f>
        <v>6293349.2391296541</v>
      </c>
      <c r="Q122" s="139">
        <f>+Q83*supuestos!$G$136</f>
        <v>6923726.7192775737</v>
      </c>
    </row>
    <row r="123" spans="2:17" x14ac:dyDescent="0.45">
      <c r="B123" s="117" t="s">
        <v>82</v>
      </c>
      <c r="C123" s="108">
        <v>59797000</v>
      </c>
      <c r="D123" s="108">
        <v>67036831.060000002</v>
      </c>
      <c r="E123" s="108">
        <v>68666465.799999997</v>
      </c>
      <c r="F123" s="108">
        <v>84332068.829999998</v>
      </c>
      <c r="G123" s="108">
        <v>15384814.470000001</v>
      </c>
      <c r="H123" s="108">
        <f>+H83*supuestos!$G$137</f>
        <v>81530698.926859871</v>
      </c>
      <c r="I123" s="108">
        <f>+I83*supuestos!$G$137</f>
        <v>89348178.271425501</v>
      </c>
      <c r="J123" s="108">
        <f>+J83*supuestos!$G$137</f>
        <v>98964917.835200369</v>
      </c>
      <c r="K123" s="108">
        <f>+K83*supuestos!$G$137</f>
        <v>109776821.45153736</v>
      </c>
      <c r="L123" s="108">
        <f>+L83*supuestos!$G$137</f>
        <v>121183081.85822137</v>
      </c>
      <c r="M123" s="108">
        <f>+M83*supuestos!$G$137</f>
        <v>133321465.23338415</v>
      </c>
      <c r="N123" s="108">
        <f>+N83*supuestos!$G$137</f>
        <v>146675697.79065314</v>
      </c>
      <c r="O123" s="108">
        <f>+O83*supuestos!$G$137</f>
        <v>161367565.86581445</v>
      </c>
      <c r="P123" s="108">
        <f>+P83*supuestos!$G$137</f>
        <v>177531054.60335726</v>
      </c>
      <c r="Q123" s="139">
        <f>+Q83*supuestos!$G$137</f>
        <v>195313569.85819858</v>
      </c>
    </row>
    <row r="124" spans="2:17" x14ac:dyDescent="0.45">
      <c r="B124" s="117" t="s">
        <v>62</v>
      </c>
      <c r="C124" s="108"/>
      <c r="D124" s="108">
        <v>4130000</v>
      </c>
      <c r="E124" s="108">
        <v>3600000</v>
      </c>
      <c r="F124" s="108">
        <v>4303017</v>
      </c>
      <c r="G124" s="108">
        <v>294000</v>
      </c>
      <c r="H124" s="108">
        <f>+H83*supuestos!$G$138</f>
        <v>3572804.5777507904</v>
      </c>
      <c r="I124" s="108">
        <f>+I83*supuestos!$G$138</f>
        <v>3915378.9252832737</v>
      </c>
      <c r="J124" s="108">
        <f>+J83*supuestos!$G$138</f>
        <v>4336799.7101990851</v>
      </c>
      <c r="K124" s="108">
        <f>+K83*supuestos!$G$138</f>
        <v>4810594.4800599758</v>
      </c>
      <c r="L124" s="108">
        <f>+L83*supuestos!$G$138</f>
        <v>5310434.9074378479</v>
      </c>
      <c r="M124" s="108">
        <f>+M83*supuestos!$G$138</f>
        <v>5842358.1248283982</v>
      </c>
      <c r="N124" s="108">
        <f>+N83*supuestos!$G$138</f>
        <v>6427561.7823581975</v>
      </c>
      <c r="O124" s="108">
        <f>+O83*supuestos!$G$138</f>
        <v>7071382.7504788833</v>
      </c>
      <c r="P124" s="108">
        <f>+P83*supuestos!$G$138</f>
        <v>7779692.4707932165</v>
      </c>
      <c r="Q124" s="139">
        <f>+Q83*supuestos!$G$138</f>
        <v>8558950.5017272513</v>
      </c>
    </row>
    <row r="125" spans="2:17" x14ac:dyDescent="0.45">
      <c r="B125" s="117" t="s">
        <v>83</v>
      </c>
      <c r="C125" s="108">
        <v>927300</v>
      </c>
      <c r="D125" s="108">
        <v>143000</v>
      </c>
      <c r="E125" s="108">
        <v>0</v>
      </c>
      <c r="F125" s="108">
        <v>2304400</v>
      </c>
      <c r="G125" s="108">
        <v>530241</v>
      </c>
      <c r="H125" s="108">
        <f>+H83*supuestos!$G$139</f>
        <v>992122.6680862786</v>
      </c>
      <c r="I125" s="108">
        <f>+I83*supuestos!$G$139</f>
        <v>1087251.2339777295</v>
      </c>
      <c r="J125" s="108">
        <f>+J83*supuestos!$G$139</f>
        <v>1204274.4588474473</v>
      </c>
      <c r="K125" s="108">
        <f>+K83*supuestos!$G$139</f>
        <v>1335841.2772866557</v>
      </c>
      <c r="L125" s="108">
        <f>+L83*supuestos!$G$139</f>
        <v>1474640.6455800398</v>
      </c>
      <c r="M125" s="108">
        <f>+M83*supuestos!$G$139</f>
        <v>1622348.9991073906</v>
      </c>
      <c r="N125" s="108">
        <f>+N83*supuestos!$G$139</f>
        <v>1784852.6573533218</v>
      </c>
      <c r="O125" s="108">
        <f>+O83*supuestos!$G$139</f>
        <v>1963633.6017798714</v>
      </c>
      <c r="P125" s="108">
        <f>+P83*supuestos!$G$139</f>
        <v>2160322.2575003295</v>
      </c>
      <c r="Q125" s="139">
        <f>+Q83*supuestos!$G$139</f>
        <v>2376712.3622355401</v>
      </c>
    </row>
    <row r="126" spans="2:17" x14ac:dyDescent="0.45">
      <c r="B126" s="117" t="s">
        <v>84</v>
      </c>
      <c r="C126" s="108">
        <v>1615466</v>
      </c>
      <c r="D126" s="108">
        <v>3306032</v>
      </c>
      <c r="E126" s="108">
        <v>3358241</v>
      </c>
      <c r="F126" s="108">
        <v>5626198.2000000002</v>
      </c>
      <c r="G126" s="108">
        <v>6942305</v>
      </c>
      <c r="H126" s="108">
        <f>+H83*supuestos!$G$140</f>
        <v>5437574.4131452907</v>
      </c>
      <c r="I126" s="108">
        <f>+I83*supuestos!$G$140</f>
        <v>5958950.1184785105</v>
      </c>
      <c r="J126" s="108">
        <f>+J83*supuestos!$G$140</f>
        <v>6600324.934077411</v>
      </c>
      <c r="K126" s="108">
        <f>+K83*supuestos!$G$140</f>
        <v>7321409.5222805282</v>
      </c>
      <c r="L126" s="108">
        <f>+L83*supuestos!$G$140</f>
        <v>8082133.8942461926</v>
      </c>
      <c r="M126" s="108">
        <f>+M83*supuestos!$G$140</f>
        <v>8891686.1699717343</v>
      </c>
      <c r="N126" s="108">
        <f>+N83*supuestos!$G$140</f>
        <v>9782327.7836998254</v>
      </c>
      <c r="O126" s="108">
        <f>+O83*supuestos!$G$140</f>
        <v>10762181.102490455</v>
      </c>
      <c r="P126" s="108">
        <f>+P83*supuestos!$G$140</f>
        <v>11840182.07566094</v>
      </c>
      <c r="Q126" s="139">
        <f>+Q83*supuestos!$G$140</f>
        <v>13026161.727789689</v>
      </c>
    </row>
    <row r="127" spans="2:17" x14ac:dyDescent="0.45">
      <c r="B127" s="117" t="s">
        <v>85</v>
      </c>
      <c r="C127" s="108">
        <v>432293798.23000002</v>
      </c>
      <c r="D127" s="108">
        <v>331338444.61000001</v>
      </c>
      <c r="E127" s="108">
        <v>257792345.09999999</v>
      </c>
      <c r="F127" s="108">
        <v>308287440.13</v>
      </c>
      <c r="G127" s="108">
        <v>336989855.05000001</v>
      </c>
      <c r="H127" s="108">
        <f>+H83*supuestos!$G$141</f>
        <v>437580422.04264635</v>
      </c>
      <c r="I127" s="108">
        <f>+I83*supuestos!$G$141</f>
        <v>479537328.53223056</v>
      </c>
      <c r="J127" s="108">
        <f>+J83*supuestos!$G$141</f>
        <v>531150978.51167995</v>
      </c>
      <c r="K127" s="108">
        <f>+K83*supuestos!$G$141</f>
        <v>589179149.61524606</v>
      </c>
      <c r="L127" s="108">
        <f>+L83*supuestos!$G$141</f>
        <v>650397271.23545468</v>
      </c>
      <c r="M127" s="108">
        <f>+M83*supuestos!$G$141</f>
        <v>715544743.17095304</v>
      </c>
      <c r="N127" s="108">
        <f>+N83*supuestos!$G$141</f>
        <v>787217754.63020205</v>
      </c>
      <c r="O127" s="108">
        <f>+O83*supuestos!$G$141</f>
        <v>866069940.58645427</v>
      </c>
      <c r="P127" s="108">
        <f>+P83*supuestos!$G$141</f>
        <v>952820407.79145741</v>
      </c>
      <c r="Q127" s="139">
        <f>+Q83*supuestos!$G$141</f>
        <v>1048260292.7993579</v>
      </c>
    </row>
    <row r="128" spans="2:17" x14ac:dyDescent="0.45">
      <c r="B128" s="117" t="s">
        <v>86</v>
      </c>
      <c r="C128" s="108">
        <v>1915100</v>
      </c>
      <c r="D128" s="108">
        <v>449000</v>
      </c>
      <c r="E128" s="108">
        <v>1998300</v>
      </c>
      <c r="F128" s="108">
        <v>2173870</v>
      </c>
      <c r="G128" s="108"/>
      <c r="H128" s="108">
        <f>+H83*supuestos!$G$142</f>
        <v>1795472.1748785104</v>
      </c>
      <c r="I128" s="108">
        <f>+I83*supuestos!$G$142</f>
        <v>1967629.004460539</v>
      </c>
      <c r="J128" s="108">
        <f>+J83*supuestos!$G$142</f>
        <v>2179409.2115123724</v>
      </c>
      <c r="K128" s="108">
        <f>+K83*supuestos!$G$142</f>
        <v>2417509.3671116279</v>
      </c>
      <c r="L128" s="108">
        <f>+L83*supuestos!$G$142</f>
        <v>2668698.47071531</v>
      </c>
      <c r="M128" s="108">
        <f>+M83*supuestos!$G$142</f>
        <v>2936010.4143754994</v>
      </c>
      <c r="N128" s="108">
        <f>+N83*supuestos!$G$142</f>
        <v>3230097.8352982951</v>
      </c>
      <c r="O128" s="108">
        <f>+O83*supuestos!$G$142</f>
        <v>3553642.7168355202</v>
      </c>
      <c r="P128" s="108">
        <f>+P83*supuestos!$G$142</f>
        <v>3909595.6849715435</v>
      </c>
      <c r="Q128" s="139">
        <f>+Q83*supuestos!$G$142</f>
        <v>4301202.9170898702</v>
      </c>
    </row>
    <row r="129" spans="2:17" x14ac:dyDescent="0.45">
      <c r="B129" s="117" t="s">
        <v>87</v>
      </c>
      <c r="C129" s="108">
        <v>314462</v>
      </c>
      <c r="D129" s="108">
        <v>851824</v>
      </c>
      <c r="E129" s="108">
        <v>514018</v>
      </c>
      <c r="F129" s="108">
        <v>235000</v>
      </c>
      <c r="G129" s="108">
        <v>220259</v>
      </c>
      <c r="H129" s="108">
        <f>+H83*supuestos!$G$143</f>
        <v>600005.73552450747</v>
      </c>
      <c r="I129" s="108">
        <f>+I83*supuestos!$G$143</f>
        <v>657536.6104688223</v>
      </c>
      <c r="J129" s="108">
        <f>+J83*supuestos!$G$143</f>
        <v>728308.71191353875</v>
      </c>
      <c r="K129" s="108">
        <f>+K83*supuestos!$G$143</f>
        <v>807876.33818349079</v>
      </c>
      <c r="L129" s="108">
        <f>+L83*supuestos!$G$143</f>
        <v>891817.99151134968</v>
      </c>
      <c r="M129" s="108">
        <f>+M83*supuestos!$G$143</f>
        <v>981147.52923095843</v>
      </c>
      <c r="N129" s="108">
        <f>+N83*supuestos!$G$143</f>
        <v>1079424.8190537468</v>
      </c>
      <c r="O129" s="108">
        <f>+O83*supuestos!$G$143</f>
        <v>1187546.118474646</v>
      </c>
      <c r="P129" s="108">
        <f>+P83*supuestos!$G$143</f>
        <v>1306497.4592120971</v>
      </c>
      <c r="Q129" s="139">
        <f>+Q83*supuestos!$G$143</f>
        <v>1437363.6395024001</v>
      </c>
    </row>
    <row r="130" spans="2:17" x14ac:dyDescent="0.45">
      <c r="B130" s="117" t="s">
        <v>88</v>
      </c>
      <c r="C130" s="108">
        <v>1499610</v>
      </c>
      <c r="D130" s="108">
        <v>6552932</v>
      </c>
      <c r="E130" s="108">
        <v>63401</v>
      </c>
      <c r="F130" s="108">
        <v>2409101</v>
      </c>
      <c r="G130" s="108">
        <v>2124450</v>
      </c>
      <c r="H130" s="108">
        <f>+H83*supuestos!$G$144</f>
        <v>3426930.079223698</v>
      </c>
      <c r="I130" s="108">
        <f>+I83*supuestos!$G$144</f>
        <v>3755517.4145737221</v>
      </c>
      <c r="J130" s="108">
        <f>+J83*supuestos!$G$144</f>
        <v>4159731.9559543249</v>
      </c>
      <c r="K130" s="108">
        <f>+K83*supuestos!$G$144</f>
        <v>4614182.0980993258</v>
      </c>
      <c r="L130" s="108">
        <f>+L83*supuestos!$G$144</f>
        <v>5093614.4762540804</v>
      </c>
      <c r="M130" s="108">
        <f>+M83*supuestos!$G$144</f>
        <v>5603819.7320536254</v>
      </c>
      <c r="N130" s="108">
        <f>+N83*supuestos!$G$144</f>
        <v>6165130.0340358</v>
      </c>
      <c r="O130" s="108">
        <f>+O83*supuestos!$G$144</f>
        <v>6782664.3528808188</v>
      </c>
      <c r="P130" s="108">
        <f>+P83*supuestos!$G$144</f>
        <v>7462054.4043455999</v>
      </c>
      <c r="Q130" s="139">
        <f>+Q83*supuestos!$G$144</f>
        <v>8209496.0087127835</v>
      </c>
    </row>
    <row r="131" spans="2:17" x14ac:dyDescent="0.45">
      <c r="B131" s="117" t="s">
        <v>89</v>
      </c>
      <c r="C131" s="108">
        <v>5696137</v>
      </c>
      <c r="D131" s="108">
        <v>4061348</v>
      </c>
      <c r="E131" s="108">
        <v>2229125</v>
      </c>
      <c r="F131" s="108">
        <v>2399418</v>
      </c>
      <c r="G131" s="108">
        <v>6980397</v>
      </c>
      <c r="H131" s="108">
        <f>+H83*supuestos!$G$145</f>
        <v>5418206.1506256117</v>
      </c>
      <c r="I131" s="108">
        <f>+I83*supuestos!$G$145</f>
        <v>5937724.7518964279</v>
      </c>
      <c r="J131" s="108">
        <f>+J83*supuestos!$G$145</f>
        <v>6576815.0349338967</v>
      </c>
      <c r="K131" s="108">
        <f>+K83*supuestos!$G$145</f>
        <v>7295331.1698999517</v>
      </c>
      <c r="L131" s="108">
        <f>+L83*supuestos!$G$145</f>
        <v>8053345.8944710484</v>
      </c>
      <c r="M131" s="108">
        <f>+M83*supuestos!$G$145</f>
        <v>8860014.6011990327</v>
      </c>
      <c r="N131" s="108">
        <f>+N83*supuestos!$G$145</f>
        <v>9747483.8113377709</v>
      </c>
      <c r="O131" s="108">
        <f>+O83*supuestos!$G$145</f>
        <v>10723846.960639734</v>
      </c>
      <c r="P131" s="108">
        <f>+P83*supuestos!$G$145</f>
        <v>11798008.169191208</v>
      </c>
      <c r="Q131" s="139">
        <f>+Q83*supuestos!$G$145</f>
        <v>12979763.444143638</v>
      </c>
    </row>
    <row r="132" spans="2:17" x14ac:dyDescent="0.45">
      <c r="B132" s="117" t="s">
        <v>90</v>
      </c>
      <c r="C132" s="108">
        <v>3245324</v>
      </c>
      <c r="D132" s="108">
        <v>2858045</v>
      </c>
      <c r="E132" s="108">
        <v>2441941</v>
      </c>
      <c r="F132" s="108">
        <v>2764112</v>
      </c>
      <c r="G132" s="108">
        <v>4363361.51</v>
      </c>
      <c r="H132" s="108">
        <f>+H83*supuestos!$G$146</f>
        <v>4074779.8720503012</v>
      </c>
      <c r="I132" s="108">
        <f>+I83*supuestos!$G$146</f>
        <v>4465485.5559544871</v>
      </c>
      <c r="J132" s="108">
        <f>+J83*supuestos!$G$146</f>
        <v>4946115.5189623218</v>
      </c>
      <c r="K132" s="108">
        <f>+K83*supuestos!$G$146</f>
        <v>5486477.9568450144</v>
      </c>
      <c r="L132" s="108">
        <f>+L83*supuestos!$G$146</f>
        <v>6056545.4397966219</v>
      </c>
      <c r="M132" s="108">
        <f>+M83*supuestos!$G$146</f>
        <v>6663203.3110938407</v>
      </c>
      <c r="N132" s="108">
        <f>+N83*supuestos!$G$146</f>
        <v>7330627.4684637412</v>
      </c>
      <c r="O132" s="108">
        <f>+O83*supuestos!$G$146</f>
        <v>8064904.6070565414</v>
      </c>
      <c r="P132" s="108">
        <f>+P83*supuestos!$G$146</f>
        <v>8872731.0998594016</v>
      </c>
      <c r="Q132" s="139">
        <f>+Q83*supuestos!$G$146</f>
        <v>9761474.0664793439</v>
      </c>
    </row>
    <row r="133" spans="2:17" x14ac:dyDescent="0.45">
      <c r="B133" s="117" t="s">
        <v>91</v>
      </c>
      <c r="C133" s="108"/>
      <c r="D133" s="108">
        <v>29018</v>
      </c>
      <c r="E133" s="108">
        <v>73610</v>
      </c>
      <c r="F133" s="108">
        <v>173055.46</v>
      </c>
      <c r="G133" s="108">
        <v>0</v>
      </c>
      <c r="H133" s="108">
        <f>+H83*supuestos!$G$147</f>
        <v>77974.677627790254</v>
      </c>
      <c r="I133" s="108">
        <f>+I83*supuestos!$G$147</f>
        <v>85451.191870618568</v>
      </c>
      <c r="J133" s="108">
        <f>+J83*supuestos!$G$147</f>
        <v>94648.490277056277</v>
      </c>
      <c r="K133" s="108">
        <f>+K83*supuestos!$G$147</f>
        <v>104988.82477833303</v>
      </c>
      <c r="L133" s="108">
        <f>+L83*supuestos!$G$147</f>
        <v>115897.59276212871</v>
      </c>
      <c r="M133" s="108">
        <f>+M83*supuestos!$G$147</f>
        <v>127506.55163355856</v>
      </c>
      <c r="N133" s="108">
        <f>+N83*supuestos!$G$147</f>
        <v>140278.32953225804</v>
      </c>
      <c r="O133" s="108">
        <f>+O83*supuestos!$G$147</f>
        <v>154329.40099355415</v>
      </c>
      <c r="P133" s="108">
        <f>+P83*supuestos!$G$147</f>
        <v>169787.90730147818</v>
      </c>
      <c r="Q133" s="139">
        <f>+Q83*supuestos!$G$147</f>
        <v>186794.82509634958</v>
      </c>
    </row>
    <row r="134" spans="2:17" x14ac:dyDescent="0.45">
      <c r="B134" s="117" t="s">
        <v>92</v>
      </c>
      <c r="C134" s="108">
        <v>110322677.06999999</v>
      </c>
      <c r="D134" s="108">
        <v>101864492.33</v>
      </c>
      <c r="E134" s="108">
        <v>86810608.620000005</v>
      </c>
      <c r="F134" s="108">
        <v>76333894.319999993</v>
      </c>
      <c r="G134" s="108">
        <v>82191786.980000004</v>
      </c>
      <c r="H134" s="108">
        <f>+H83*supuestos!$G$148</f>
        <v>121977929.86312439</v>
      </c>
      <c r="I134" s="108">
        <f>+I83*supuestos!$G$148</f>
        <v>133673646.44287893</v>
      </c>
      <c r="J134" s="108">
        <f>+J83*supuestos!$G$148</f>
        <v>148061232.95276979</v>
      </c>
      <c r="K134" s="108">
        <f>+K83*supuestos!$G$148</f>
        <v>164236902.22040978</v>
      </c>
      <c r="L134" s="108">
        <f>+L83*supuestos!$G$148</f>
        <v>181301787.59732974</v>
      </c>
      <c r="M134" s="108">
        <f>+M83*supuestos!$G$148</f>
        <v>199462000.81119609</v>
      </c>
      <c r="N134" s="108">
        <f>+N83*supuestos!$G$148</f>
        <v>219441243.7673701</v>
      </c>
      <c r="O134" s="108">
        <f>+O83*supuestos!$G$148</f>
        <v>241421720.78054962</v>
      </c>
      <c r="P134" s="108">
        <f>+P83*supuestos!$G$148</f>
        <v>265603886.78086913</v>
      </c>
      <c r="Q134" s="139">
        <f>+Q83*supuestos!$G$148</f>
        <v>292208275.39884013</v>
      </c>
    </row>
    <row r="135" spans="2:17" x14ac:dyDescent="0.45">
      <c r="B135" s="117" t="s">
        <v>93</v>
      </c>
      <c r="C135" s="108">
        <v>80541377</v>
      </c>
      <c r="D135" s="108">
        <v>29453039</v>
      </c>
      <c r="E135" s="108">
        <v>0</v>
      </c>
      <c r="F135" s="108">
        <v>173649564</v>
      </c>
      <c r="G135" s="108">
        <v>73944854.760000005</v>
      </c>
      <c r="H135" s="108">
        <f>+H83*supuestos!$G$149</f>
        <v>90246755.07788299</v>
      </c>
      <c r="I135" s="108">
        <f>+I83*supuestos!$G$149</f>
        <v>98899963.660926312</v>
      </c>
      <c r="J135" s="108">
        <f>+J83*supuestos!$G$149</f>
        <v>109544782.74727243</v>
      </c>
      <c r="K135" s="108">
        <f>+K83*supuestos!$G$149</f>
        <v>121512535.14523193</v>
      </c>
      <c r="L135" s="108">
        <f>+L83*supuestos!$G$149</f>
        <v>134138184.16855268</v>
      </c>
      <c r="M135" s="108">
        <f>+M83*supuestos!$G$149</f>
        <v>147574223.91699731</v>
      </c>
      <c r="N135" s="108">
        <f>+N83*supuestos!$G$149</f>
        <v>162356093.45463115</v>
      </c>
      <c r="O135" s="108">
        <f>+O83*supuestos!$G$149</f>
        <v>178618598.71053597</v>
      </c>
      <c r="P135" s="108">
        <f>+P83*supuestos!$G$149</f>
        <v>196510048.53865197</v>
      </c>
      <c r="Q135" s="139">
        <f>+Q83*supuestos!$G$149</f>
        <v>216193607.24715811</v>
      </c>
    </row>
    <row r="136" spans="2:17" x14ac:dyDescent="0.45">
      <c r="B136" s="117"/>
      <c r="C136" s="108"/>
      <c r="D136" s="108"/>
      <c r="E136" s="108"/>
      <c r="F136" s="108"/>
      <c r="G136" s="108"/>
      <c r="H136" s="108"/>
      <c r="I136" s="109"/>
      <c r="J136" s="109"/>
      <c r="K136" s="109"/>
      <c r="L136" s="109"/>
      <c r="M136" s="109"/>
      <c r="N136" s="109"/>
      <c r="O136" s="109"/>
      <c r="P136" s="109"/>
      <c r="Q136" s="112"/>
    </row>
    <row r="137" spans="2:17" x14ac:dyDescent="0.45">
      <c r="B137" s="138" t="s">
        <v>95</v>
      </c>
      <c r="C137" s="72">
        <f>+C100-C102</f>
        <v>-1169449616.7799983</v>
      </c>
      <c r="D137" s="72">
        <f>+D100-D102</f>
        <v>-841842305.60999894</v>
      </c>
      <c r="E137" s="72">
        <f>+E100-E102</f>
        <v>128572974.28999877</v>
      </c>
      <c r="F137" s="72">
        <f t="shared" ref="F137:Q137" si="16">+F100-F102</f>
        <v>181822475.43999696</v>
      </c>
      <c r="G137" s="72">
        <f t="shared" si="16"/>
        <v>1203447666.7100015</v>
      </c>
      <c r="H137" s="72">
        <f>+H100-H102</f>
        <v>1188974085.688735</v>
      </c>
      <c r="I137" s="74">
        <f t="shared" si="16"/>
        <v>1302977528.2991514</v>
      </c>
      <c r="J137" s="74">
        <f t="shared" si="16"/>
        <v>1443219845.3729134</v>
      </c>
      <c r="K137" s="74">
        <f t="shared" si="16"/>
        <v>1600891414.3155651</v>
      </c>
      <c r="L137" s="74">
        <f t="shared" si="16"/>
        <v>1767230575.106163</v>
      </c>
      <c r="M137" s="74">
        <f t="shared" si="16"/>
        <v>1944246392.0338511</v>
      </c>
      <c r="N137" s="74">
        <f t="shared" si="16"/>
        <v>2138993115.0945454</v>
      </c>
      <c r="O137" s="74">
        <f t="shared" si="16"/>
        <v>2353246772.2034469</v>
      </c>
      <c r="P137" s="74">
        <f t="shared" si="16"/>
        <v>2588961288.2840748</v>
      </c>
      <c r="Q137" s="141">
        <f t="shared" si="16"/>
        <v>2848286304.4395008</v>
      </c>
    </row>
    <row r="138" spans="2:17" x14ac:dyDescent="0.45">
      <c r="B138" s="117"/>
      <c r="C138" s="108"/>
      <c r="D138" s="108"/>
      <c r="E138" s="108"/>
      <c r="F138" s="108"/>
      <c r="G138" s="108"/>
      <c r="H138" s="108"/>
      <c r="I138" s="109"/>
      <c r="J138" s="109"/>
      <c r="K138" s="109"/>
      <c r="L138" s="109"/>
      <c r="M138" s="109"/>
      <c r="N138" s="109"/>
      <c r="O138" s="109"/>
      <c r="P138" s="109"/>
      <c r="Q138" s="112"/>
    </row>
    <row r="139" spans="2:17" x14ac:dyDescent="0.45">
      <c r="B139" s="138" t="s">
        <v>96</v>
      </c>
      <c r="C139" s="72">
        <f>SUM(C140:C146)</f>
        <v>409044001.94</v>
      </c>
      <c r="D139" s="72">
        <f t="shared" ref="D139:Q139" si="17">SUM(D140:D146)</f>
        <v>504940033.42000002</v>
      </c>
      <c r="E139" s="72">
        <f t="shared" si="17"/>
        <v>53286128.07</v>
      </c>
      <c r="F139" s="72">
        <f t="shared" si="17"/>
        <v>484965782.91000003</v>
      </c>
      <c r="G139" s="72">
        <f t="shared" si="17"/>
        <v>542756618.27999997</v>
      </c>
      <c r="H139" s="72">
        <f t="shared" si="17"/>
        <v>592210565.04768455</v>
      </c>
      <c r="I139" s="74">
        <f t="shared" si="17"/>
        <v>648994008.84039581</v>
      </c>
      <c r="J139" s="74">
        <f t="shared" si="17"/>
        <v>718846651.41480291</v>
      </c>
      <c r="K139" s="74">
        <f t="shared" si="17"/>
        <v>797380548.88103223</v>
      </c>
      <c r="L139" s="74">
        <f t="shared" si="17"/>
        <v>880231646.80407476</v>
      </c>
      <c r="M139" s="74">
        <f t="shared" si="17"/>
        <v>968400630.65909195</v>
      </c>
      <c r="N139" s="74">
        <f t="shared" si="17"/>
        <v>1065401118.9734762</v>
      </c>
      <c r="O139" s="74">
        <f t="shared" si="17"/>
        <v>1172117725.2201931</v>
      </c>
      <c r="P139" s="74">
        <f t="shared" si="17"/>
        <v>1289523670.7645721</v>
      </c>
      <c r="Q139" s="141">
        <f t="shared" si="17"/>
        <v>1418689660.3323286</v>
      </c>
    </row>
    <row r="140" spans="2:17" x14ac:dyDescent="0.45">
      <c r="B140" s="117" t="s">
        <v>85</v>
      </c>
      <c r="C140" s="108">
        <v>43096</v>
      </c>
      <c r="D140" s="108">
        <v>40923</v>
      </c>
      <c r="E140" s="108">
        <v>38808</v>
      </c>
      <c r="F140" s="108">
        <v>665357</v>
      </c>
      <c r="G140" s="108">
        <v>4671122</v>
      </c>
      <c r="H140" s="143">
        <f>+(G140/$G$83)*$H$83</f>
        <v>5096737.1117335381</v>
      </c>
      <c r="I140" s="143">
        <f>+(H140/$H$83)*$I$83</f>
        <v>5585432.0158628561</v>
      </c>
      <c r="J140" s="143">
        <f>+(I140/$I$83)*$J$83</f>
        <v>6186604.2623136975</v>
      </c>
      <c r="K140" s="143">
        <f>+(J140/$J$83)*$K$83</f>
        <v>6862489.9242200814</v>
      </c>
      <c r="L140" s="143">
        <f>+(K140/$K$83)*$L$83</f>
        <v>7575530.6743428688</v>
      </c>
      <c r="M140" s="143">
        <f>+(L140/$L$83)*$M$83</f>
        <v>8334338.7041886682</v>
      </c>
      <c r="N140" s="143">
        <f>+(M140/$M$83)*$N$83</f>
        <v>9169153.241157271</v>
      </c>
      <c r="O140" s="143">
        <f>+(N140/$N$83)*$O$83</f>
        <v>10087587.527198929</v>
      </c>
      <c r="P140" s="143">
        <f>+(O140/$O$83)*$P$83</f>
        <v>11098017.389668578</v>
      </c>
      <c r="Q140" s="144">
        <f>+(P140/$P$83)*$Q$83</f>
        <v>12209657.626196209</v>
      </c>
    </row>
    <row r="141" spans="2:17" x14ac:dyDescent="0.45">
      <c r="B141" s="117" t="s">
        <v>97</v>
      </c>
      <c r="C141" s="108">
        <v>11464346.73</v>
      </c>
      <c r="D141" s="108">
        <v>26957111.170000002</v>
      </c>
      <c r="E141" s="108">
        <v>3938432.62</v>
      </c>
      <c r="F141" s="108">
        <v>2962414.74</v>
      </c>
      <c r="G141" s="108">
        <v>2761668.53</v>
      </c>
      <c r="H141" s="143">
        <f t="shared" ref="H141:H146" si="18">+(G141/$G$83)*$H$83</f>
        <v>3013301.4053492085</v>
      </c>
      <c r="I141" s="143">
        <f t="shared" ref="I141:I146" si="19">+(H141/$H$83)*$I$83</f>
        <v>3302228.4206370353</v>
      </c>
      <c r="J141" s="143">
        <f t="shared" ref="J141:J146" si="20">+(I141/$I$83)*$J$83</f>
        <v>3657654.4776170696</v>
      </c>
      <c r="K141" s="143">
        <f t="shared" ref="K141:K146" si="21">+(J141/$J$83)*$K$83</f>
        <v>4057252.7245404171</v>
      </c>
      <c r="L141" s="143">
        <f t="shared" ref="L141:L146" si="22">+(K141/$K$83)*$L$83</f>
        <v>4478817.8646120522</v>
      </c>
      <c r="M141" s="143">
        <f t="shared" ref="M141:M146" si="23">+(L141/$L$83)*$M$83</f>
        <v>4927441.6120407088</v>
      </c>
      <c r="N141" s="143">
        <f t="shared" ref="N141:N146" si="24">+(M141/$M$83)*$N$83</f>
        <v>5421002.0532222306</v>
      </c>
      <c r="O141" s="143">
        <f t="shared" ref="O141:O146" si="25">+(N141/$N$83)*$O$83</f>
        <v>5964000.3017445914</v>
      </c>
      <c r="P141" s="143">
        <f t="shared" ref="P141:P146" si="26">+(O141/$O$83)*$P$83</f>
        <v>6561388.3282090379</v>
      </c>
      <c r="Q141" s="144">
        <f t="shared" ref="Q141:Q146" si="27">+(P141/$P$83)*$Q$83</f>
        <v>7218614.1206203932</v>
      </c>
    </row>
    <row r="142" spans="2:17" x14ac:dyDescent="0.45">
      <c r="B142" s="117" t="s">
        <v>98</v>
      </c>
      <c r="C142" s="108">
        <v>126430541</v>
      </c>
      <c r="D142" s="108">
        <v>30570784.920000002</v>
      </c>
      <c r="E142" s="108">
        <v>1357737.13</v>
      </c>
      <c r="F142" s="108">
        <v>21523641</v>
      </c>
      <c r="G142" s="108">
        <v>19917921</v>
      </c>
      <c r="H142" s="143">
        <f>+(G142/$G$83)*$H$83</f>
        <v>21732767.234355427</v>
      </c>
      <c r="I142" s="143">
        <f t="shared" si="19"/>
        <v>23816589.171258453</v>
      </c>
      <c r="J142" s="143">
        <f t="shared" si="20"/>
        <v>26380020.679191746</v>
      </c>
      <c r="K142" s="143">
        <f t="shared" si="21"/>
        <v>29262034.297950596</v>
      </c>
      <c r="L142" s="143">
        <f t="shared" si="22"/>
        <v>32302479.255441841</v>
      </c>
      <c r="M142" s="143">
        <f t="shared" si="23"/>
        <v>35538078.409699477</v>
      </c>
      <c r="N142" s="143">
        <f t="shared" si="24"/>
        <v>39097773.488738775</v>
      </c>
      <c r="O142" s="143">
        <f t="shared" si="25"/>
        <v>43014027.7747688</v>
      </c>
      <c r="P142" s="143">
        <f t="shared" si="26"/>
        <v>47322556.256086856</v>
      </c>
      <c r="Q142" s="144">
        <f t="shared" si="27"/>
        <v>52062651.336364925</v>
      </c>
    </row>
    <row r="143" spans="2:17" x14ac:dyDescent="0.45">
      <c r="B143" s="117" t="s">
        <v>99</v>
      </c>
      <c r="C143" s="108"/>
      <c r="D143" s="108"/>
      <c r="E143" s="108">
        <v>19787383</v>
      </c>
      <c r="F143" s="108">
        <v>59908660.43</v>
      </c>
      <c r="G143" s="108">
        <v>0</v>
      </c>
      <c r="H143" s="143">
        <f t="shared" si="18"/>
        <v>0</v>
      </c>
      <c r="I143" s="143">
        <f t="shared" si="19"/>
        <v>0</v>
      </c>
      <c r="J143" s="143">
        <f t="shared" si="20"/>
        <v>0</v>
      </c>
      <c r="K143" s="143">
        <f t="shared" si="21"/>
        <v>0</v>
      </c>
      <c r="L143" s="143">
        <f t="shared" si="22"/>
        <v>0</v>
      </c>
      <c r="M143" s="143">
        <f t="shared" si="23"/>
        <v>0</v>
      </c>
      <c r="N143" s="143">
        <f t="shared" si="24"/>
        <v>0</v>
      </c>
      <c r="O143" s="143">
        <f t="shared" si="25"/>
        <v>0</v>
      </c>
      <c r="P143" s="143">
        <f t="shared" si="26"/>
        <v>0</v>
      </c>
      <c r="Q143" s="144">
        <f t="shared" si="27"/>
        <v>0</v>
      </c>
    </row>
    <row r="144" spans="2:17" x14ac:dyDescent="0.45">
      <c r="B144" s="117" t="s">
        <v>100</v>
      </c>
      <c r="C144" s="108">
        <v>266413039</v>
      </c>
      <c r="D144" s="108">
        <v>420056149</v>
      </c>
      <c r="E144" s="108">
        <v>0</v>
      </c>
      <c r="F144" s="108">
        <v>359110490</v>
      </c>
      <c r="G144" s="108">
        <v>429305104</v>
      </c>
      <c r="H144" s="143">
        <f>+(G144/$G$83)*$H$83</f>
        <v>468421774.42880458</v>
      </c>
      <c r="I144" s="143">
        <f t="shared" si="19"/>
        <v>513335869.29541415</v>
      </c>
      <c r="J144" s="143">
        <f t="shared" si="20"/>
        <v>568587330.03321803</v>
      </c>
      <c r="K144" s="143">
        <f t="shared" si="21"/>
        <v>630705417.37429559</v>
      </c>
      <c r="L144" s="143">
        <f t="shared" si="22"/>
        <v>696238287.93252575</v>
      </c>
      <c r="M144" s="143">
        <f t="shared" si="23"/>
        <v>765977455.56055725</v>
      </c>
      <c r="N144" s="143">
        <f t="shared" si="24"/>
        <v>842702092.94190121</v>
      </c>
      <c r="O144" s="143">
        <f t="shared" si="25"/>
        <v>927111904.26480818</v>
      </c>
      <c r="P144" s="143">
        <f t="shared" si="26"/>
        <v>1019976680.0493495</v>
      </c>
      <c r="Q144" s="144">
        <f t="shared" si="27"/>
        <v>1122143317.3911016</v>
      </c>
    </row>
    <row r="145" spans="2:17" x14ac:dyDescent="0.45">
      <c r="B145" s="117" t="s">
        <v>101</v>
      </c>
      <c r="C145" s="108">
        <v>4692979.21</v>
      </c>
      <c r="D145" s="108">
        <v>27315065.329999998</v>
      </c>
      <c r="E145" s="108">
        <v>26834414</v>
      </c>
      <c r="F145" s="108">
        <v>17364169</v>
      </c>
      <c r="G145" s="108">
        <v>79858808.239999995</v>
      </c>
      <c r="H145" s="143">
        <f>+(G145/$G$83)*$H$83</f>
        <v>87135243.236126155</v>
      </c>
      <c r="I145" s="143">
        <f t="shared" si="19"/>
        <v>95490108.006673455</v>
      </c>
      <c r="J145" s="143">
        <f t="shared" si="20"/>
        <v>105767916.88182759</v>
      </c>
      <c r="K145" s="143">
        <f t="shared" si="21"/>
        <v>117323047.20519476</v>
      </c>
      <c r="L145" s="143">
        <f t="shared" si="22"/>
        <v>129513391.30910842</v>
      </c>
      <c r="M145" s="143">
        <f t="shared" si="23"/>
        <v>142486185.62842354</v>
      </c>
      <c r="N145" s="143">
        <f t="shared" si="24"/>
        <v>156758408.45277712</v>
      </c>
      <c r="O145" s="143">
        <f t="shared" si="25"/>
        <v>172460217.8959991</v>
      </c>
      <c r="P145" s="143">
        <f t="shared" si="26"/>
        <v>189734809.44529566</v>
      </c>
      <c r="Q145" s="144">
        <f t="shared" si="27"/>
        <v>208739721.85835794</v>
      </c>
    </row>
    <row r="146" spans="2:17" x14ac:dyDescent="0.45">
      <c r="B146" s="117" t="s">
        <v>102</v>
      </c>
      <c r="C146" s="108"/>
      <c r="D146" s="108"/>
      <c r="E146" s="108">
        <v>1329353.32</v>
      </c>
      <c r="F146" s="108">
        <v>23431050.739999998</v>
      </c>
      <c r="G146" s="108">
        <v>6241994.5099999998</v>
      </c>
      <c r="H146" s="143">
        <f t="shared" si="18"/>
        <v>6810741.6313155601</v>
      </c>
      <c r="I146" s="143">
        <f t="shared" si="19"/>
        <v>7463781.9305499149</v>
      </c>
      <c r="J146" s="143">
        <f t="shared" si="20"/>
        <v>8267125.0806347374</v>
      </c>
      <c r="K146" s="143">
        <f t="shared" si="21"/>
        <v>9170307.354830822</v>
      </c>
      <c r="L146" s="143">
        <f t="shared" si="22"/>
        <v>10123139.768043904</v>
      </c>
      <c r="M146" s="143">
        <f t="shared" si="23"/>
        <v>11137130.744182268</v>
      </c>
      <c r="N146" s="143">
        <f t="shared" si="24"/>
        <v>12252688.795679577</v>
      </c>
      <c r="O146" s="143">
        <f t="shared" si="25"/>
        <v>13479987.455673426</v>
      </c>
      <c r="P146" s="143">
        <f t="shared" si="26"/>
        <v>14830219.295962678</v>
      </c>
      <c r="Q146" s="144">
        <f t="shared" si="27"/>
        <v>16315697.999687515</v>
      </c>
    </row>
    <row r="147" spans="2:17" x14ac:dyDescent="0.45">
      <c r="B147" s="117"/>
      <c r="C147" s="108"/>
      <c r="D147" s="108"/>
      <c r="E147" s="108"/>
      <c r="F147" s="108"/>
      <c r="G147" s="108"/>
      <c r="H147" s="143"/>
      <c r="I147" s="109"/>
      <c r="J147" s="109"/>
      <c r="K147" s="109"/>
      <c r="L147" s="109"/>
      <c r="M147" s="109"/>
      <c r="N147" s="109"/>
      <c r="O147" s="109"/>
      <c r="P147" s="109"/>
      <c r="Q147" s="112"/>
    </row>
    <row r="148" spans="2:17" x14ac:dyDescent="0.45">
      <c r="B148" s="138" t="s">
        <v>103</v>
      </c>
      <c r="C148" s="72">
        <f t="shared" ref="C148:H148" si="28">SUM(C149:C154)</f>
        <v>371937399.13</v>
      </c>
      <c r="D148" s="72">
        <f t="shared" si="28"/>
        <v>514490177.81</v>
      </c>
      <c r="E148" s="72">
        <f t="shared" si="28"/>
        <v>1206099404.03</v>
      </c>
      <c r="F148" s="72">
        <f t="shared" si="28"/>
        <v>1013533763.33</v>
      </c>
      <c r="G148" s="72">
        <f t="shared" si="28"/>
        <v>1075249864.3900001</v>
      </c>
      <c r="H148" s="72">
        <f t="shared" si="28"/>
        <v>765767472.04513609</v>
      </c>
      <c r="I148" s="72">
        <f t="shared" ref="I148:Q148" si="29">SUM(I149:I154)</f>
        <v>837663613.53255916</v>
      </c>
      <c r="J148" s="72">
        <f t="shared" si="29"/>
        <v>898995722.69507468</v>
      </c>
      <c r="K148" s="72">
        <f t="shared" si="29"/>
        <v>927261454.74828017</v>
      </c>
      <c r="L148" s="72">
        <f t="shared" si="29"/>
        <v>938735228.50383735</v>
      </c>
      <c r="M148" s="72">
        <f t="shared" si="29"/>
        <v>917116269.69651973</v>
      </c>
      <c r="N148" s="72">
        <f t="shared" si="29"/>
        <v>954438398.29115319</v>
      </c>
      <c r="O148" s="72">
        <f t="shared" si="29"/>
        <v>985954359.41975832</v>
      </c>
      <c r="P148" s="72">
        <f t="shared" si="29"/>
        <v>1014214966.4801652</v>
      </c>
      <c r="Q148" s="72">
        <f t="shared" si="29"/>
        <v>1044809256.1307276</v>
      </c>
    </row>
    <row r="149" spans="2:17" x14ac:dyDescent="0.45">
      <c r="B149" s="117" t="s">
        <v>238</v>
      </c>
      <c r="C149" s="108">
        <v>13103947.66</v>
      </c>
      <c r="D149" s="108">
        <v>17709027.620000001</v>
      </c>
      <c r="E149" s="108">
        <v>7162417.6799999997</v>
      </c>
      <c r="F149" s="108">
        <v>11038252.199999999</v>
      </c>
      <c r="G149" s="108">
        <v>7975225.6299999999</v>
      </c>
      <c r="H149" s="108">
        <f>+(G149/G83)*H83</f>
        <v>8701898.2683110144</v>
      </c>
      <c r="I149" s="108">
        <f t="shared" ref="I149:Q149" si="30">+(H149/H83)*I83</f>
        <v>9536269.994132461</v>
      </c>
      <c r="J149" s="108">
        <f t="shared" si="30"/>
        <v>10562679.560814602</v>
      </c>
      <c r="K149" s="108">
        <f t="shared" si="30"/>
        <v>11716650.84518382</v>
      </c>
      <c r="L149" s="108">
        <f t="shared" si="30"/>
        <v>12934058.753950424</v>
      </c>
      <c r="M149" s="108">
        <f t="shared" si="30"/>
        <v>14229607.285518646</v>
      </c>
      <c r="N149" s="108">
        <f t="shared" si="30"/>
        <v>15654925.290813431</v>
      </c>
      <c r="O149" s="108">
        <f t="shared" si="30"/>
        <v>17223011.214818452</v>
      </c>
      <c r="P149" s="108">
        <f t="shared" si="30"/>
        <v>18948165.500338145</v>
      </c>
      <c r="Q149" s="108">
        <f t="shared" si="30"/>
        <v>20846121.003468748</v>
      </c>
    </row>
    <row r="150" spans="2:17" x14ac:dyDescent="0.45">
      <c r="B150" s="117" t="s">
        <v>239</v>
      </c>
      <c r="C150" s="108">
        <v>69476636.390000001</v>
      </c>
      <c r="D150" s="108">
        <v>60599227.549999997</v>
      </c>
      <c r="E150" s="108">
        <v>46258325.990000002</v>
      </c>
      <c r="F150" s="108">
        <v>58767904.259999998</v>
      </c>
      <c r="G150" s="108">
        <v>64182338.960000001</v>
      </c>
      <c r="H150" s="108">
        <f>+(G150/G83)*H83</f>
        <v>70030392.889608398</v>
      </c>
      <c r="I150" s="108">
        <f t="shared" ref="I150:Q150" si="31">+(H150/H83)*I83</f>
        <v>76745178.32763648</v>
      </c>
      <c r="J150" s="108">
        <f t="shared" si="31"/>
        <v>85005429.482509449</v>
      </c>
      <c r="K150" s="108">
        <f t="shared" si="31"/>
        <v>94292260.922724351</v>
      </c>
      <c r="L150" s="108">
        <f t="shared" si="31"/>
        <v>104089612.20506582</v>
      </c>
      <c r="M150" s="108">
        <f t="shared" si="31"/>
        <v>114515816.91073029</v>
      </c>
      <c r="N150" s="108">
        <f t="shared" si="31"/>
        <v>125986369.29203275</v>
      </c>
      <c r="O150" s="108">
        <f t="shared" si="31"/>
        <v>138605877.12317297</v>
      </c>
      <c r="P150" s="108">
        <f t="shared" si="31"/>
        <v>152489426.2850945</v>
      </c>
      <c r="Q150" s="108">
        <f t="shared" si="31"/>
        <v>167763630.31196234</v>
      </c>
    </row>
    <row r="151" spans="2:17" x14ac:dyDescent="0.45">
      <c r="B151" s="117" t="s">
        <v>241</v>
      </c>
      <c r="C151" s="108">
        <v>43051967.009999998</v>
      </c>
      <c r="D151" s="108">
        <v>16758979.039999999</v>
      </c>
      <c r="E151" s="108">
        <v>218070104.58000001</v>
      </c>
      <c r="F151" s="108">
        <v>269704275.00999999</v>
      </c>
      <c r="G151" s="108">
        <v>29217632.489999998</v>
      </c>
      <c r="H151" s="108">
        <f>+(G151/G83)*H83</f>
        <v>31879833.545082867</v>
      </c>
      <c r="I151" s="108">
        <f t="shared" ref="I151:Q151" si="32">+(H151/H83)*I83</f>
        <v>34936595.519740388</v>
      </c>
      <c r="J151" s="108">
        <f t="shared" si="32"/>
        <v>38696897.597054653</v>
      </c>
      <c r="K151" s="108">
        <f t="shared" si="32"/>
        <v>42924528.319361016</v>
      </c>
      <c r="L151" s="108">
        <f t="shared" si="32"/>
        <v>47384562.244289868</v>
      </c>
      <c r="M151" s="108">
        <f t="shared" si="32"/>
        <v>52130868.195300251</v>
      </c>
      <c r="N151" s="108">
        <f t="shared" si="32"/>
        <v>57352591.014455512</v>
      </c>
      <c r="O151" s="108">
        <f t="shared" si="32"/>
        <v>63097351.14612852</v>
      </c>
      <c r="P151" s="108">
        <f t="shared" si="32"/>
        <v>69417538.967932239</v>
      </c>
      <c r="Q151" s="108">
        <f t="shared" si="32"/>
        <v>76370792.574230894</v>
      </c>
    </row>
    <row r="152" spans="2:17" x14ac:dyDescent="0.45">
      <c r="B152" s="117" t="s">
        <v>125</v>
      </c>
      <c r="C152" s="108">
        <v>77826310.989999995</v>
      </c>
      <c r="D152" s="108">
        <v>366873974.38999999</v>
      </c>
      <c r="E152" s="108">
        <v>794152363.49000001</v>
      </c>
      <c r="F152" s="108">
        <v>595213574.51999998</v>
      </c>
      <c r="G152" s="108">
        <v>856117473.86000001</v>
      </c>
      <c r="H152" s="108">
        <f>+(supuestos!G175)*supuestos!G179</f>
        <v>526668560.221138</v>
      </c>
      <c r="I152" s="108">
        <f>+(supuestos!H175)*supuestos!H179</f>
        <v>575638971.53459287</v>
      </c>
      <c r="J152" s="108">
        <f>+(supuestos!I175)*supuestos!I179</f>
        <v>608768796.21704912</v>
      </c>
      <c r="K152" s="108">
        <f>+(supuestos!J175)*supuestos!J179</f>
        <v>605327276.60384619</v>
      </c>
      <c r="L152" s="108">
        <f>+(supuestos!K175)*supuestos!K179</f>
        <v>583350773.50521052</v>
      </c>
      <c r="M152" s="108">
        <f>+(supuestos!L175)*supuestos!L179</f>
        <v>526134496.20921516</v>
      </c>
      <c r="N152" s="108">
        <f>+(supuestos!M175)*supuestos!M179</f>
        <v>524293677.41452217</v>
      </c>
      <c r="O152" s="108">
        <f>+(supuestos!N175)*supuestos!N179</f>
        <v>512723908.68100375</v>
      </c>
      <c r="P152" s="108">
        <f>+(supuestos!O175)*supuestos!O179</f>
        <v>493583075.31106579</v>
      </c>
      <c r="Q152" s="108">
        <f>+(supuestos!P175)*supuestos!P179</f>
        <v>472027927.96562719</v>
      </c>
    </row>
    <row r="153" spans="2:17" x14ac:dyDescent="0.45">
      <c r="B153" s="117" t="s">
        <v>240</v>
      </c>
      <c r="C153" s="108">
        <v>52341151</v>
      </c>
      <c r="D153" s="108">
        <v>17209004</v>
      </c>
      <c r="E153" s="108">
        <v>5441188.1399999997</v>
      </c>
      <c r="F153" s="108">
        <v>9207876</v>
      </c>
      <c r="G153" s="108">
        <v>5688964</v>
      </c>
      <c r="H153" s="288">
        <f>+(G153/G83)*H83</f>
        <v>6207321.0560794771</v>
      </c>
      <c r="I153" s="288">
        <f t="shared" ref="I153:Q153" si="33">+(H153/H83)*I83</f>
        <v>6802503.0523054674</v>
      </c>
      <c r="J153" s="288">
        <f t="shared" si="33"/>
        <v>7534671.3124917699</v>
      </c>
      <c r="K153" s="288">
        <f t="shared" si="33"/>
        <v>8357833.1135968557</v>
      </c>
      <c r="L153" s="288">
        <f t="shared" si="33"/>
        <v>9226246.1325635053</v>
      </c>
      <c r="M153" s="288">
        <f t="shared" si="33"/>
        <v>10150399.165754177</v>
      </c>
      <c r="N153" s="288">
        <f t="shared" si="33"/>
        <v>11167120.597455394</v>
      </c>
      <c r="O153" s="288">
        <f t="shared" si="33"/>
        <v>12285682.602399109</v>
      </c>
      <c r="P153" s="288">
        <f t="shared" si="33"/>
        <v>13516286.108818933</v>
      </c>
      <c r="Q153" s="288">
        <f t="shared" si="33"/>
        <v>14870153.827657614</v>
      </c>
    </row>
    <row r="154" spans="2:17" x14ac:dyDescent="0.45">
      <c r="B154" s="117" t="s">
        <v>104</v>
      </c>
      <c r="C154" s="108">
        <v>116137386.08</v>
      </c>
      <c r="D154" s="108">
        <v>35339965.210000001</v>
      </c>
      <c r="E154" s="108">
        <v>135015004.15000001</v>
      </c>
      <c r="F154" s="108">
        <v>69601881.340000004</v>
      </c>
      <c r="G154" s="108">
        <v>112068229.45</v>
      </c>
      <c r="H154" s="143">
        <f t="shared" ref="H154:Q154" si="34">+(G154/G83)*H83</f>
        <v>122279466.0649164</v>
      </c>
      <c r="I154" s="143">
        <f t="shared" si="34"/>
        <v>134004095.10415155</v>
      </c>
      <c r="J154" s="143">
        <f t="shared" si="34"/>
        <v>148427248.52515507</v>
      </c>
      <c r="K154" s="143">
        <f t="shared" si="34"/>
        <v>164642904.94356799</v>
      </c>
      <c r="L154" s="143">
        <f t="shared" si="34"/>
        <v>181749975.66275722</v>
      </c>
      <c r="M154" s="143">
        <f t="shared" si="34"/>
        <v>199955081.93000126</v>
      </c>
      <c r="N154" s="143">
        <f t="shared" si="34"/>
        <v>219983714.68187392</v>
      </c>
      <c r="O154" s="143">
        <f t="shared" si="34"/>
        <v>242018528.65223551</v>
      </c>
      <c r="P154" s="143">
        <f t="shared" si="34"/>
        <v>266260474.30691561</v>
      </c>
      <c r="Q154" s="144">
        <f t="shared" si="34"/>
        <v>292930630.44778085</v>
      </c>
    </row>
    <row r="155" spans="2:17" x14ac:dyDescent="0.45">
      <c r="B155" s="117"/>
      <c r="C155" s="108"/>
      <c r="D155" s="108"/>
      <c r="E155" s="108"/>
      <c r="F155" s="108"/>
      <c r="G155" s="108"/>
      <c r="H155" s="108"/>
      <c r="I155" s="109"/>
      <c r="J155" s="109"/>
      <c r="K155" s="109"/>
      <c r="L155" s="109"/>
      <c r="M155" s="109"/>
      <c r="N155" s="109"/>
      <c r="O155" s="109"/>
      <c r="P155" s="109"/>
      <c r="Q155" s="112"/>
    </row>
    <row r="156" spans="2:17" x14ac:dyDescent="0.45">
      <c r="B156" s="138" t="s">
        <v>105</v>
      </c>
      <c r="C156" s="72">
        <f t="shared" ref="C156:I156" si="35">+C137+C139-C148</f>
        <v>-1132343013.9699984</v>
      </c>
      <c r="D156" s="72">
        <f t="shared" si="35"/>
        <v>-851392449.99999893</v>
      </c>
      <c r="E156" s="72">
        <f t="shared" si="35"/>
        <v>-1024240301.6700013</v>
      </c>
      <c r="F156" s="72">
        <f t="shared" si="35"/>
        <v>-346745504.980003</v>
      </c>
      <c r="G156" s="72">
        <f t="shared" si="35"/>
        <v>670954420.60000134</v>
      </c>
      <c r="H156" s="72">
        <f t="shared" si="35"/>
        <v>1015417178.6912836</v>
      </c>
      <c r="I156" s="74">
        <f t="shared" si="35"/>
        <v>1114307923.6069882</v>
      </c>
      <c r="J156" s="74">
        <f t="shared" ref="J156:Q156" si="36">+J137+J139-J148</f>
        <v>1263070774.0926418</v>
      </c>
      <c r="K156" s="74">
        <f t="shared" si="36"/>
        <v>1471010508.4483171</v>
      </c>
      <c r="L156" s="74">
        <f t="shared" si="36"/>
        <v>1708726993.4064004</v>
      </c>
      <c r="M156" s="74">
        <f t="shared" si="36"/>
        <v>1995530752.9964232</v>
      </c>
      <c r="N156" s="74">
        <f t="shared" si="36"/>
        <v>2249955835.7768688</v>
      </c>
      <c r="O156" s="74">
        <f t="shared" si="36"/>
        <v>2539410138.0038819</v>
      </c>
      <c r="P156" s="74">
        <f t="shared" si="36"/>
        <v>2864269992.5684814</v>
      </c>
      <c r="Q156" s="74">
        <f t="shared" si="36"/>
        <v>3222166708.6411018</v>
      </c>
    </row>
    <row r="157" spans="2:17" x14ac:dyDescent="0.45">
      <c r="B157" s="117"/>
      <c r="C157" s="108"/>
      <c r="D157" s="108"/>
      <c r="E157" s="108"/>
      <c r="F157" s="108"/>
      <c r="G157" s="108"/>
      <c r="H157" s="108"/>
      <c r="I157" s="109"/>
      <c r="J157" s="109"/>
      <c r="K157" s="109"/>
      <c r="L157" s="109"/>
      <c r="M157" s="109"/>
      <c r="N157" s="109"/>
      <c r="O157" s="109"/>
      <c r="P157" s="109"/>
      <c r="Q157" s="112"/>
    </row>
    <row r="158" spans="2:17" x14ac:dyDescent="0.45">
      <c r="B158" s="117" t="s">
        <v>106</v>
      </c>
      <c r="C158" s="108">
        <v>38448000</v>
      </c>
      <c r="D158" s="108">
        <v>20964000</v>
      </c>
      <c r="E158" s="108">
        <v>13673000</v>
      </c>
      <c r="F158" s="108">
        <v>0</v>
      </c>
      <c r="G158" s="108"/>
      <c r="H158" s="108">
        <f>+H156*supuestos!$B$163</f>
        <v>35539601.25419493</v>
      </c>
      <c r="I158" s="108">
        <f>+I156*supuestos!$B$163</f>
        <v>39000777.326244593</v>
      </c>
      <c r="J158" s="108">
        <f>+J156*supuestos!$B$163</f>
        <v>44207477.093242466</v>
      </c>
      <c r="K158" s="108">
        <f>+K156*supuestos!$B$163</f>
        <v>51485367.795691103</v>
      </c>
      <c r="L158" s="108">
        <f>+L156*supuestos!$B$163</f>
        <v>59805444.769224018</v>
      </c>
      <c r="M158" s="108">
        <f>+M156*supuestos!$B$163</f>
        <v>69843576.35487482</v>
      </c>
      <c r="N158" s="108">
        <f>+N156*supuestos!$B$163</f>
        <v>78748454.252190411</v>
      </c>
      <c r="O158" s="108">
        <f>+O156*supuestos!$B$163</f>
        <v>88879354.830135882</v>
      </c>
      <c r="P158" s="108">
        <f>+P156*supuestos!$B$163</f>
        <v>100249449.73989686</v>
      </c>
      <c r="Q158" s="139">
        <f>+Q156*supuestos!$B$163</f>
        <v>112775834.80243857</v>
      </c>
    </row>
    <row r="159" spans="2:17" x14ac:dyDescent="0.45">
      <c r="B159" s="121" t="s">
        <v>107</v>
      </c>
      <c r="C159" s="137">
        <f>+C156-C158</f>
        <v>-1170791013.9699984</v>
      </c>
      <c r="D159" s="137">
        <f t="shared" ref="D159:Q159" si="37">+D156-D158</f>
        <v>-872356449.99999893</v>
      </c>
      <c r="E159" s="137">
        <f t="shared" si="37"/>
        <v>-1037913301.6700013</v>
      </c>
      <c r="F159" s="137">
        <f t="shared" si="37"/>
        <v>-346745504.980003</v>
      </c>
      <c r="G159" s="137">
        <f t="shared" si="37"/>
        <v>670954420.60000134</v>
      </c>
      <c r="H159" s="137">
        <f t="shared" si="37"/>
        <v>979877577.43708861</v>
      </c>
      <c r="I159" s="289">
        <f>+I156-I158</f>
        <v>1075307146.2807436</v>
      </c>
      <c r="J159" s="137">
        <f t="shared" si="37"/>
        <v>1218863296.9993994</v>
      </c>
      <c r="K159" s="137">
        <f t="shared" si="37"/>
        <v>1419525140.652626</v>
      </c>
      <c r="L159" s="137">
        <f t="shared" si="37"/>
        <v>1648921548.6371765</v>
      </c>
      <c r="M159" s="137">
        <f t="shared" si="37"/>
        <v>1925687176.6415484</v>
      </c>
      <c r="N159" s="137">
        <f t="shared" si="37"/>
        <v>2171207381.5246782</v>
      </c>
      <c r="O159" s="137">
        <f t="shared" si="37"/>
        <v>2450530783.1737461</v>
      </c>
      <c r="P159" s="137">
        <f t="shared" si="37"/>
        <v>2764020542.8285847</v>
      </c>
      <c r="Q159" s="145">
        <f t="shared" si="37"/>
        <v>3109390873.8386631</v>
      </c>
    </row>
    <row r="161" spans="2:18" x14ac:dyDescent="0.45"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</row>
    <row r="164" spans="2:18" x14ac:dyDescent="0.45">
      <c r="B164" s="291" t="str">
        <f t="shared" ref="B164:Q164" si="38">+B7</f>
        <v xml:space="preserve">Disponible </v>
      </c>
      <c r="C164" s="152">
        <f t="shared" si="38"/>
        <v>108691940.19</v>
      </c>
      <c r="D164" s="152">
        <f t="shared" si="38"/>
        <v>164477119.77000001</v>
      </c>
      <c r="E164" s="152">
        <f t="shared" si="38"/>
        <v>150871075.40000001</v>
      </c>
      <c r="F164" s="152">
        <f t="shared" si="38"/>
        <v>404559689.86000001</v>
      </c>
      <c r="G164" s="152">
        <f t="shared" si="38"/>
        <v>863340643.92999995</v>
      </c>
      <c r="H164" s="152">
        <f t="shared" si="38"/>
        <v>942344186.51626754</v>
      </c>
      <c r="I164" s="152">
        <f t="shared" si="38"/>
        <v>1032699798.7031698</v>
      </c>
      <c r="J164" s="152">
        <f t="shared" si="38"/>
        <v>1143851533.4539523</v>
      </c>
      <c r="K164" s="152">
        <f t="shared" si="38"/>
        <v>1268817155.6322849</v>
      </c>
      <c r="L164" s="152">
        <f t="shared" si="38"/>
        <v>1400652443.7581944</v>
      </c>
      <c r="M164" s="152">
        <f t="shared" si="38"/>
        <v>1540949720.2178469</v>
      </c>
      <c r="N164" s="152">
        <f t="shared" si="38"/>
        <v>1695299965.970283</v>
      </c>
      <c r="O164" s="152">
        <f t="shared" si="38"/>
        <v>1865110805.9596741</v>
      </c>
      <c r="P164" s="152">
        <f t="shared" si="38"/>
        <v>2051930860.8117568</v>
      </c>
      <c r="Q164" s="153">
        <f t="shared" si="38"/>
        <v>2257463869.7593346</v>
      </c>
      <c r="R164" s="77"/>
    </row>
    <row r="165" spans="2:18" x14ac:dyDescent="0.45">
      <c r="B165" s="292" t="str">
        <f t="shared" ref="B165:Q165" si="39">+B9</f>
        <v xml:space="preserve">Cuentas por cobrar clientes </v>
      </c>
      <c r="C165" s="120">
        <f t="shared" si="39"/>
        <v>0</v>
      </c>
      <c r="D165" s="120">
        <f t="shared" si="39"/>
        <v>0</v>
      </c>
      <c r="E165" s="120">
        <f t="shared" si="39"/>
        <v>483057916</v>
      </c>
      <c r="F165" s="120">
        <f t="shared" si="39"/>
        <v>281551641</v>
      </c>
      <c r="G165" s="120">
        <f t="shared" si="39"/>
        <v>655387293</v>
      </c>
      <c r="H165" s="120">
        <f t="shared" si="39"/>
        <v>715361207.44161212</v>
      </c>
      <c r="I165" s="120">
        <f t="shared" si="39"/>
        <v>783952812.03579259</v>
      </c>
      <c r="J165" s="120">
        <f t="shared" si="39"/>
        <v>868331365.34814632</v>
      </c>
      <c r="K165" s="120">
        <f t="shared" si="39"/>
        <v>963196447.1827029</v>
      </c>
      <c r="L165" s="120">
        <f t="shared" si="39"/>
        <v>1063276494.6288655</v>
      </c>
      <c r="M165" s="120">
        <f t="shared" si="39"/>
        <v>1169780286.4758523</v>
      </c>
      <c r="N165" s="120">
        <f t="shared" si="39"/>
        <v>1286952100.9256952</v>
      </c>
      <c r="O165" s="120">
        <f t="shared" si="39"/>
        <v>1415860507.503304</v>
      </c>
      <c r="P165" s="120">
        <f t="shared" si="39"/>
        <v>1557681109.7053075</v>
      </c>
      <c r="Q165" s="154">
        <f t="shared" si="39"/>
        <v>1713707266.1284721</v>
      </c>
      <c r="R165" s="77"/>
    </row>
    <row r="166" spans="2:18" x14ac:dyDescent="0.45">
      <c r="B166" s="292" t="str">
        <f t="shared" ref="B166:Q166" si="40">+B10</f>
        <v>Anticipo de Impuestos y Contribuciones</v>
      </c>
      <c r="C166" s="120">
        <f t="shared" si="40"/>
        <v>0</v>
      </c>
      <c r="D166" s="120">
        <f t="shared" si="40"/>
        <v>0</v>
      </c>
      <c r="E166" s="120">
        <f t="shared" si="40"/>
        <v>296388006.05000001</v>
      </c>
      <c r="F166" s="120">
        <f t="shared" si="40"/>
        <v>388037550.37</v>
      </c>
      <c r="G166" s="120">
        <f t="shared" si="40"/>
        <v>519040582.94</v>
      </c>
      <c r="H166" s="120">
        <f t="shared" si="40"/>
        <v>515501608.77471286</v>
      </c>
      <c r="I166" s="120">
        <f t="shared" si="40"/>
        <v>564929900.59276617</v>
      </c>
      <c r="J166" s="120">
        <f t="shared" si="40"/>
        <v>625734539.6004684</v>
      </c>
      <c r="K166" s="120">
        <f t="shared" si="40"/>
        <v>694095951.70045304</v>
      </c>
      <c r="L166" s="120">
        <f t="shared" si="40"/>
        <v>766215357.85228491</v>
      </c>
      <c r="M166" s="120">
        <f t="shared" si="40"/>
        <v>842963824.87369514</v>
      </c>
      <c r="N166" s="120">
        <f t="shared" si="40"/>
        <v>927399852.7482934</v>
      </c>
      <c r="O166" s="120">
        <f t="shared" si="40"/>
        <v>1020293471.0827291</v>
      </c>
      <c r="P166" s="120">
        <f t="shared" si="40"/>
        <v>1122491840.0074217</v>
      </c>
      <c r="Q166" s="154">
        <f t="shared" si="40"/>
        <v>1234926976.0063796</v>
      </c>
      <c r="R166" s="77"/>
    </row>
    <row r="167" spans="2:18" x14ac:dyDescent="0.45">
      <c r="B167" s="292" t="str">
        <f t="shared" ref="B167:Q167" si="41">+B12</f>
        <v xml:space="preserve"> Inventarios</v>
      </c>
      <c r="C167" s="120">
        <f t="shared" si="41"/>
        <v>3157853791.96</v>
      </c>
      <c r="D167" s="120">
        <f t="shared" si="41"/>
        <v>2022939654.75</v>
      </c>
      <c r="E167" s="120">
        <f t="shared" si="41"/>
        <v>1142198028.3199999</v>
      </c>
      <c r="F167" s="120">
        <f t="shared" si="41"/>
        <v>874037587.47000003</v>
      </c>
      <c r="G167" s="120">
        <f t="shared" si="41"/>
        <v>716458651.04999995</v>
      </c>
      <c r="H167" s="120">
        <f t="shared" si="41"/>
        <v>782021151.72397256</v>
      </c>
      <c r="I167" s="120">
        <f t="shared" si="41"/>
        <v>857004370.08322978</v>
      </c>
      <c r="J167" s="120">
        <f t="shared" si="41"/>
        <v>949245622.13283193</v>
      </c>
      <c r="K167" s="120">
        <f t="shared" si="41"/>
        <v>1052950575.3549479</v>
      </c>
      <c r="L167" s="120">
        <f t="shared" si="41"/>
        <v>1162356443.5433285</v>
      </c>
      <c r="M167" s="120">
        <f t="shared" si="41"/>
        <v>1278784643.8660989</v>
      </c>
      <c r="N167" s="120">
        <f t="shared" si="41"/>
        <v>1406874951.7168117</v>
      </c>
      <c r="O167" s="120">
        <f t="shared" si="41"/>
        <v>1547795509.7929943</v>
      </c>
      <c r="P167" s="120">
        <f t="shared" si="41"/>
        <v>1702831468.5764461</v>
      </c>
      <c r="Q167" s="154">
        <f t="shared" si="41"/>
        <v>1873396706.4951751</v>
      </c>
      <c r="R167" s="77"/>
    </row>
    <row r="168" spans="2:18" x14ac:dyDescent="0.45">
      <c r="B168" s="292" t="str">
        <f t="shared" ref="B168:Q168" si="42">+B11</f>
        <v xml:space="preserve">Deudores </v>
      </c>
      <c r="C168" s="120">
        <f t="shared" si="42"/>
        <v>1991341951.9400001</v>
      </c>
      <c r="D168" s="120">
        <f t="shared" si="42"/>
        <v>2368966835.52</v>
      </c>
      <c r="E168" s="120">
        <f t="shared" si="42"/>
        <v>470326190.06999999</v>
      </c>
      <c r="F168" s="120">
        <f t="shared" si="42"/>
        <v>106249105.38</v>
      </c>
      <c r="G168" s="120">
        <f t="shared" si="42"/>
        <v>236319713.96000001</v>
      </c>
      <c r="H168" s="120">
        <f t="shared" si="42"/>
        <v>257945123.02313131</v>
      </c>
      <c r="I168" s="120">
        <f t="shared" si="42"/>
        <v>282677900.95594078</v>
      </c>
      <c r="J168" s="120">
        <f t="shared" si="42"/>
        <v>313103140.80436432</v>
      </c>
      <c r="K168" s="120">
        <f t="shared" si="42"/>
        <v>347309615.72900766</v>
      </c>
      <c r="L168" s="120">
        <f t="shared" si="42"/>
        <v>383396504.25765109</v>
      </c>
      <c r="M168" s="120">
        <f t="shared" si="42"/>
        <v>421799668.14831156</v>
      </c>
      <c r="N168" s="120">
        <f t="shared" si="42"/>
        <v>464049510.29616821</v>
      </c>
      <c r="O168" s="120">
        <f t="shared" si="42"/>
        <v>510531335.76766074</v>
      </c>
      <c r="P168" s="120">
        <f t="shared" si="42"/>
        <v>561669043.96551013</v>
      </c>
      <c r="Q168" s="154">
        <f t="shared" si="42"/>
        <v>617928994.45588446</v>
      </c>
      <c r="R168" s="77"/>
    </row>
    <row r="169" spans="2:18" x14ac:dyDescent="0.45">
      <c r="B169" s="292" t="str">
        <f t="shared" ref="B169:Q169" si="43">+B13</f>
        <v>Otros Activos</v>
      </c>
      <c r="C169" s="120">
        <f t="shared" si="43"/>
        <v>1200000</v>
      </c>
      <c r="D169" s="120">
        <f t="shared" si="43"/>
        <v>1200000</v>
      </c>
      <c r="E169" s="120">
        <f t="shared" si="43"/>
        <v>0</v>
      </c>
      <c r="F169" s="120">
        <f t="shared" si="43"/>
        <v>0</v>
      </c>
      <c r="G169" s="120">
        <f t="shared" si="43"/>
        <v>0</v>
      </c>
      <c r="H169" s="120">
        <f t="shared" si="43"/>
        <v>0</v>
      </c>
      <c r="I169" s="120">
        <f t="shared" si="43"/>
        <v>0</v>
      </c>
      <c r="J169" s="120">
        <f t="shared" si="43"/>
        <v>0</v>
      </c>
      <c r="K169" s="120">
        <f t="shared" si="43"/>
        <v>0</v>
      </c>
      <c r="L169" s="120">
        <f t="shared" si="43"/>
        <v>0</v>
      </c>
      <c r="M169" s="120">
        <f t="shared" si="43"/>
        <v>0</v>
      </c>
      <c r="N169" s="120">
        <f t="shared" si="43"/>
        <v>0</v>
      </c>
      <c r="O169" s="120">
        <f t="shared" si="43"/>
        <v>0</v>
      </c>
      <c r="P169" s="120">
        <f t="shared" si="43"/>
        <v>0</v>
      </c>
      <c r="Q169" s="154">
        <f t="shared" si="43"/>
        <v>0</v>
      </c>
      <c r="R169" s="77"/>
    </row>
    <row r="170" spans="2:18" x14ac:dyDescent="0.45">
      <c r="B170" s="292" t="str">
        <f t="shared" ref="B170:Q170" si="44">+B14</f>
        <v>Diferidos</v>
      </c>
      <c r="C170" s="120">
        <f t="shared" si="44"/>
        <v>0</v>
      </c>
      <c r="D170" s="120">
        <f t="shared" si="44"/>
        <v>19967228.27</v>
      </c>
      <c r="E170" s="120">
        <f t="shared" si="44"/>
        <v>0</v>
      </c>
      <c r="F170" s="120">
        <f t="shared" si="44"/>
        <v>0</v>
      </c>
      <c r="G170" s="120">
        <f t="shared" si="44"/>
        <v>0</v>
      </c>
      <c r="H170" s="120">
        <f t="shared" si="44"/>
        <v>0</v>
      </c>
      <c r="I170" s="120">
        <f t="shared" si="44"/>
        <v>0</v>
      </c>
      <c r="J170" s="120">
        <f t="shared" si="44"/>
        <v>0</v>
      </c>
      <c r="K170" s="120">
        <f t="shared" si="44"/>
        <v>0</v>
      </c>
      <c r="L170" s="120">
        <f t="shared" si="44"/>
        <v>0</v>
      </c>
      <c r="M170" s="120">
        <f t="shared" si="44"/>
        <v>0</v>
      </c>
      <c r="N170" s="120">
        <f t="shared" si="44"/>
        <v>0</v>
      </c>
      <c r="O170" s="120">
        <f t="shared" si="44"/>
        <v>0</v>
      </c>
      <c r="P170" s="120">
        <f t="shared" si="44"/>
        <v>0</v>
      </c>
      <c r="Q170" s="154">
        <f t="shared" si="44"/>
        <v>0</v>
      </c>
      <c r="R170" s="77"/>
    </row>
    <row r="171" spans="2:18" x14ac:dyDescent="0.45">
      <c r="B171" s="138" t="s">
        <v>108</v>
      </c>
      <c r="C171" s="72">
        <f>SUM(C164:C170)</f>
        <v>5259087684.0900002</v>
      </c>
      <c r="D171" s="72">
        <f t="shared" ref="D171:Q171" si="45">SUM(D164:D170)</f>
        <v>4577550838.3100004</v>
      </c>
      <c r="E171" s="72">
        <f t="shared" si="45"/>
        <v>2542841215.8400002</v>
      </c>
      <c r="F171" s="72">
        <f t="shared" si="45"/>
        <v>2054435574.0799999</v>
      </c>
      <c r="G171" s="72">
        <f t="shared" si="45"/>
        <v>2990546884.8800001</v>
      </c>
      <c r="H171" s="72">
        <f t="shared" si="45"/>
        <v>3213173277.4796963</v>
      </c>
      <c r="I171" s="73">
        <f t="shared" si="45"/>
        <v>3521264782.3708987</v>
      </c>
      <c r="J171" s="73">
        <f t="shared" si="45"/>
        <v>3900266201.3397632</v>
      </c>
      <c r="K171" s="73">
        <f t="shared" si="45"/>
        <v>4326369745.5993967</v>
      </c>
      <c r="L171" s="73">
        <f t="shared" si="45"/>
        <v>4775897244.0403252</v>
      </c>
      <c r="M171" s="73">
        <f t="shared" si="45"/>
        <v>5254278143.5818043</v>
      </c>
      <c r="N171" s="73">
        <f t="shared" si="45"/>
        <v>5780576381.6572514</v>
      </c>
      <c r="O171" s="73">
        <f t="shared" si="45"/>
        <v>6359591630.1063633</v>
      </c>
      <c r="P171" s="73">
        <f t="shared" si="45"/>
        <v>6996604323.0664415</v>
      </c>
      <c r="Q171" s="148">
        <f t="shared" si="45"/>
        <v>7697423812.8452454</v>
      </c>
    </row>
    <row r="172" spans="2:18" x14ac:dyDescent="0.45">
      <c r="B172" s="117"/>
      <c r="C172" s="108"/>
      <c r="D172" s="108"/>
      <c r="E172" s="108"/>
      <c r="F172" s="108"/>
      <c r="G172" s="108"/>
      <c r="H172" s="108"/>
      <c r="I172" s="109"/>
      <c r="J172" s="109"/>
      <c r="K172" s="109"/>
      <c r="L172" s="109"/>
      <c r="M172" s="109"/>
      <c r="N172" s="109"/>
      <c r="O172" s="109"/>
      <c r="P172" s="109"/>
      <c r="Q172" s="112"/>
    </row>
    <row r="173" spans="2:18" x14ac:dyDescent="0.45">
      <c r="B173" s="293" t="str">
        <f t="shared" ref="B173:Q173" si="46">+B36</f>
        <v xml:space="preserve">Proveedores </v>
      </c>
      <c r="C173" s="108">
        <f t="shared" si="46"/>
        <v>1196020819</v>
      </c>
      <c r="D173" s="108">
        <f t="shared" si="46"/>
        <v>840794054</v>
      </c>
      <c r="E173" s="108">
        <f t="shared" si="46"/>
        <v>206040813</v>
      </c>
      <c r="F173" s="108">
        <f t="shared" si="46"/>
        <v>187000310</v>
      </c>
      <c r="G173" s="108">
        <f t="shared" si="46"/>
        <v>132009778</v>
      </c>
      <c r="H173" s="108">
        <f t="shared" si="46"/>
        <v>144089876.61617535</v>
      </c>
      <c r="I173" s="108">
        <f t="shared" si="46"/>
        <v>157905772.33440611</v>
      </c>
      <c r="J173" s="108">
        <f t="shared" si="46"/>
        <v>174901515.47696498</v>
      </c>
      <c r="K173" s="108">
        <f t="shared" si="46"/>
        <v>194009481.90641427</v>
      </c>
      <c r="L173" s="108">
        <f t="shared" si="46"/>
        <v>214167859.99324328</v>
      </c>
      <c r="M173" s="108">
        <f t="shared" si="46"/>
        <v>235620125.04025409</v>
      </c>
      <c r="N173" s="108">
        <f t="shared" si="46"/>
        <v>259221170.37419367</v>
      </c>
      <c r="O173" s="108">
        <f t="shared" si="46"/>
        <v>285186229.99069726</v>
      </c>
      <c r="P173" s="108">
        <f t="shared" si="46"/>
        <v>313752096.94062728</v>
      </c>
      <c r="Q173" s="139">
        <f t="shared" si="46"/>
        <v>345179282.80706918</v>
      </c>
    </row>
    <row r="174" spans="2:18" x14ac:dyDescent="0.45">
      <c r="B174" s="293" t="str">
        <f t="shared" ref="B174:Q174" si="47">+B37</f>
        <v xml:space="preserve">Cuentas por pagar </v>
      </c>
      <c r="C174" s="108">
        <f t="shared" si="47"/>
        <v>901559339.44000006</v>
      </c>
      <c r="D174" s="108">
        <f t="shared" si="47"/>
        <v>1007741160.4299999</v>
      </c>
      <c r="E174" s="108">
        <f t="shared" si="47"/>
        <v>1005100714</v>
      </c>
      <c r="F174" s="108">
        <f t="shared" si="47"/>
        <v>822525760</v>
      </c>
      <c r="G174" s="108">
        <f t="shared" si="47"/>
        <v>245919133</v>
      </c>
      <c r="H174" s="108">
        <f t="shared" si="47"/>
        <v>268422976.45199296</v>
      </c>
      <c r="I174" s="108">
        <f t="shared" si="47"/>
        <v>294160411.57324374</v>
      </c>
      <c r="J174" s="108">
        <f t="shared" si="47"/>
        <v>325821539.11721081</v>
      </c>
      <c r="K174" s="108">
        <f t="shared" si="47"/>
        <v>361417497.30239367</v>
      </c>
      <c r="L174" s="108">
        <f t="shared" si="47"/>
        <v>398970252.3854239</v>
      </c>
      <c r="M174" s="108">
        <f t="shared" si="47"/>
        <v>438933371.03597647</v>
      </c>
      <c r="N174" s="108">
        <f t="shared" si="47"/>
        <v>482899421.84181994</v>
      </c>
      <c r="O174" s="108">
        <f t="shared" si="47"/>
        <v>531269361.14422429</v>
      </c>
      <c r="P174" s="108">
        <f t="shared" si="47"/>
        <v>584484307.34101391</v>
      </c>
      <c r="Q174" s="139">
        <f t="shared" si="47"/>
        <v>643029563.74546945</v>
      </c>
    </row>
    <row r="175" spans="2:18" x14ac:dyDescent="0.45">
      <c r="B175" s="293" t="str">
        <f t="shared" ref="B175:Q175" si="48">+B38</f>
        <v>Impuestos Gravamenes y Tasas</v>
      </c>
      <c r="C175" s="108">
        <f t="shared" si="48"/>
        <v>166899633.19999999</v>
      </c>
      <c r="D175" s="108">
        <f t="shared" si="48"/>
        <v>120652291.73999999</v>
      </c>
      <c r="E175" s="108">
        <f t="shared" si="48"/>
        <v>232170897.77000001</v>
      </c>
      <c r="F175" s="108">
        <f t="shared" si="48"/>
        <v>305662532</v>
      </c>
      <c r="G175" s="108">
        <f t="shared" si="48"/>
        <v>297371607</v>
      </c>
      <c r="H175" s="108">
        <f t="shared" si="48"/>
        <v>223864617.69088253</v>
      </c>
      <c r="I175" s="108">
        <f t="shared" si="48"/>
        <v>235258589.76758635</v>
      </c>
      <c r="J175" s="108">
        <f t="shared" si="48"/>
        <v>260247681.26358393</v>
      </c>
      <c r="K175" s="108">
        <f t="shared" si="48"/>
        <v>267593121.68030238</v>
      </c>
      <c r="L175" s="108">
        <f t="shared" si="48"/>
        <v>260814662.57583603</v>
      </c>
      <c r="M175" s="108">
        <f t="shared" si="48"/>
        <v>252625850.23749703</v>
      </c>
      <c r="N175" s="108">
        <f t="shared" si="48"/>
        <v>259420307.44106069</v>
      </c>
      <c r="O175" s="108">
        <f t="shared" si="48"/>
        <v>264644244.03638834</v>
      </c>
      <c r="P175" s="108">
        <f t="shared" si="48"/>
        <v>265707458.14689431</v>
      </c>
      <c r="Q175" s="139">
        <f t="shared" si="48"/>
        <v>265555142.56998733</v>
      </c>
    </row>
    <row r="176" spans="2:18" x14ac:dyDescent="0.45">
      <c r="B176" s="293" t="str">
        <f t="shared" ref="B176:Q176" si="49">+B39</f>
        <v>Obligaciones Laborales/Beneficios a empleados</v>
      </c>
      <c r="C176" s="108">
        <f t="shared" si="49"/>
        <v>787418942</v>
      </c>
      <c r="D176" s="108">
        <f t="shared" si="49"/>
        <v>645832642.27999997</v>
      </c>
      <c r="E176" s="108">
        <f t="shared" si="49"/>
        <v>362840464.27999997</v>
      </c>
      <c r="F176" s="108">
        <f t="shared" si="49"/>
        <v>381769170.49000001</v>
      </c>
      <c r="G176" s="108">
        <f t="shared" si="49"/>
        <v>384910961.49000001</v>
      </c>
      <c r="H176" s="108">
        <f t="shared" si="49"/>
        <v>510986824.3895179</v>
      </c>
      <c r="I176" s="108">
        <f t="shared" si="49"/>
        <v>455938910.57642728</v>
      </c>
      <c r="J176" s="108">
        <f t="shared" si="49"/>
        <v>421527768.57644916</v>
      </c>
      <c r="K176" s="108">
        <f t="shared" si="49"/>
        <v>436098566.68578005</v>
      </c>
      <c r="L176" s="108">
        <f t="shared" si="49"/>
        <v>448683620.76330179</v>
      </c>
      <c r="M176" s="108">
        <f t="shared" si="49"/>
        <v>460240354.85096252</v>
      </c>
      <c r="N176" s="108">
        <f t="shared" si="49"/>
        <v>451657511.54228741</v>
      </c>
      <c r="O176" s="108">
        <f t="shared" si="49"/>
        <v>451322518.40830767</v>
      </c>
      <c r="P176" s="108">
        <f t="shared" si="49"/>
        <v>457675181.68447709</v>
      </c>
      <c r="Q176" s="139">
        <f t="shared" si="49"/>
        <v>462471327.02233255</v>
      </c>
    </row>
    <row r="177" spans="2:19" x14ac:dyDescent="0.45">
      <c r="B177" s="293" t="str">
        <f t="shared" ref="B177:Q177" si="50">+B40</f>
        <v>Pasivos Estimados y Provisiones</v>
      </c>
      <c r="C177" s="108">
        <f t="shared" si="50"/>
        <v>334268669.26999998</v>
      </c>
      <c r="D177" s="108">
        <f t="shared" si="50"/>
        <v>139966213.94999999</v>
      </c>
      <c r="E177" s="108">
        <f t="shared" si="50"/>
        <v>16571344</v>
      </c>
      <c r="F177" s="108">
        <f t="shared" si="50"/>
        <v>9668127.6300000008</v>
      </c>
      <c r="G177" s="108">
        <f t="shared" si="50"/>
        <v>67105802.630000003</v>
      </c>
      <c r="H177" s="108">
        <f t="shared" si="50"/>
        <v>113168850.69202544</v>
      </c>
      <c r="I177" s="108">
        <f t="shared" si="50"/>
        <v>69094650.798677236</v>
      </c>
      <c r="J177" s="108">
        <f t="shared" si="50"/>
        <v>55416039.281264901</v>
      </c>
      <c r="K177" s="108">
        <f t="shared" si="50"/>
        <v>63630721.43002826</v>
      </c>
      <c r="L177" s="108">
        <f t="shared" si="50"/>
        <v>74815578.05818592</v>
      </c>
      <c r="M177" s="108">
        <f t="shared" si="50"/>
        <v>76150612.484207913</v>
      </c>
      <c r="N177" s="108">
        <f t="shared" si="50"/>
        <v>68913943.073216155</v>
      </c>
      <c r="O177" s="108">
        <f t="shared" si="50"/>
        <v>68958975.78123571</v>
      </c>
      <c r="P177" s="108">
        <f t="shared" si="50"/>
        <v>71760013.023686409</v>
      </c>
      <c r="Q177" s="139">
        <f t="shared" si="50"/>
        <v>73479152.261273801</v>
      </c>
    </row>
    <row r="178" spans="2:19" x14ac:dyDescent="0.45">
      <c r="B178" s="293" t="str">
        <f t="shared" ref="B178:Q178" si="51">+B41</f>
        <v>Otros Pasivos</v>
      </c>
      <c r="C178" s="108">
        <f t="shared" si="51"/>
        <v>61916866.579999998</v>
      </c>
      <c r="D178" s="108">
        <f t="shared" si="51"/>
        <v>81804560.579999998</v>
      </c>
      <c r="E178" s="108">
        <f t="shared" si="51"/>
        <v>59283510.68</v>
      </c>
      <c r="F178" s="108">
        <f t="shared" si="51"/>
        <v>21752789.600000001</v>
      </c>
      <c r="G178" s="108">
        <f t="shared" si="51"/>
        <v>12519541.6</v>
      </c>
      <c r="H178" s="108">
        <f t="shared" si="51"/>
        <v>47310314.637885332</v>
      </c>
      <c r="I178" s="108">
        <f t="shared" si="51"/>
        <v>44404699.815650925</v>
      </c>
      <c r="J178" s="108">
        <f t="shared" si="51"/>
        <v>37251996.146667168</v>
      </c>
      <c r="K178" s="108">
        <f t="shared" si="51"/>
        <v>33032031.894645419</v>
      </c>
      <c r="L178" s="108">
        <f t="shared" si="51"/>
        <v>35440117.837712474</v>
      </c>
      <c r="M178" s="108">
        <f t="shared" si="51"/>
        <v>39973624.192615598</v>
      </c>
      <c r="N178" s="108">
        <f t="shared" si="51"/>
        <v>38632902.089489631</v>
      </c>
      <c r="O178" s="108">
        <f t="shared" si="51"/>
        <v>37504413.40024782</v>
      </c>
      <c r="P178" s="108">
        <f t="shared" si="51"/>
        <v>37579627.366343141</v>
      </c>
      <c r="Q178" s="139">
        <f t="shared" si="51"/>
        <v>38539090.996013284</v>
      </c>
    </row>
    <row r="179" spans="2:19" x14ac:dyDescent="0.45">
      <c r="B179" s="293"/>
      <c r="C179" s="78">
        <f>SUM(C173:C178)</f>
        <v>3448084269.4899998</v>
      </c>
      <c r="D179" s="78">
        <f t="shared" ref="D179:Q179" si="52">SUM(D173:D178)</f>
        <v>2836790922.9799995</v>
      </c>
      <c r="E179" s="78">
        <f t="shared" si="52"/>
        <v>1882007743.73</v>
      </c>
      <c r="F179" s="78">
        <f t="shared" si="52"/>
        <v>1728378689.72</v>
      </c>
      <c r="G179" s="78">
        <f t="shared" si="52"/>
        <v>1139836823.72</v>
      </c>
      <c r="H179" s="78">
        <f t="shared" si="52"/>
        <v>1307843460.4784794</v>
      </c>
      <c r="I179" s="78">
        <f t="shared" si="52"/>
        <v>1256763034.8659916</v>
      </c>
      <c r="J179" s="78">
        <f t="shared" si="52"/>
        <v>1275166539.8621409</v>
      </c>
      <c r="K179" s="78">
        <f t="shared" si="52"/>
        <v>1355781420.899564</v>
      </c>
      <c r="L179" s="78">
        <f t="shared" si="52"/>
        <v>1432892091.6137033</v>
      </c>
      <c r="M179" s="78">
        <f t="shared" si="52"/>
        <v>1503543937.8415134</v>
      </c>
      <c r="N179" s="78">
        <f t="shared" si="52"/>
        <v>1560745256.3620677</v>
      </c>
      <c r="O179" s="78">
        <f t="shared" si="52"/>
        <v>1638885742.761101</v>
      </c>
      <c r="P179" s="78">
        <f t="shared" si="52"/>
        <v>1730958684.5030422</v>
      </c>
      <c r="Q179" s="155">
        <f t="shared" si="52"/>
        <v>1828253559.4021454</v>
      </c>
    </row>
    <row r="180" spans="2:19" x14ac:dyDescent="0.45">
      <c r="B180" s="294" t="s">
        <v>109</v>
      </c>
      <c r="C180" s="137">
        <f>+C171-C179</f>
        <v>1811003414.6000004</v>
      </c>
      <c r="D180" s="137">
        <f t="shared" ref="D180:Q180" si="53">+D171-D179</f>
        <v>1740759915.3300009</v>
      </c>
      <c r="E180" s="137">
        <f t="shared" si="53"/>
        <v>660833472.11000013</v>
      </c>
      <c r="F180" s="137">
        <f t="shared" si="53"/>
        <v>326056884.3599999</v>
      </c>
      <c r="G180" s="137">
        <f t="shared" si="53"/>
        <v>1850710061.1600001</v>
      </c>
      <c r="H180" s="137">
        <f t="shared" si="53"/>
        <v>1905329817.0012169</v>
      </c>
      <c r="I180" s="137">
        <f t="shared" si="53"/>
        <v>2264501747.5049071</v>
      </c>
      <c r="J180" s="137">
        <f t="shared" si="53"/>
        <v>2625099661.477622</v>
      </c>
      <c r="K180" s="137">
        <f t="shared" si="53"/>
        <v>2970588324.6998329</v>
      </c>
      <c r="L180" s="137">
        <f t="shared" si="53"/>
        <v>3343005152.4266219</v>
      </c>
      <c r="M180" s="137">
        <f t="shared" si="53"/>
        <v>3750734205.7402906</v>
      </c>
      <c r="N180" s="137">
        <f t="shared" si="53"/>
        <v>4219831125.2951837</v>
      </c>
      <c r="O180" s="137">
        <f t="shared" si="53"/>
        <v>4720705887.3452625</v>
      </c>
      <c r="P180" s="137">
        <f t="shared" si="53"/>
        <v>5265645638.5633993</v>
      </c>
      <c r="Q180" s="145">
        <f t="shared" si="53"/>
        <v>5869170253.4431</v>
      </c>
      <c r="R180" s="75"/>
      <c r="S180" s="75"/>
    </row>
    <row r="181" spans="2:19" x14ac:dyDescent="0.45">
      <c r="B181" s="295"/>
      <c r="C181" s="108"/>
      <c r="D181" s="108"/>
      <c r="E181" s="108"/>
      <c r="F181" s="108"/>
      <c r="G181" s="108"/>
      <c r="H181" s="108"/>
      <c r="I181" s="109"/>
      <c r="J181" s="109"/>
      <c r="K181" s="109"/>
      <c r="L181" s="109"/>
      <c r="M181" s="109"/>
      <c r="N181" s="109"/>
      <c r="O181" s="109"/>
      <c r="P181" s="109"/>
      <c r="Q181" s="112"/>
    </row>
    <row r="182" spans="2:19" x14ac:dyDescent="0.45">
      <c r="B182" s="158" t="str">
        <f t="shared" ref="B182:Q182" si="54">+B18</f>
        <v>Deudores de largo plazo</v>
      </c>
      <c r="C182" s="156">
        <f t="shared" si="54"/>
        <v>92552795.200000003</v>
      </c>
      <c r="D182" s="156">
        <f t="shared" si="54"/>
        <v>65532395.200000003</v>
      </c>
      <c r="E182" s="156">
        <f t="shared" si="54"/>
        <v>56994814.200000003</v>
      </c>
      <c r="F182" s="156">
        <f t="shared" si="54"/>
        <v>43433739</v>
      </c>
      <c r="G182" s="156">
        <f t="shared" si="54"/>
        <v>35635548</v>
      </c>
      <c r="H182" s="156">
        <f t="shared" si="54"/>
        <v>58649931.333123557</v>
      </c>
      <c r="I182" s="156">
        <f t="shared" si="54"/>
        <v>51897998.318767667</v>
      </c>
      <c r="J182" s="156">
        <f t="shared" si="54"/>
        <v>49585728.726150952</v>
      </c>
      <c r="K182" s="156">
        <f t="shared" si="54"/>
        <v>48403523.524932325</v>
      </c>
      <c r="L182" s="156">
        <f t="shared" si="54"/>
        <v>49585036.260747291</v>
      </c>
      <c r="M182" s="156">
        <f t="shared" si="54"/>
        <v>52259544.293348119</v>
      </c>
      <c r="N182" s="156">
        <f t="shared" si="54"/>
        <v>51157311.056427717</v>
      </c>
      <c r="O182" s="156">
        <f t="shared" si="54"/>
        <v>51067331.92486959</v>
      </c>
      <c r="P182" s="156">
        <f t="shared" si="54"/>
        <v>51401413.773974128</v>
      </c>
      <c r="Q182" s="157">
        <f t="shared" si="54"/>
        <v>52057159.016731925</v>
      </c>
    </row>
    <row r="183" spans="2:19" x14ac:dyDescent="0.45">
      <c r="B183" s="158" t="str">
        <f t="shared" ref="B183:Q183" si="55">+B19</f>
        <v>Cuentas de Dificil Cobro</v>
      </c>
      <c r="C183" s="156">
        <f t="shared" si="55"/>
        <v>0</v>
      </c>
      <c r="D183" s="156">
        <f t="shared" si="55"/>
        <v>0</v>
      </c>
      <c r="E183" s="156">
        <f t="shared" si="55"/>
        <v>0</v>
      </c>
      <c r="F183" s="156">
        <f t="shared" si="55"/>
        <v>545478194.78999996</v>
      </c>
      <c r="G183" s="156">
        <f t="shared" si="55"/>
        <v>547245209.78999996</v>
      </c>
      <c r="H183" s="156">
        <f t="shared" si="55"/>
        <v>217876277.36960348</v>
      </c>
      <c r="I183" s="156">
        <f t="shared" si="55"/>
        <v>261358054.68249598</v>
      </c>
      <c r="J183" s="156">
        <f t="shared" si="55"/>
        <v>316070021.51661563</v>
      </c>
      <c r="K183" s="156">
        <f t="shared" si="55"/>
        <v>382048790.6737352</v>
      </c>
      <c r="L183" s="156">
        <f t="shared" si="55"/>
        <v>350220403.21171188</v>
      </c>
      <c r="M183" s="156">
        <f t="shared" si="55"/>
        <v>309273250.60368472</v>
      </c>
      <c r="N183" s="156">
        <f t="shared" si="55"/>
        <v>329009558.10096055</v>
      </c>
      <c r="O183" s="156">
        <f t="shared" si="55"/>
        <v>343164644.82246608</v>
      </c>
      <c r="P183" s="156">
        <f t="shared" si="55"/>
        <v>348898879.22815406</v>
      </c>
      <c r="Q183" s="157">
        <f t="shared" si="55"/>
        <v>342448473.66361272</v>
      </c>
    </row>
    <row r="184" spans="2:19" x14ac:dyDescent="0.45">
      <c r="B184" s="158" t="str">
        <f t="shared" ref="B184:Q184" si="56">+B20</f>
        <v>Provisiones cartera</v>
      </c>
      <c r="C184" s="156">
        <f t="shared" si="56"/>
        <v>0</v>
      </c>
      <c r="D184" s="156">
        <f t="shared" si="56"/>
        <v>0</v>
      </c>
      <c r="E184" s="156">
        <f t="shared" si="56"/>
        <v>0</v>
      </c>
      <c r="F184" s="156">
        <f t="shared" si="56"/>
        <v>-173649564</v>
      </c>
      <c r="G184" s="156">
        <f t="shared" si="56"/>
        <v>-247594418.75999999</v>
      </c>
      <c r="H184" s="156">
        <f t="shared" si="56"/>
        <v>-83991127.529084548</v>
      </c>
      <c r="I184" s="156">
        <f t="shared" si="56"/>
        <v>-100753317.2799359</v>
      </c>
      <c r="J184" s="156">
        <f t="shared" si="56"/>
        <v>-121844735.94749521</v>
      </c>
      <c r="K184" s="156">
        <f t="shared" si="56"/>
        <v>-147279497.73703548</v>
      </c>
      <c r="L184" s="156">
        <f t="shared" si="56"/>
        <v>-142448639.23467043</v>
      </c>
      <c r="M184" s="156">
        <f t="shared" si="56"/>
        <v>-120730681.38188049</v>
      </c>
      <c r="N184" s="156">
        <f t="shared" si="56"/>
        <v>-128650743.73503976</v>
      </c>
      <c r="O184" s="156">
        <f t="shared" si="56"/>
        <v>-134479535.83410454</v>
      </c>
      <c r="P184" s="156">
        <f t="shared" si="56"/>
        <v>-137137304.27978212</v>
      </c>
      <c r="Q184" s="157">
        <f t="shared" si="56"/>
        <v>-135190334.86065367</v>
      </c>
    </row>
    <row r="185" spans="2:19" x14ac:dyDescent="0.45">
      <c r="B185" s="158" t="str">
        <f t="shared" ref="B185:Q185" si="57">+B21</f>
        <v>Inventarios Almacen de Mat. Repuestos y suministros</v>
      </c>
      <c r="C185" s="156">
        <f t="shared" si="57"/>
        <v>0</v>
      </c>
      <c r="D185" s="156">
        <f t="shared" si="57"/>
        <v>0</v>
      </c>
      <c r="E185" s="156">
        <f t="shared" si="57"/>
        <v>192508226.43000001</v>
      </c>
      <c r="F185" s="156">
        <f t="shared" si="57"/>
        <v>201185412.46000001</v>
      </c>
      <c r="G185" s="156">
        <f t="shared" si="57"/>
        <v>233040237.22999999</v>
      </c>
      <c r="H185" s="156">
        <f t="shared" si="57"/>
        <v>124963410.92184484</v>
      </c>
      <c r="I185" s="156">
        <f t="shared" si="57"/>
        <v>149902478.50443244</v>
      </c>
      <c r="J185" s="156">
        <f t="shared" si="57"/>
        <v>181282645.61751473</v>
      </c>
      <c r="K185" s="156">
        <f t="shared" si="57"/>
        <v>180170222.10425794</v>
      </c>
      <c r="L185" s="156">
        <f t="shared" si="57"/>
        <v>176543864.16112751</v>
      </c>
      <c r="M185" s="156">
        <f t="shared" si="57"/>
        <v>164572544.21922684</v>
      </c>
      <c r="N185" s="156">
        <f t="shared" si="57"/>
        <v>173240557.31257105</v>
      </c>
      <c r="O185" s="156">
        <f t="shared" si="57"/>
        <v>178194619.84967136</v>
      </c>
      <c r="P185" s="156">
        <f t="shared" si="57"/>
        <v>177679116.92151126</v>
      </c>
      <c r="Q185" s="157">
        <f t="shared" si="57"/>
        <v>177326594.30663821</v>
      </c>
    </row>
    <row r="186" spans="2:19" x14ac:dyDescent="0.45">
      <c r="B186" s="158" t="str">
        <f t="shared" ref="B186:Q186" si="58">+B22</f>
        <v>Propiedad Planta y Equipo (-Dep Acumulada)</v>
      </c>
      <c r="C186" s="156">
        <f t="shared" si="58"/>
        <v>1726253841.96</v>
      </c>
      <c r="D186" s="156">
        <f t="shared" si="58"/>
        <v>1601061815.28</v>
      </c>
      <c r="E186" s="156">
        <f t="shared" si="58"/>
        <v>1555859741.46</v>
      </c>
      <c r="F186" s="156">
        <f t="shared" si="58"/>
        <v>1556516534.7799997</v>
      </c>
      <c r="G186" s="156">
        <f t="shared" si="58"/>
        <v>1533143811.0999994</v>
      </c>
      <c r="H186" s="156">
        <f t="shared" si="58"/>
        <v>1589690277.3635302</v>
      </c>
      <c r="I186" s="156">
        <f t="shared" si="58"/>
        <v>1562699030.9324768</v>
      </c>
      <c r="J186" s="156">
        <f t="shared" si="58"/>
        <v>1567908177.8266191</v>
      </c>
      <c r="K186" s="156">
        <f t="shared" si="58"/>
        <v>1580371333.0227666</v>
      </c>
      <c r="L186" s="156">
        <f t="shared" si="58"/>
        <v>1590840563.9113343</v>
      </c>
      <c r="M186" s="156">
        <f t="shared" si="58"/>
        <v>1597718658.5450928</v>
      </c>
      <c r="N186" s="156">
        <f t="shared" si="58"/>
        <v>1605355623.0962212</v>
      </c>
      <c r="O186" s="156">
        <f t="shared" si="58"/>
        <v>1615940184.861042</v>
      </c>
      <c r="P186" s="156">
        <f t="shared" si="58"/>
        <v>1626745604.1763606</v>
      </c>
      <c r="Q186" s="157">
        <f t="shared" si="58"/>
        <v>1637615193.6482594</v>
      </c>
    </row>
    <row r="187" spans="2:19" x14ac:dyDescent="0.45">
      <c r="B187" s="158" t="str">
        <f t="shared" ref="B187:Q187" si="59">+B23</f>
        <v>Intangibles</v>
      </c>
      <c r="C187" s="156">
        <f t="shared" si="59"/>
        <v>13857839.43</v>
      </c>
      <c r="D187" s="156">
        <f t="shared" si="59"/>
        <v>13270230</v>
      </c>
      <c r="E187" s="156">
        <f t="shared" si="59"/>
        <v>9527346</v>
      </c>
      <c r="F187" s="156">
        <f t="shared" si="59"/>
        <v>8983183.6099999994</v>
      </c>
      <c r="G187" s="156">
        <f t="shared" si="59"/>
        <v>24843000</v>
      </c>
      <c r="H187" s="156">
        <f t="shared" si="59"/>
        <v>14053207.204612374</v>
      </c>
      <c r="I187" s="156">
        <f t="shared" si="59"/>
        <v>14094307.21824082</v>
      </c>
      <c r="J187" s="156">
        <f t="shared" si="59"/>
        <v>14376554.788516894</v>
      </c>
      <c r="K187" s="156">
        <f t="shared" si="59"/>
        <v>15449731.410008634</v>
      </c>
      <c r="L187" s="156">
        <f t="shared" si="59"/>
        <v>16817906.174214903</v>
      </c>
      <c r="M187" s="156">
        <f t="shared" si="59"/>
        <v>15142363.729341175</v>
      </c>
      <c r="N187" s="156">
        <f t="shared" si="59"/>
        <v>15420620.073258359</v>
      </c>
      <c r="O187" s="156">
        <f t="shared" si="59"/>
        <v>15708779.330086498</v>
      </c>
      <c r="P187" s="156">
        <f t="shared" si="59"/>
        <v>15989988.150464542</v>
      </c>
      <c r="Q187" s="157">
        <f t="shared" si="59"/>
        <v>16114033.09047066</v>
      </c>
    </row>
    <row r="188" spans="2:19" x14ac:dyDescent="0.45">
      <c r="B188" s="158" t="str">
        <f t="shared" ref="B188:Q188" si="60">+B26</f>
        <v>Otros Activos</v>
      </c>
      <c r="C188" s="159">
        <f t="shared" si="60"/>
        <v>0</v>
      </c>
      <c r="D188" s="159">
        <f t="shared" si="60"/>
        <v>0</v>
      </c>
      <c r="E188" s="159">
        <f t="shared" si="60"/>
        <v>1200000</v>
      </c>
      <c r="F188" s="159">
        <f t="shared" si="60"/>
        <v>1200000</v>
      </c>
      <c r="G188" s="159">
        <f t="shared" si="60"/>
        <v>1200000</v>
      </c>
      <c r="H188" s="159">
        <f t="shared" si="60"/>
        <v>1200000</v>
      </c>
      <c r="I188" s="159">
        <f t="shared" si="60"/>
        <v>1200000</v>
      </c>
      <c r="J188" s="159">
        <f t="shared" si="60"/>
        <v>1200000</v>
      </c>
      <c r="K188" s="159">
        <f t="shared" si="60"/>
        <v>1200000</v>
      </c>
      <c r="L188" s="159">
        <f t="shared" si="60"/>
        <v>1200000</v>
      </c>
      <c r="M188" s="159">
        <f t="shared" si="60"/>
        <v>1200000</v>
      </c>
      <c r="N188" s="159">
        <f t="shared" si="60"/>
        <v>1200000</v>
      </c>
      <c r="O188" s="159">
        <f t="shared" si="60"/>
        <v>1200000</v>
      </c>
      <c r="P188" s="159">
        <f t="shared" si="60"/>
        <v>1200000</v>
      </c>
      <c r="Q188" s="160">
        <f t="shared" si="60"/>
        <v>1200000</v>
      </c>
    </row>
    <row r="189" spans="2:19" x14ac:dyDescent="0.45">
      <c r="B189" s="158" t="str">
        <f t="shared" ref="B189:Q189" si="61">+B27</f>
        <v>Diferidos /Gastos pagados por anticipado</v>
      </c>
      <c r="C189" s="156">
        <f t="shared" si="61"/>
        <v>0</v>
      </c>
      <c r="D189" s="156">
        <f t="shared" si="61"/>
        <v>0</v>
      </c>
      <c r="E189" s="156">
        <f t="shared" si="61"/>
        <v>77962030</v>
      </c>
      <c r="F189" s="156">
        <f t="shared" si="61"/>
        <v>225163880.44</v>
      </c>
      <c r="G189" s="156">
        <f t="shared" si="61"/>
        <v>144521996.24000001</v>
      </c>
      <c r="H189" s="156">
        <f t="shared" si="61"/>
        <v>89255761.403977141</v>
      </c>
      <c r="I189" s="156">
        <f t="shared" si="61"/>
        <v>107068619.1786522</v>
      </c>
      <c r="J189" s="156">
        <f t="shared" si="61"/>
        <v>129482065.54667692</v>
      </c>
      <c r="K189" s="156">
        <f t="shared" si="61"/>
        <v>140735219.44015461</v>
      </c>
      <c r="L189" s="156">
        <f t="shared" si="61"/>
        <v>124090900.07916576</v>
      </c>
      <c r="M189" s="156">
        <f t="shared" si="61"/>
        <v>119579743.83294053</v>
      </c>
      <c r="N189" s="156">
        <f t="shared" si="61"/>
        <v>126191698.28741238</v>
      </c>
      <c r="O189" s="156">
        <f t="shared" si="61"/>
        <v>130232319.26420259</v>
      </c>
      <c r="P189" s="156">
        <f t="shared" si="61"/>
        <v>130467792.07102384</v>
      </c>
      <c r="Q189" s="157">
        <f t="shared" si="61"/>
        <v>128489482.23309311</v>
      </c>
    </row>
    <row r="190" spans="2:19" x14ac:dyDescent="0.45">
      <c r="B190" s="158" t="str">
        <f t="shared" ref="B190:Q190" si="62">+B28</f>
        <v xml:space="preserve">Diferidos/Inventarios </v>
      </c>
      <c r="C190" s="156">
        <f t="shared" si="62"/>
        <v>0</v>
      </c>
      <c r="D190" s="156">
        <f t="shared" si="62"/>
        <v>0</v>
      </c>
      <c r="E190" s="156">
        <f t="shared" si="62"/>
        <v>1371276998.0799999</v>
      </c>
      <c r="F190" s="156">
        <f t="shared" si="62"/>
        <v>1371276998.0799999</v>
      </c>
      <c r="G190" s="156">
        <f t="shared" si="62"/>
        <v>1371276998.0799999</v>
      </c>
      <c r="H190" s="156">
        <f t="shared" si="62"/>
        <v>1371276998.0799999</v>
      </c>
      <c r="I190" s="156">
        <f t="shared" si="62"/>
        <v>1371276998.0799999</v>
      </c>
      <c r="J190" s="156">
        <f t="shared" si="62"/>
        <v>1371276998.0799999</v>
      </c>
      <c r="K190" s="156">
        <f t="shared" si="62"/>
        <v>1371276998.0799999</v>
      </c>
      <c r="L190" s="156">
        <f t="shared" si="62"/>
        <v>1371276998.0799999</v>
      </c>
      <c r="M190" s="156">
        <f t="shared" si="62"/>
        <v>1371276998.0799999</v>
      </c>
      <c r="N190" s="156">
        <f t="shared" si="62"/>
        <v>1371276998.0799999</v>
      </c>
      <c r="O190" s="156">
        <f t="shared" si="62"/>
        <v>1371276998.0799999</v>
      </c>
      <c r="P190" s="156">
        <f t="shared" si="62"/>
        <v>1371276998.0799999</v>
      </c>
      <c r="Q190" s="157">
        <f t="shared" si="62"/>
        <v>1371276998.0799999</v>
      </c>
    </row>
    <row r="191" spans="2:19" x14ac:dyDescent="0.45">
      <c r="B191" s="138" t="s">
        <v>110</v>
      </c>
      <c r="C191" s="78">
        <f t="shared" ref="C191:Q191" si="63">SUM(C182:C190)</f>
        <v>1832664476.5900002</v>
      </c>
      <c r="D191" s="78">
        <f t="shared" si="63"/>
        <v>1679864440.48</v>
      </c>
      <c r="E191" s="78">
        <f t="shared" si="63"/>
        <v>3265329156.1700001</v>
      </c>
      <c r="F191" s="78">
        <f t="shared" si="63"/>
        <v>3779588379.1599998</v>
      </c>
      <c r="G191" s="78">
        <f t="shared" si="63"/>
        <v>3643312381.6799994</v>
      </c>
      <c r="H191" s="78">
        <f t="shared" si="63"/>
        <v>3382974736.1476068</v>
      </c>
      <c r="I191" s="78">
        <f t="shared" si="63"/>
        <v>3418744169.6351299</v>
      </c>
      <c r="J191" s="78">
        <f t="shared" si="63"/>
        <v>3509337456.1545992</v>
      </c>
      <c r="K191" s="78">
        <f t="shared" si="63"/>
        <v>3572376320.5188198</v>
      </c>
      <c r="L191" s="78">
        <f t="shared" si="63"/>
        <v>3538127032.643631</v>
      </c>
      <c r="M191" s="78">
        <f t="shared" si="63"/>
        <v>3510292421.9217539</v>
      </c>
      <c r="N191" s="78">
        <f t="shared" si="63"/>
        <v>3544201622.2718115</v>
      </c>
      <c r="O191" s="78">
        <f t="shared" si="63"/>
        <v>3572305342.2982335</v>
      </c>
      <c r="P191" s="78">
        <f t="shared" si="63"/>
        <v>3586522488.1217065</v>
      </c>
      <c r="Q191" s="155">
        <f t="shared" si="63"/>
        <v>3591337599.1781521</v>
      </c>
    </row>
    <row r="192" spans="2:19" x14ac:dyDescent="0.45">
      <c r="B192" s="121" t="s">
        <v>111</v>
      </c>
      <c r="C192" s="137">
        <f t="shared" ref="C192:Q192" si="64">+C180+C191</f>
        <v>3643667891.1900005</v>
      </c>
      <c r="D192" s="137">
        <f t="shared" si="64"/>
        <v>3420624355.8100009</v>
      </c>
      <c r="E192" s="137">
        <f t="shared" si="64"/>
        <v>3926162628.2800002</v>
      </c>
      <c r="F192" s="137">
        <f t="shared" si="64"/>
        <v>4105645263.5199995</v>
      </c>
      <c r="G192" s="137">
        <f t="shared" si="64"/>
        <v>5494022442.8399992</v>
      </c>
      <c r="H192" s="137">
        <f t="shared" si="64"/>
        <v>5288304553.1488237</v>
      </c>
      <c r="I192" s="137">
        <f t="shared" si="64"/>
        <v>5683245917.1400375</v>
      </c>
      <c r="J192" s="137">
        <f t="shared" si="64"/>
        <v>6134437117.6322212</v>
      </c>
      <c r="K192" s="137">
        <f t="shared" si="64"/>
        <v>6542964645.2186527</v>
      </c>
      <c r="L192" s="137">
        <f t="shared" si="64"/>
        <v>6881132185.0702534</v>
      </c>
      <c r="M192" s="137">
        <f t="shared" si="64"/>
        <v>7261026627.6620445</v>
      </c>
      <c r="N192" s="137">
        <f t="shared" si="64"/>
        <v>7764032747.5669956</v>
      </c>
      <c r="O192" s="137">
        <f t="shared" si="64"/>
        <v>8293011229.6434956</v>
      </c>
      <c r="P192" s="137">
        <f t="shared" si="64"/>
        <v>8852168126.6851063</v>
      </c>
      <c r="Q192" s="145">
        <f t="shared" si="64"/>
        <v>9460507852.6212521</v>
      </c>
    </row>
    <row r="196" spans="2:19" x14ac:dyDescent="0.45">
      <c r="B196" s="161" t="s">
        <v>112</v>
      </c>
      <c r="C196" s="162">
        <f t="shared" ref="C196:Q196" si="65">+C158/C156</f>
        <v>-3.3954375596137766E-2</v>
      </c>
      <c r="D196" s="162">
        <f t="shared" si="65"/>
        <v>-2.4623192277544892E-2</v>
      </c>
      <c r="E196" s="162">
        <f t="shared" si="65"/>
        <v>-1.3349406362653837E-2</v>
      </c>
      <c r="F196" s="162">
        <f t="shared" si="65"/>
        <v>0</v>
      </c>
      <c r="G196" s="162">
        <f t="shared" si="65"/>
        <v>0</v>
      </c>
      <c r="H196" s="162">
        <f t="shared" si="65"/>
        <v>3.5000000000000003E-2</v>
      </c>
      <c r="I196" s="162">
        <f t="shared" si="65"/>
        <v>3.5000000000000003E-2</v>
      </c>
      <c r="J196" s="162">
        <f t="shared" si="65"/>
        <v>3.5000000000000003E-2</v>
      </c>
      <c r="K196" s="162">
        <f t="shared" si="65"/>
        <v>3.5000000000000003E-2</v>
      </c>
      <c r="L196" s="162">
        <f t="shared" si="65"/>
        <v>3.5000000000000003E-2</v>
      </c>
      <c r="M196" s="162">
        <f t="shared" si="65"/>
        <v>3.5000000000000003E-2</v>
      </c>
      <c r="N196" s="162">
        <f t="shared" si="65"/>
        <v>3.5000000000000003E-2</v>
      </c>
      <c r="O196" s="162">
        <f t="shared" si="65"/>
        <v>3.5000000000000003E-2</v>
      </c>
      <c r="P196" s="162">
        <f t="shared" si="65"/>
        <v>3.5000000000000003E-2</v>
      </c>
      <c r="Q196" s="162">
        <f t="shared" si="65"/>
        <v>3.5000000000000003E-2</v>
      </c>
    </row>
    <row r="198" spans="2:19" x14ac:dyDescent="0.45">
      <c r="B198" s="79"/>
      <c r="I198" s="298"/>
      <c r="J198" s="298"/>
      <c r="K198" s="298"/>
      <c r="L198" s="298"/>
      <c r="M198" s="298"/>
      <c r="N198" s="298"/>
      <c r="O198" s="298"/>
      <c r="P198" s="298"/>
      <c r="Q198" s="298"/>
    </row>
    <row r="199" spans="2:19" x14ac:dyDescent="0.45">
      <c r="B199" s="164" t="s">
        <v>113</v>
      </c>
      <c r="C199" s="165">
        <f>+C137*(1-C196)</f>
        <v>-1209157548.3089058</v>
      </c>
      <c r="D199" s="165">
        <f t="shared" ref="D199:Q199" si="66">+D137*(1-D196)</f>
        <v>-862571150.56840563</v>
      </c>
      <c r="E199" s="165">
        <f t="shared" si="66"/>
        <v>130289347.17105101</v>
      </c>
      <c r="F199" s="165">
        <f t="shared" si="66"/>
        <v>181822475.43999696</v>
      </c>
      <c r="G199" s="165">
        <f t="shared" si="66"/>
        <v>1203447666.7100015</v>
      </c>
      <c r="H199" s="165">
        <f t="shared" si="66"/>
        <v>1147359992.6896293</v>
      </c>
      <c r="I199" s="165">
        <f t="shared" si="66"/>
        <v>1257373314.808681</v>
      </c>
      <c r="J199" s="165">
        <f t="shared" si="66"/>
        <v>1392707150.7848613</v>
      </c>
      <c r="K199" s="165">
        <f t="shared" si="66"/>
        <v>1544860214.8145204</v>
      </c>
      <c r="L199" s="165">
        <f t="shared" si="66"/>
        <v>1705377504.9774473</v>
      </c>
      <c r="M199" s="165">
        <f t="shared" si="66"/>
        <v>1876197768.3126662</v>
      </c>
      <c r="N199" s="165">
        <f t="shared" si="66"/>
        <v>2064128356.0662363</v>
      </c>
      <c r="O199" s="165">
        <f t="shared" si="66"/>
        <v>2270883135.1763263</v>
      </c>
      <c r="P199" s="165">
        <f t="shared" si="66"/>
        <v>2498347643.1941319</v>
      </c>
      <c r="Q199" s="165">
        <f t="shared" si="66"/>
        <v>2748596283.7841182</v>
      </c>
    </row>
    <row r="200" spans="2:19" x14ac:dyDescent="0.45">
      <c r="B200" s="117" t="s">
        <v>114</v>
      </c>
      <c r="C200" s="163"/>
      <c r="D200" s="111">
        <f>+D199/C192</f>
        <v>-0.23673155082383068</v>
      </c>
      <c r="E200" s="111">
        <f t="shared" ref="E200:Q200" si="67">+E199/D192</f>
        <v>3.8089346744477177E-2</v>
      </c>
      <c r="F200" s="111">
        <f t="shared" si="67"/>
        <v>4.6310479889532997E-2</v>
      </c>
      <c r="G200" s="111">
        <f t="shared" si="67"/>
        <v>0.29312022580300046</v>
      </c>
      <c r="H200" s="111">
        <f t="shared" si="67"/>
        <v>0.20883787873580836</v>
      </c>
      <c r="I200" s="111">
        <f>+I199/H192</f>
        <v>0.23776492109555247</v>
      </c>
      <c r="J200" s="111">
        <f t="shared" si="67"/>
        <v>0.24505488080053187</v>
      </c>
      <c r="K200" s="111">
        <f t="shared" si="67"/>
        <v>0.25183406157577626</v>
      </c>
      <c r="L200" s="111">
        <f t="shared" si="67"/>
        <v>0.26064293442631875</v>
      </c>
      <c r="M200" s="111">
        <f t="shared" si="67"/>
        <v>0.27265829486365417</v>
      </c>
      <c r="N200" s="111">
        <f t="shared" si="67"/>
        <v>0.28427500158209151</v>
      </c>
      <c r="O200" s="111">
        <f t="shared" si="67"/>
        <v>0.29248757817101556</v>
      </c>
      <c r="P200" s="111">
        <f t="shared" si="67"/>
        <v>0.30125940674766605</v>
      </c>
      <c r="Q200" s="167">
        <f t="shared" si="67"/>
        <v>0.31049978315463739</v>
      </c>
    </row>
    <row r="201" spans="2:19" x14ac:dyDescent="0.45">
      <c r="B201" s="117" t="s">
        <v>115</v>
      </c>
      <c r="C201" s="108"/>
      <c r="D201" s="111">
        <f>+(D192-C192)/D199</f>
        <v>0.25857986930471927</v>
      </c>
      <c r="E201" s="111">
        <f t="shared" ref="E201:Q201" si="68">+(E192-D192)/E199</f>
        <v>3.8801197753051975</v>
      </c>
      <c r="F201" s="111">
        <f t="shared" si="68"/>
        <v>0.98713118279610135</v>
      </c>
      <c r="G201" s="111">
        <f>+(G192-F192)/G199</f>
        <v>1.1536664349647714</v>
      </c>
      <c r="H201" s="111">
        <f t="shared" si="68"/>
        <v>-0.17929672552808271</v>
      </c>
      <c r="I201" s="111">
        <f>+(I192-H192)/I199</f>
        <v>0.31410032274409067</v>
      </c>
      <c r="J201" s="111">
        <f t="shared" si="68"/>
        <v>0.32396703085635375</v>
      </c>
      <c r="K201" s="111">
        <f t="shared" si="68"/>
        <v>0.26444303741454062</v>
      </c>
      <c r="L201" s="111">
        <f t="shared" si="68"/>
        <v>0.19829482848495339</v>
      </c>
      <c r="M201" s="111">
        <f t="shared" si="68"/>
        <v>0.20248102252751543</v>
      </c>
      <c r="N201" s="111">
        <f t="shared" si="68"/>
        <v>0.24368936089980736</v>
      </c>
      <c r="O201" s="111">
        <f t="shared" si="68"/>
        <v>0.2329395440401765</v>
      </c>
      <c r="P201" s="111">
        <f t="shared" si="68"/>
        <v>0.22381068485998606</v>
      </c>
      <c r="Q201" s="167">
        <f t="shared" si="68"/>
        <v>0.2213274206638367</v>
      </c>
    </row>
    <row r="202" spans="2:19" x14ac:dyDescent="0.45">
      <c r="B202" s="168" t="s">
        <v>116</v>
      </c>
      <c r="C202" s="116"/>
      <c r="D202" s="169">
        <f>+D201*D200</f>
        <v>-6.1214013472329645E-2</v>
      </c>
      <c r="E202" s="169">
        <f t="shared" ref="E202:Q202" si="69">+E201*E200</f>
        <v>0.14779122753170254</v>
      </c>
      <c r="F202" s="169">
        <f t="shared" si="69"/>
        <v>4.571451878920977E-2</v>
      </c>
      <c r="G202" s="169">
        <f t="shared" si="69"/>
        <v>0.33816296591821632</v>
      </c>
      <c r="H202" s="169">
        <f t="shared" si="69"/>
        <v>-3.7443947823561252E-2</v>
      </c>
      <c r="I202" s="169">
        <f t="shared" si="69"/>
        <v>7.4682038453336277E-2</v>
      </c>
      <c r="J202" s="169">
        <f t="shared" si="69"/>
        <v>7.9389702129805992E-2</v>
      </c>
      <c r="K202" s="169">
        <f t="shared" si="69"/>
        <v>6.6595764167538721E-2</v>
      </c>
      <c r="L202" s="169">
        <f t="shared" si="69"/>
        <v>5.1684145977881832E-2</v>
      </c>
      <c r="M202" s="169">
        <f t="shared" si="69"/>
        <v>5.5208130344601508E-2</v>
      </c>
      <c r="N202" s="169">
        <f t="shared" si="69"/>
        <v>6.9274793455331607E-2</v>
      </c>
      <c r="O202" s="169">
        <f t="shared" si="69"/>
        <v>6.8131923096571845E-2</v>
      </c>
      <c r="P202" s="169">
        <f t="shared" si="69"/>
        <v>6.7425074144708247E-2</v>
      </c>
      <c r="Q202" s="170">
        <f t="shared" si="69"/>
        <v>6.8722116122296506E-2</v>
      </c>
    </row>
    <row r="203" spans="2:19" x14ac:dyDescent="0.45">
      <c r="B203" s="79"/>
      <c r="E203" s="69">
        <f ca="1">+E203</f>
        <v>0</v>
      </c>
      <c r="I203" s="305"/>
      <c r="J203" s="305"/>
      <c r="K203" s="305"/>
      <c r="L203" s="305"/>
      <c r="M203" s="305"/>
      <c r="N203" s="305"/>
      <c r="O203" s="305"/>
      <c r="P203" s="305"/>
      <c r="Q203" s="305"/>
    </row>
    <row r="204" spans="2:19" x14ac:dyDescent="0.45">
      <c r="B204" s="171"/>
      <c r="C204" s="80"/>
      <c r="D204" s="80"/>
      <c r="E204" s="80"/>
      <c r="F204" s="80"/>
      <c r="G204" s="80"/>
      <c r="H204" s="80"/>
      <c r="I204" s="81"/>
      <c r="J204" s="81"/>
      <c r="K204" s="81"/>
      <c r="L204" s="81"/>
      <c r="M204" s="82"/>
      <c r="N204" s="82"/>
      <c r="O204" s="82"/>
      <c r="P204" s="82"/>
      <c r="Q204" s="82"/>
    </row>
    <row r="205" spans="2:19" x14ac:dyDescent="0.45">
      <c r="B205" s="317" t="s">
        <v>117</v>
      </c>
      <c r="C205" s="318"/>
      <c r="D205" s="318"/>
      <c r="E205" s="318"/>
      <c r="F205" s="318"/>
      <c r="G205" s="318"/>
      <c r="H205" s="318"/>
      <c r="I205" s="318"/>
      <c r="J205" s="318"/>
      <c r="K205" s="318"/>
      <c r="L205" s="318"/>
      <c r="M205" s="318"/>
      <c r="N205" s="318"/>
      <c r="O205" s="318"/>
      <c r="P205" s="318"/>
      <c r="Q205" s="318"/>
      <c r="R205" s="318"/>
      <c r="S205" s="319"/>
    </row>
    <row r="206" spans="2:19" x14ac:dyDescent="0.45">
      <c r="B206" s="83" t="s">
        <v>118</v>
      </c>
      <c r="C206" s="83" t="s">
        <v>119</v>
      </c>
      <c r="D206" s="83" t="s">
        <v>118</v>
      </c>
      <c r="E206" s="83" t="s">
        <v>119</v>
      </c>
      <c r="F206" s="83" t="s">
        <v>118</v>
      </c>
      <c r="G206" s="83" t="s">
        <v>119</v>
      </c>
      <c r="H206" s="83" t="s">
        <v>118</v>
      </c>
      <c r="I206" s="84" t="s">
        <v>119</v>
      </c>
      <c r="J206" s="84" t="s">
        <v>118</v>
      </c>
      <c r="K206" s="84" t="s">
        <v>119</v>
      </c>
      <c r="L206" s="84" t="s">
        <v>118</v>
      </c>
      <c r="M206" s="84" t="s">
        <v>119</v>
      </c>
      <c r="N206" s="84" t="s">
        <v>118</v>
      </c>
      <c r="O206" s="84" t="s">
        <v>119</v>
      </c>
      <c r="P206" s="84" t="s">
        <v>118</v>
      </c>
      <c r="Q206" s="84" t="s">
        <v>119</v>
      </c>
      <c r="R206" s="83" t="s">
        <v>118</v>
      </c>
      <c r="S206" s="83" t="s">
        <v>119</v>
      </c>
    </row>
    <row r="207" spans="2:19" x14ac:dyDescent="0.45">
      <c r="B207" s="85">
        <v>39783</v>
      </c>
      <c r="C207" s="86">
        <v>903.25</v>
      </c>
      <c r="D207" s="85"/>
      <c r="E207" s="86"/>
      <c r="F207" s="134"/>
      <c r="G207" s="134"/>
      <c r="H207" s="134"/>
      <c r="I207" s="92"/>
      <c r="J207" s="92"/>
      <c r="K207" s="92"/>
      <c r="L207" s="92"/>
      <c r="M207" s="92"/>
      <c r="N207" s="92"/>
      <c r="O207" s="92"/>
      <c r="P207" s="92"/>
      <c r="Q207" s="92"/>
      <c r="R207" s="97"/>
      <c r="S207" s="97"/>
    </row>
    <row r="208" spans="2:19" x14ac:dyDescent="0.45">
      <c r="B208" s="85">
        <v>39814</v>
      </c>
      <c r="C208" s="86">
        <v>825.88000499999998</v>
      </c>
      <c r="D208" s="85">
        <v>40179</v>
      </c>
      <c r="E208" s="86">
        <v>1073.869995</v>
      </c>
      <c r="F208" s="85">
        <v>40544</v>
      </c>
      <c r="G208" s="86">
        <v>1286.119995</v>
      </c>
      <c r="H208" s="85">
        <v>40909</v>
      </c>
      <c r="I208" s="86">
        <v>1312.410034</v>
      </c>
      <c r="J208" s="85">
        <v>41275</v>
      </c>
      <c r="K208" s="86">
        <v>1498.1099850000001</v>
      </c>
      <c r="L208" s="85">
        <v>41640</v>
      </c>
      <c r="M208" s="86">
        <v>1782.589966</v>
      </c>
      <c r="N208" s="85">
        <v>42005</v>
      </c>
      <c r="O208" s="86">
        <v>1994.98999</v>
      </c>
      <c r="P208" s="85">
        <v>42370</v>
      </c>
      <c r="Q208" s="86">
        <v>1940.23999</v>
      </c>
      <c r="R208" s="85">
        <v>42736</v>
      </c>
      <c r="S208" s="86">
        <v>2278.8701169999999</v>
      </c>
    </row>
    <row r="209" spans="2:19" x14ac:dyDescent="0.45">
      <c r="B209" s="85">
        <v>39845</v>
      </c>
      <c r="C209" s="86">
        <v>735.09002699999996</v>
      </c>
      <c r="D209" s="85">
        <v>40210</v>
      </c>
      <c r="E209" s="86">
        <v>1104.48999</v>
      </c>
      <c r="F209" s="85">
        <v>40575</v>
      </c>
      <c r="G209" s="86">
        <v>1327.219971</v>
      </c>
      <c r="H209" s="85">
        <v>40940</v>
      </c>
      <c r="I209" s="86">
        <v>1365.6800539999999</v>
      </c>
      <c r="J209" s="85">
        <v>41306</v>
      </c>
      <c r="K209" s="86">
        <v>1514.6800539999999</v>
      </c>
      <c r="L209" s="85">
        <v>41671</v>
      </c>
      <c r="M209" s="86">
        <v>1859.4499510000001</v>
      </c>
      <c r="N209" s="85">
        <v>42036</v>
      </c>
      <c r="O209" s="86">
        <v>2104.5</v>
      </c>
      <c r="P209" s="85">
        <v>42401</v>
      </c>
      <c r="Q209" s="86">
        <v>1932.2299800000001</v>
      </c>
      <c r="R209" s="85">
        <v>42767</v>
      </c>
      <c r="S209" s="86">
        <v>2363.639893</v>
      </c>
    </row>
    <row r="210" spans="2:19" x14ac:dyDescent="0.45">
      <c r="B210" s="85">
        <v>39873</v>
      </c>
      <c r="C210" s="86">
        <v>797.86999500000002</v>
      </c>
      <c r="D210" s="85">
        <v>40238</v>
      </c>
      <c r="E210" s="86">
        <v>1169.4300539999999</v>
      </c>
      <c r="F210" s="85">
        <v>40603</v>
      </c>
      <c r="G210" s="86">
        <v>1325.829956</v>
      </c>
      <c r="H210" s="85">
        <v>40969</v>
      </c>
      <c r="I210" s="86">
        <v>1408.469971</v>
      </c>
      <c r="J210" s="85">
        <v>41334</v>
      </c>
      <c r="K210" s="86">
        <v>1569.1899410000001</v>
      </c>
      <c r="L210" s="85">
        <v>41699</v>
      </c>
      <c r="M210" s="86">
        <v>1872.339966</v>
      </c>
      <c r="N210" s="85">
        <v>42064</v>
      </c>
      <c r="O210" s="86">
        <v>2067.889893</v>
      </c>
      <c r="P210" s="85">
        <v>42430</v>
      </c>
      <c r="Q210" s="86">
        <v>2059.73999</v>
      </c>
      <c r="R210" s="85">
        <v>42795</v>
      </c>
      <c r="S210" s="86">
        <v>2362.719971</v>
      </c>
    </row>
    <row r="211" spans="2:19" x14ac:dyDescent="0.45">
      <c r="B211" s="85">
        <v>39904</v>
      </c>
      <c r="C211" s="86">
        <v>872.80999799999995</v>
      </c>
      <c r="D211" s="85">
        <v>40269</v>
      </c>
      <c r="E211" s="86">
        <v>1186.6899410000001</v>
      </c>
      <c r="F211" s="85">
        <v>40634</v>
      </c>
      <c r="G211" s="86">
        <v>1363.6099850000001</v>
      </c>
      <c r="H211" s="85">
        <v>41000</v>
      </c>
      <c r="I211" s="86">
        <v>1397.910034</v>
      </c>
      <c r="J211" s="85">
        <v>41365</v>
      </c>
      <c r="K211" s="86">
        <v>1597.5699460000001</v>
      </c>
      <c r="L211" s="85">
        <v>41730</v>
      </c>
      <c r="M211" s="86">
        <v>1883.9499510000001</v>
      </c>
      <c r="N211" s="85">
        <v>42095</v>
      </c>
      <c r="O211" s="86">
        <v>2085.51001</v>
      </c>
      <c r="P211" s="85">
        <v>42461</v>
      </c>
      <c r="Q211" s="86">
        <v>2065.3000489999999</v>
      </c>
      <c r="R211" s="85">
        <v>42826</v>
      </c>
      <c r="S211" s="86">
        <v>2384.1999510000001</v>
      </c>
    </row>
    <row r="212" spans="2:19" x14ac:dyDescent="0.45">
      <c r="B212" s="85">
        <v>39934</v>
      </c>
      <c r="C212" s="86">
        <v>919.14001499999995</v>
      </c>
      <c r="D212" s="85">
        <v>40299</v>
      </c>
      <c r="E212" s="86">
        <v>1089.410034</v>
      </c>
      <c r="F212" s="85">
        <v>40664</v>
      </c>
      <c r="G212" s="86">
        <v>1345.1999510000001</v>
      </c>
      <c r="H212" s="85">
        <v>41030</v>
      </c>
      <c r="I212" s="86">
        <v>1310.329956</v>
      </c>
      <c r="J212" s="85">
        <v>41395</v>
      </c>
      <c r="K212" s="86">
        <v>1630.73999</v>
      </c>
      <c r="L212" s="85">
        <v>41760</v>
      </c>
      <c r="M212" s="86">
        <v>1923.5699460000001</v>
      </c>
      <c r="N212" s="85">
        <v>42125</v>
      </c>
      <c r="O212" s="86">
        <v>2107.389893</v>
      </c>
      <c r="P212" s="85">
        <v>42491</v>
      </c>
      <c r="Q212" s="86">
        <v>2096.9499510000001</v>
      </c>
      <c r="R212" s="85">
        <v>42856</v>
      </c>
      <c r="S212" s="86">
        <v>2411.8000489999999</v>
      </c>
    </row>
    <row r="213" spans="2:19" x14ac:dyDescent="0.45">
      <c r="B213" s="85">
        <v>39965</v>
      </c>
      <c r="C213" s="86">
        <v>919.32000700000003</v>
      </c>
      <c r="D213" s="85">
        <v>40330</v>
      </c>
      <c r="E213" s="86">
        <v>1030.709961</v>
      </c>
      <c r="F213" s="85">
        <v>40695</v>
      </c>
      <c r="G213" s="86">
        <v>1320.6400149999999</v>
      </c>
      <c r="H213" s="85">
        <v>41061</v>
      </c>
      <c r="I213" s="86">
        <v>1362.160034</v>
      </c>
      <c r="J213" s="85">
        <v>41426</v>
      </c>
      <c r="K213" s="86">
        <v>1606.280029</v>
      </c>
      <c r="L213" s="85">
        <v>41791</v>
      </c>
      <c r="M213" s="86">
        <v>1960.2299800000001</v>
      </c>
      <c r="N213" s="85">
        <v>42156</v>
      </c>
      <c r="O213" s="86">
        <v>2063.110107</v>
      </c>
      <c r="P213" s="85">
        <v>42522</v>
      </c>
      <c r="Q213" s="86">
        <v>2098.860107</v>
      </c>
      <c r="R213" s="85">
        <v>42887</v>
      </c>
      <c r="S213" s="86">
        <v>2423.4099120000001</v>
      </c>
    </row>
    <row r="214" spans="2:19" x14ac:dyDescent="0.45">
      <c r="B214" s="85">
        <v>39995</v>
      </c>
      <c r="C214" s="86">
        <v>987.47997999999995</v>
      </c>
      <c r="D214" s="85">
        <v>40360</v>
      </c>
      <c r="E214" s="86">
        <v>1101.599976</v>
      </c>
      <c r="F214" s="85">
        <v>40725</v>
      </c>
      <c r="G214" s="86">
        <v>1292.280029</v>
      </c>
      <c r="H214" s="85">
        <v>41091</v>
      </c>
      <c r="I214" s="86">
        <v>1379.3199460000001</v>
      </c>
      <c r="J214" s="85">
        <v>41456</v>
      </c>
      <c r="K214" s="86">
        <v>1685.7299800000001</v>
      </c>
      <c r="L214" s="85">
        <v>41821</v>
      </c>
      <c r="M214" s="86">
        <v>1930.670044</v>
      </c>
      <c r="N214" s="85">
        <v>42186</v>
      </c>
      <c r="O214" s="86">
        <v>2103.8400879999999</v>
      </c>
      <c r="P214" s="85">
        <v>42552</v>
      </c>
      <c r="Q214" s="86">
        <v>2173.6000979999999</v>
      </c>
      <c r="R214" s="85">
        <v>42917</v>
      </c>
      <c r="S214" s="86">
        <v>2470.3000489999999</v>
      </c>
    </row>
    <row r="215" spans="2:19" x14ac:dyDescent="0.45">
      <c r="B215" s="85">
        <v>40026</v>
      </c>
      <c r="C215" s="86">
        <v>1020.619995</v>
      </c>
      <c r="D215" s="85">
        <v>40391</v>
      </c>
      <c r="E215" s="86">
        <v>1049.329956</v>
      </c>
      <c r="F215" s="85">
        <v>40756</v>
      </c>
      <c r="G215" s="86">
        <v>1218.8900149999999</v>
      </c>
      <c r="H215" s="85">
        <v>41122</v>
      </c>
      <c r="I215" s="86">
        <v>1406.579956</v>
      </c>
      <c r="J215" s="85">
        <v>41487</v>
      </c>
      <c r="K215" s="86">
        <v>1632.969971</v>
      </c>
      <c r="L215" s="85">
        <v>41852</v>
      </c>
      <c r="M215" s="86">
        <v>2003.369995</v>
      </c>
      <c r="N215" s="85">
        <v>42217</v>
      </c>
      <c r="O215" s="86">
        <v>1972.1800539999999</v>
      </c>
      <c r="P215" s="85">
        <v>42583</v>
      </c>
      <c r="Q215" s="86">
        <v>2170.9499510000001</v>
      </c>
      <c r="R215" s="85">
        <v>42948</v>
      </c>
      <c r="S215" s="86">
        <v>2471.6499020000001</v>
      </c>
    </row>
    <row r="216" spans="2:19" x14ac:dyDescent="0.45">
      <c r="B216" s="85">
        <v>40057</v>
      </c>
      <c r="C216" s="86">
        <v>1057.079956</v>
      </c>
      <c r="D216" s="85">
        <v>40422</v>
      </c>
      <c r="E216" s="86">
        <v>1141.1999510000001</v>
      </c>
      <c r="F216" s="85">
        <v>40787</v>
      </c>
      <c r="G216" s="86">
        <v>1131.420044</v>
      </c>
      <c r="H216" s="85">
        <v>41153</v>
      </c>
      <c r="I216" s="86">
        <v>1440.670044</v>
      </c>
      <c r="J216" s="85">
        <v>41518</v>
      </c>
      <c r="K216" s="86">
        <v>1681.5500489999999</v>
      </c>
      <c r="L216" s="85">
        <v>41883</v>
      </c>
      <c r="M216" s="86">
        <v>1972.290039</v>
      </c>
      <c r="N216" s="85">
        <v>42248</v>
      </c>
      <c r="O216" s="86">
        <v>1920.030029</v>
      </c>
      <c r="P216" s="85">
        <v>42614</v>
      </c>
      <c r="Q216" s="86">
        <v>2168.2700199999999</v>
      </c>
      <c r="R216" s="85">
        <v>42979</v>
      </c>
      <c r="S216" s="86">
        <v>2519.360107</v>
      </c>
    </row>
    <row r="217" spans="2:19" x14ac:dyDescent="0.45">
      <c r="B217" s="85">
        <v>40087</v>
      </c>
      <c r="C217" s="86">
        <v>1036.1899410000001</v>
      </c>
      <c r="D217" s="85">
        <v>40452</v>
      </c>
      <c r="E217" s="86">
        <v>1183.26001</v>
      </c>
      <c r="F217" s="85">
        <v>40817</v>
      </c>
      <c r="G217" s="86">
        <v>1253.3000489999999</v>
      </c>
      <c r="H217" s="85">
        <v>41183</v>
      </c>
      <c r="I217" s="86">
        <v>1412.160034</v>
      </c>
      <c r="J217" s="85">
        <v>41548</v>
      </c>
      <c r="K217" s="86">
        <v>1756.540039</v>
      </c>
      <c r="L217" s="85">
        <v>41913</v>
      </c>
      <c r="M217" s="86">
        <v>2018.0500489999999</v>
      </c>
      <c r="N217" s="85">
        <v>42278</v>
      </c>
      <c r="O217" s="86">
        <v>2079.360107</v>
      </c>
      <c r="P217" s="85">
        <v>42644</v>
      </c>
      <c r="Q217" s="86">
        <v>2126.1499020000001</v>
      </c>
      <c r="R217" s="85">
        <v>43009</v>
      </c>
      <c r="S217" s="86">
        <v>2575.26001</v>
      </c>
    </row>
    <row r="218" spans="2:19" x14ac:dyDescent="0.45">
      <c r="B218" s="85">
        <v>40118</v>
      </c>
      <c r="C218" s="86">
        <v>1095.630005</v>
      </c>
      <c r="D218" s="85">
        <v>40483</v>
      </c>
      <c r="E218" s="86">
        <v>1180.5500489999999</v>
      </c>
      <c r="F218" s="85">
        <v>40848</v>
      </c>
      <c r="G218" s="86">
        <v>1246.959961</v>
      </c>
      <c r="H218" s="85">
        <v>41214</v>
      </c>
      <c r="I218" s="86">
        <v>1416.1800539999999</v>
      </c>
      <c r="J218" s="85">
        <v>41579</v>
      </c>
      <c r="K218" s="86">
        <v>1805.8100589999999</v>
      </c>
      <c r="L218" s="85">
        <v>41944</v>
      </c>
      <c r="M218" s="86">
        <v>2067.5600589999999</v>
      </c>
      <c r="N218" s="85">
        <v>42309</v>
      </c>
      <c r="O218" s="86">
        <v>2080.4099120000001</v>
      </c>
      <c r="P218" s="85">
        <v>42675</v>
      </c>
      <c r="Q218" s="86">
        <v>2198.8100589999999</v>
      </c>
      <c r="R218" s="85">
        <v>43040</v>
      </c>
      <c r="S218" s="86">
        <v>2601.419922</v>
      </c>
    </row>
    <row r="219" spans="2:19" x14ac:dyDescent="0.45">
      <c r="B219" s="85">
        <v>40148</v>
      </c>
      <c r="C219" s="86">
        <v>1115.099976</v>
      </c>
      <c r="D219" s="85">
        <v>40513</v>
      </c>
      <c r="E219" s="86">
        <v>1257.6400149999999</v>
      </c>
      <c r="F219" s="85">
        <v>40878</v>
      </c>
      <c r="G219" s="86">
        <v>1257.599976</v>
      </c>
      <c r="H219" s="85">
        <v>41244</v>
      </c>
      <c r="I219" s="86">
        <v>1426.1899410000001</v>
      </c>
      <c r="J219" s="85">
        <v>41609</v>
      </c>
      <c r="K219" s="86">
        <v>1848.3599850000001</v>
      </c>
      <c r="L219" s="85">
        <v>41974</v>
      </c>
      <c r="M219" s="86">
        <v>2058.8999020000001</v>
      </c>
      <c r="N219" s="85">
        <v>42339</v>
      </c>
      <c r="O219" s="86">
        <v>2043.9399410000001</v>
      </c>
      <c r="P219" s="85">
        <v>42705</v>
      </c>
      <c r="Q219" s="86">
        <v>2238.830078</v>
      </c>
      <c r="R219" s="85">
        <v>43041</v>
      </c>
      <c r="S219" s="87">
        <v>2673.61</v>
      </c>
    </row>
    <row r="220" spans="2:19" x14ac:dyDescent="0.45">
      <c r="B220" s="117"/>
      <c r="C220" s="108"/>
      <c r="D220" s="108"/>
      <c r="E220" s="108"/>
      <c r="F220" s="108"/>
      <c r="G220" s="108"/>
      <c r="H220" s="108"/>
      <c r="I220" s="109"/>
      <c r="J220" s="109"/>
      <c r="K220" s="109"/>
      <c r="L220" s="109"/>
      <c r="M220" s="109"/>
      <c r="N220" s="109"/>
      <c r="O220" s="109"/>
      <c r="P220" s="109"/>
      <c r="Q220" s="109"/>
      <c r="R220" s="79"/>
      <c r="S220" s="173"/>
    </row>
    <row r="221" spans="2:19" x14ac:dyDescent="0.45">
      <c r="B221" s="117"/>
      <c r="C221" s="108"/>
      <c r="D221" s="108"/>
      <c r="E221" s="108"/>
      <c r="F221" s="108"/>
      <c r="G221" s="108"/>
      <c r="H221" s="108"/>
      <c r="I221" s="109"/>
      <c r="J221" s="109"/>
      <c r="K221" s="109"/>
      <c r="L221" s="109"/>
      <c r="M221" s="109"/>
      <c r="N221" s="109"/>
      <c r="O221" s="109"/>
      <c r="P221" s="109"/>
      <c r="Q221" s="109"/>
      <c r="R221" s="79"/>
      <c r="S221" s="173"/>
    </row>
    <row r="222" spans="2:19" x14ac:dyDescent="0.45">
      <c r="B222" s="83" t="s">
        <v>118</v>
      </c>
      <c r="C222" s="88" t="s">
        <v>120</v>
      </c>
      <c r="D222" s="83" t="s">
        <v>118</v>
      </c>
      <c r="E222" s="88" t="s">
        <v>120</v>
      </c>
      <c r="F222" s="83" t="s">
        <v>118</v>
      </c>
      <c r="G222" s="88" t="s">
        <v>120</v>
      </c>
      <c r="H222" s="83" t="s">
        <v>118</v>
      </c>
      <c r="I222" s="89" t="s">
        <v>120</v>
      </c>
      <c r="J222" s="84" t="s">
        <v>118</v>
      </c>
      <c r="K222" s="89" t="s">
        <v>120</v>
      </c>
      <c r="L222" s="84" t="s">
        <v>118</v>
      </c>
      <c r="M222" s="89" t="s">
        <v>120</v>
      </c>
      <c r="N222" s="84" t="s">
        <v>118</v>
      </c>
      <c r="O222" s="89" t="s">
        <v>120</v>
      </c>
      <c r="P222" s="84" t="s">
        <v>118</v>
      </c>
      <c r="Q222" s="89" t="s">
        <v>120</v>
      </c>
      <c r="R222" s="83" t="s">
        <v>118</v>
      </c>
      <c r="S222" s="88" t="s">
        <v>120</v>
      </c>
    </row>
    <row r="223" spans="2:19" x14ac:dyDescent="0.45">
      <c r="B223" s="85">
        <v>39814</v>
      </c>
      <c r="C223" s="90">
        <f>LN(C208/C207)</f>
        <v>-8.9549879456922679E-2</v>
      </c>
      <c r="D223" s="85">
        <v>40179</v>
      </c>
      <c r="E223" s="91">
        <f>LN(E208/C219)</f>
        <v>-3.7675124192644176E-2</v>
      </c>
      <c r="F223" s="85">
        <v>40544</v>
      </c>
      <c r="G223" s="91">
        <f>LN(G208/E219)</f>
        <v>2.2392969441753622E-2</v>
      </c>
      <c r="H223" s="85">
        <v>40909</v>
      </c>
      <c r="I223" s="92">
        <f>LN(I208/G219)</f>
        <v>4.266004400164506E-2</v>
      </c>
      <c r="J223" s="93">
        <v>41275</v>
      </c>
      <c r="K223" s="92">
        <f>LN(K208/I219)</f>
        <v>4.9197792048925292E-2</v>
      </c>
      <c r="L223" s="93">
        <v>41640</v>
      </c>
      <c r="M223" s="92">
        <f>LN(M208/K219)</f>
        <v>-3.623140748501559E-2</v>
      </c>
      <c r="N223" s="93">
        <v>42005</v>
      </c>
      <c r="O223" s="92">
        <f>LN(O208/M219)</f>
        <v>-3.1532779216949261E-2</v>
      </c>
      <c r="P223" s="93">
        <v>42370</v>
      </c>
      <c r="Q223" s="92">
        <f>LN(Q208/O219)</f>
        <v>-5.2067617227535473E-2</v>
      </c>
      <c r="R223" s="85">
        <v>42736</v>
      </c>
      <c r="S223" s="94">
        <f>LN(S208/Q219)</f>
        <v>1.7726314594617782E-2</v>
      </c>
    </row>
    <row r="224" spans="2:19" x14ac:dyDescent="0.45">
      <c r="B224" s="85">
        <v>39845</v>
      </c>
      <c r="C224" s="90">
        <f>LN(C209/C208)</f>
        <v>-0.11645651314446717</v>
      </c>
      <c r="D224" s="85">
        <v>40210</v>
      </c>
      <c r="E224" s="90">
        <f t="shared" ref="C224:S234" si="70">LN(E209/E208)</f>
        <v>2.8114739638764777E-2</v>
      </c>
      <c r="F224" s="85">
        <v>40575</v>
      </c>
      <c r="G224" s="90">
        <f t="shared" si="70"/>
        <v>3.1456577077623601E-2</v>
      </c>
      <c r="H224" s="85">
        <v>40940</v>
      </c>
      <c r="I224" s="95">
        <f t="shared" si="70"/>
        <v>3.9787345020620563E-2</v>
      </c>
      <c r="J224" s="93">
        <v>41306</v>
      </c>
      <c r="K224" s="95">
        <f t="shared" si="70"/>
        <v>1.0999927551865671E-2</v>
      </c>
      <c r="L224" s="93">
        <v>41671</v>
      </c>
      <c r="M224" s="95">
        <f t="shared" si="70"/>
        <v>4.2213374879040998E-2</v>
      </c>
      <c r="N224" s="93">
        <v>42036</v>
      </c>
      <c r="O224" s="95">
        <f t="shared" si="70"/>
        <v>5.343887644310899E-2</v>
      </c>
      <c r="P224" s="93">
        <v>42401</v>
      </c>
      <c r="Q224" s="95">
        <f t="shared" si="70"/>
        <v>-4.1369056367907874E-3</v>
      </c>
      <c r="R224" s="85">
        <v>42767</v>
      </c>
      <c r="S224" s="96">
        <f t="shared" si="70"/>
        <v>3.6523000999039816E-2</v>
      </c>
    </row>
    <row r="225" spans="2:19" x14ac:dyDescent="0.45">
      <c r="B225" s="85">
        <v>39873</v>
      </c>
      <c r="C225" s="90">
        <f t="shared" si="70"/>
        <v>8.1952693217763314E-2</v>
      </c>
      <c r="D225" s="85">
        <v>40238</v>
      </c>
      <c r="E225" s="90">
        <f>LN(E210/E209)</f>
        <v>5.713281587577692E-2</v>
      </c>
      <c r="F225" s="85">
        <v>40603</v>
      </c>
      <c r="G225" s="90">
        <f t="shared" ref="G225" si="71">LN(G210/G209)</f>
        <v>-1.0478620195134246E-3</v>
      </c>
      <c r="H225" s="85">
        <v>40969</v>
      </c>
      <c r="I225" s="95">
        <f t="shared" ref="I225" si="72">LN(I210/I209)</f>
        <v>3.0851475632112556E-2</v>
      </c>
      <c r="J225" s="93">
        <v>41334</v>
      </c>
      <c r="K225" s="95">
        <f t="shared" ref="K225" si="73">LN(K210/K209)</f>
        <v>3.5355293879972854E-2</v>
      </c>
      <c r="L225" s="93">
        <v>41699</v>
      </c>
      <c r="M225" s="95">
        <f t="shared" ref="M225" si="74">LN(M210/M209)</f>
        <v>6.9082486153468677E-3</v>
      </c>
      <c r="N225" s="93">
        <v>42064</v>
      </c>
      <c r="O225" s="95">
        <f t="shared" ref="O225" si="75">LN(O210/O209)</f>
        <v>-1.7549197229950769E-2</v>
      </c>
      <c r="P225" s="93">
        <v>42430</v>
      </c>
      <c r="Q225" s="95">
        <f t="shared" ref="Q225" si="76">LN(Q210/Q209)</f>
        <v>6.3904990415635493E-2</v>
      </c>
      <c r="R225" s="85">
        <v>42795</v>
      </c>
      <c r="S225" s="96">
        <f t="shared" ref="S225" si="77">LN(S210/S209)</f>
        <v>-3.8927294496698804E-4</v>
      </c>
    </row>
    <row r="226" spans="2:19" x14ac:dyDescent="0.45">
      <c r="B226" s="85">
        <v>39904</v>
      </c>
      <c r="C226" s="90">
        <f t="shared" si="70"/>
        <v>8.9772218896205111E-2</v>
      </c>
      <c r="D226" s="85">
        <v>40269</v>
      </c>
      <c r="E226" s="90">
        <f>LN(E211/E210)</f>
        <v>1.4651372417397389E-2</v>
      </c>
      <c r="F226" s="85">
        <v>40634</v>
      </c>
      <c r="G226" s="90">
        <f t="shared" ref="G226" si="78">LN(G211/G210)</f>
        <v>2.8096938553675548E-2</v>
      </c>
      <c r="H226" s="85">
        <v>41000</v>
      </c>
      <c r="I226" s="95">
        <f t="shared" ref="I226" si="79">LN(I211/I210)</f>
        <v>-7.5256998843071772E-3</v>
      </c>
      <c r="J226" s="93">
        <v>41365</v>
      </c>
      <c r="K226" s="95">
        <f t="shared" ref="K226" si="80">LN(K211/K210)</f>
        <v>1.792416591460497E-2</v>
      </c>
      <c r="L226" s="93">
        <v>41730</v>
      </c>
      <c r="M226" s="95">
        <f t="shared" ref="M226" si="81">LN(M211/M210)</f>
        <v>6.18164317838415E-3</v>
      </c>
      <c r="N226" s="93">
        <v>42095</v>
      </c>
      <c r="O226" s="95">
        <f t="shared" ref="O226" si="82">LN(O211/O210)</f>
        <v>8.4847224530057719E-3</v>
      </c>
      <c r="P226" s="93">
        <v>42461</v>
      </c>
      <c r="Q226" s="95">
        <f t="shared" ref="Q226" si="83">LN(Q211/Q210)</f>
        <v>2.6957616481642385E-3</v>
      </c>
      <c r="R226" s="85">
        <v>42826</v>
      </c>
      <c r="S226" s="96">
        <f t="shared" ref="S226" si="84">LN(S211/S210)</f>
        <v>9.0501322804594966E-3</v>
      </c>
    </row>
    <row r="227" spans="2:19" x14ac:dyDescent="0.45">
      <c r="B227" s="85">
        <v>39934</v>
      </c>
      <c r="C227" s="90">
        <f>LN(C212/C211)</f>
        <v>5.1720577031934709E-2</v>
      </c>
      <c r="D227" s="85">
        <v>40299</v>
      </c>
      <c r="E227" s="90">
        <f t="shared" ref="E227" si="85">LN(E212/E211)</f>
        <v>-8.5531572706092185E-2</v>
      </c>
      <c r="F227" s="85">
        <v>40664</v>
      </c>
      <c r="G227" s="90">
        <f t="shared" ref="G227" si="86">LN(G212/G211)</f>
        <v>-1.3592919325235627E-2</v>
      </c>
      <c r="H227" s="85">
        <v>41030</v>
      </c>
      <c r="I227" s="95">
        <f t="shared" ref="I227" si="87">LN(I212/I211)</f>
        <v>-6.4699308071820338E-2</v>
      </c>
      <c r="J227" s="93">
        <v>41395</v>
      </c>
      <c r="K227" s="95">
        <f t="shared" ref="K227" si="88">LN(K212/K211)</f>
        <v>2.0550202420727141E-2</v>
      </c>
      <c r="L227" s="93">
        <v>41760</v>
      </c>
      <c r="M227" s="95">
        <f t="shared" ref="M227" si="89">LN(M212/M211)</f>
        <v>2.0812195954315483E-2</v>
      </c>
      <c r="N227" s="93">
        <v>42125</v>
      </c>
      <c r="O227" s="95">
        <f t="shared" ref="O227" si="90">LN(O212/O211)</f>
        <v>1.0436729763142673E-2</v>
      </c>
      <c r="P227" s="93">
        <v>42491</v>
      </c>
      <c r="Q227" s="95">
        <f t="shared" ref="Q227" si="91">LN(Q212/Q211)</f>
        <v>1.5208366645339389E-2</v>
      </c>
      <c r="R227" s="85">
        <v>42856</v>
      </c>
      <c r="S227" s="96">
        <f t="shared" ref="S227" si="92">LN(S212/S211)</f>
        <v>1.1509759254333795E-2</v>
      </c>
    </row>
    <row r="228" spans="2:19" x14ac:dyDescent="0.45">
      <c r="B228" s="85">
        <v>39965</v>
      </c>
      <c r="C228" s="90">
        <f t="shared" si="70"/>
        <v>1.9580735879086813E-4</v>
      </c>
      <c r="D228" s="85">
        <v>40330</v>
      </c>
      <c r="E228" s="90">
        <f t="shared" ref="E228" si="93">LN(E213/E212)</f>
        <v>-5.5388449179925643E-2</v>
      </c>
      <c r="F228" s="85">
        <v>40695</v>
      </c>
      <c r="G228" s="90">
        <f t="shared" ref="G228" si="94">LN(G213/G212)</f>
        <v>-1.8426185517957314E-2</v>
      </c>
      <c r="H228" s="85">
        <v>41061</v>
      </c>
      <c r="I228" s="95">
        <f t="shared" ref="I228" si="95">LN(I213/I212)</f>
        <v>3.8792719783522139E-2</v>
      </c>
      <c r="J228" s="93">
        <v>41426</v>
      </c>
      <c r="K228" s="95">
        <f t="shared" ref="K228" si="96">LN(K213/K212)</f>
        <v>-1.5112928811378473E-2</v>
      </c>
      <c r="L228" s="93">
        <v>41791</v>
      </c>
      <c r="M228" s="95">
        <f t="shared" ref="M228" si="97">LN(M213/M212)</f>
        <v>1.8878996624704429E-2</v>
      </c>
      <c r="N228" s="93">
        <v>42156</v>
      </c>
      <c r="O228" s="95">
        <f t="shared" ref="O228" si="98">LN(O213/O212)</f>
        <v>-2.1235559276432083E-2</v>
      </c>
      <c r="P228" s="93">
        <v>42522</v>
      </c>
      <c r="Q228" s="95">
        <f t="shared" ref="Q228" si="99">LN(Q213/Q212)</f>
        <v>9.1050648411568206E-4</v>
      </c>
      <c r="R228" s="85">
        <v>42887</v>
      </c>
      <c r="S228" s="96">
        <f t="shared" ref="S228" si="100">LN(S213/S212)</f>
        <v>4.8022259241070758E-3</v>
      </c>
    </row>
    <row r="229" spans="2:19" x14ac:dyDescent="0.45">
      <c r="B229" s="85">
        <v>39995</v>
      </c>
      <c r="C229" s="90">
        <f>LN(C214/C213)</f>
        <v>7.1521949220993447E-2</v>
      </c>
      <c r="D229" s="85">
        <v>40360</v>
      </c>
      <c r="E229" s="90">
        <f t="shared" ref="E229" si="101">LN(E214/E213)</f>
        <v>6.6515799326092917E-2</v>
      </c>
      <c r="F229" s="85">
        <v>40725</v>
      </c>
      <c r="G229" s="90">
        <f t="shared" ref="G229" si="102">LN(G214/G213)</f>
        <v>-2.1708356352599566E-2</v>
      </c>
      <c r="H229" s="85">
        <v>41091</v>
      </c>
      <c r="I229" s="95">
        <f t="shared" ref="I229" si="103">LN(I214/I213)</f>
        <v>1.2518884862627446E-2</v>
      </c>
      <c r="J229" s="93">
        <v>41456</v>
      </c>
      <c r="K229" s="95">
        <f t="shared" ref="K229" si="104">LN(K214/K213)</f>
        <v>4.82777279585399E-2</v>
      </c>
      <c r="L229" s="93">
        <v>41821</v>
      </c>
      <c r="M229" s="95">
        <f t="shared" ref="M229" si="105">LN(M214/M213)</f>
        <v>-1.5194687370535838E-2</v>
      </c>
      <c r="N229" s="93">
        <v>42186</v>
      </c>
      <c r="O229" s="95">
        <f t="shared" ref="O229" si="106">LN(O214/O213)</f>
        <v>1.954968324649287E-2</v>
      </c>
      <c r="P229" s="93">
        <v>42552</v>
      </c>
      <c r="Q229" s="95">
        <f t="shared" ref="Q229" si="107">LN(Q214/Q213)</f>
        <v>3.4990433050203752E-2</v>
      </c>
      <c r="R229" s="85">
        <v>42917</v>
      </c>
      <c r="S229" s="96">
        <f t="shared" ref="S229" si="108">LN(S214/S213)</f>
        <v>1.916401766181007E-2</v>
      </c>
    </row>
    <row r="230" spans="2:19" x14ac:dyDescent="0.45">
      <c r="B230" s="85">
        <v>40026</v>
      </c>
      <c r="C230" s="90">
        <f t="shared" si="70"/>
        <v>3.3009336702728598E-2</v>
      </c>
      <c r="D230" s="85">
        <v>40391</v>
      </c>
      <c r="E230" s="90">
        <f t="shared" ref="E230" si="109">LN(E215/E214)</f>
        <v>-4.8611823315409079E-2</v>
      </c>
      <c r="F230" s="85">
        <v>40756</v>
      </c>
      <c r="G230" s="90">
        <f t="shared" ref="G230" si="110">LN(G215/G214)</f>
        <v>-5.8467501753798806E-2</v>
      </c>
      <c r="H230" s="85">
        <v>41122</v>
      </c>
      <c r="I230" s="95">
        <f t="shared" ref="I230" si="111">LN(I215/I214)</f>
        <v>1.9570609872560242E-2</v>
      </c>
      <c r="J230" s="93">
        <v>41487</v>
      </c>
      <c r="K230" s="95">
        <f t="shared" ref="K230" si="112">LN(K215/K214)</f>
        <v>-3.1798267578075287E-2</v>
      </c>
      <c r="L230" s="93">
        <v>41852</v>
      </c>
      <c r="M230" s="95">
        <f t="shared" ref="M230" si="113">LN(M215/M214)</f>
        <v>3.6963644321168353E-2</v>
      </c>
      <c r="N230" s="93">
        <v>42217</v>
      </c>
      <c r="O230" s="95">
        <f t="shared" ref="O230" si="114">LN(O215/O214)</f>
        <v>-6.4624730898542204E-2</v>
      </c>
      <c r="P230" s="93">
        <v>42583</v>
      </c>
      <c r="Q230" s="95">
        <f t="shared" ref="Q230" si="115">LN(Q215/Q214)</f>
        <v>-1.2199870176702919E-3</v>
      </c>
      <c r="R230" s="85">
        <v>42948</v>
      </c>
      <c r="S230" s="96">
        <f t="shared" ref="S230" si="116">LN(S215/S214)</f>
        <v>5.4628357104102084E-4</v>
      </c>
    </row>
    <row r="231" spans="2:19" x14ac:dyDescent="0.45">
      <c r="B231" s="85">
        <v>40057</v>
      </c>
      <c r="C231" s="90">
        <f t="shared" si="70"/>
        <v>3.5100067430831765E-2</v>
      </c>
      <c r="D231" s="85">
        <v>40422</v>
      </c>
      <c r="E231" s="90">
        <f t="shared" ref="E231" si="117">LN(E216/E215)</f>
        <v>8.3928474089541724E-2</v>
      </c>
      <c r="F231" s="85">
        <v>40787</v>
      </c>
      <c r="G231" s="90">
        <f t="shared" ref="G231" si="118">LN(G216/G215)</f>
        <v>-7.4467100959878879E-2</v>
      </c>
      <c r="H231" s="85">
        <v>41153</v>
      </c>
      <c r="I231" s="95">
        <f t="shared" ref="I231" si="119">LN(I216/I215)</f>
        <v>2.3947118873094017E-2</v>
      </c>
      <c r="J231" s="93">
        <v>41518</v>
      </c>
      <c r="K231" s="95">
        <f t="shared" ref="K231" si="120">LN(K216/K215)</f>
        <v>2.931559128683648E-2</v>
      </c>
      <c r="L231" s="93">
        <v>41883</v>
      </c>
      <c r="M231" s="95">
        <f t="shared" ref="M231" si="121">LN(M216/M215)</f>
        <v>-1.5635436078483781E-2</v>
      </c>
      <c r="N231" s="93">
        <v>42248</v>
      </c>
      <c r="O231" s="95">
        <f t="shared" ref="O231" si="122">LN(O216/O215)</f>
        <v>-2.6798731264652844E-2</v>
      </c>
      <c r="P231" s="93">
        <v>42614</v>
      </c>
      <c r="Q231" s="95">
        <f t="shared" ref="Q231" si="123">LN(Q216/Q215)</f>
        <v>-1.2352134063971093E-3</v>
      </c>
      <c r="R231" s="85">
        <v>42979</v>
      </c>
      <c r="S231" s="96">
        <f t="shared" ref="S231" si="124">LN(S216/S215)</f>
        <v>1.911903932397916E-2</v>
      </c>
    </row>
    <row r="232" spans="2:19" x14ac:dyDescent="0.45">
      <c r="B232" s="85">
        <v>40087</v>
      </c>
      <c r="C232" s="90">
        <f t="shared" si="70"/>
        <v>-1.9959880537446347E-2</v>
      </c>
      <c r="D232" s="85">
        <v>40452</v>
      </c>
      <c r="E232" s="90">
        <f t="shared" ref="E232" si="125">LN(E217/E216)</f>
        <v>3.6193052099175581E-2</v>
      </c>
      <c r="F232" s="85">
        <v>40817</v>
      </c>
      <c r="G232" s="90">
        <f t="shared" ref="G232" si="126">LN(G217/G216)</f>
        <v>0.10230659185819124</v>
      </c>
      <c r="H232" s="85">
        <v>41183</v>
      </c>
      <c r="I232" s="95">
        <f t="shared" ref="I232" si="127">LN(I217/I216)</f>
        <v>-1.9987842523252936E-2</v>
      </c>
      <c r="J232" s="93">
        <v>41548</v>
      </c>
      <c r="K232" s="95">
        <f t="shared" ref="K232" si="128">LN(K217/K216)</f>
        <v>4.3629970975040296E-2</v>
      </c>
      <c r="L232" s="93">
        <v>41913</v>
      </c>
      <c r="M232" s="95">
        <f t="shared" ref="M232" si="129">LN(M217/M216)</f>
        <v>2.2936398946422354E-2</v>
      </c>
      <c r="N232" s="93">
        <v>42278</v>
      </c>
      <c r="O232" s="95">
        <f t="shared" ref="O232" si="130">LN(O217/O216)</f>
        <v>7.9719379495131665E-2</v>
      </c>
      <c r="P232" s="93">
        <v>42644</v>
      </c>
      <c r="Q232" s="95">
        <f t="shared" ref="Q232" si="131">LN(Q217/Q216)</f>
        <v>-1.9616837421336072E-2</v>
      </c>
      <c r="R232" s="85">
        <v>43009</v>
      </c>
      <c r="S232" s="96">
        <f t="shared" ref="S232" si="132">LN(S217/S216)</f>
        <v>2.1945560290305279E-2</v>
      </c>
    </row>
    <row r="233" spans="2:19" x14ac:dyDescent="0.45">
      <c r="B233" s="85">
        <v>40118</v>
      </c>
      <c r="C233" s="90">
        <f t="shared" si="70"/>
        <v>5.5779077085757335E-2</v>
      </c>
      <c r="D233" s="85">
        <v>40483</v>
      </c>
      <c r="E233" s="90">
        <f t="shared" ref="E233" si="133">LN(E218/E217)</f>
        <v>-2.2928764322112105E-3</v>
      </c>
      <c r="F233" s="85">
        <v>40848</v>
      </c>
      <c r="G233" s="90">
        <f t="shared" ref="G233" si="134">LN(G218/G217)</f>
        <v>-5.0715538095285817E-3</v>
      </c>
      <c r="H233" s="85">
        <v>41214</v>
      </c>
      <c r="I233" s="95">
        <f>LN(I218/I217)</f>
        <v>2.8426727918140823E-3</v>
      </c>
      <c r="J233" s="93">
        <v>41579</v>
      </c>
      <c r="K233" s="95">
        <f t="shared" ref="K233" si="135">LN(K218/K217)</f>
        <v>2.7663290033784871E-2</v>
      </c>
      <c r="L233" s="93">
        <v>41944</v>
      </c>
      <c r="M233" s="95">
        <f t="shared" ref="M233" si="136">LN(M218/M217)</f>
        <v>2.4237473674625542E-2</v>
      </c>
      <c r="N233" s="93">
        <v>42309</v>
      </c>
      <c r="O233" s="95">
        <f t="shared" ref="O233" si="137">LN(O218/O217)</f>
        <v>5.0474185711855491E-4</v>
      </c>
      <c r="P233" s="93">
        <v>42675</v>
      </c>
      <c r="Q233" s="95">
        <f t="shared" ref="Q233" si="138">LN(Q218/Q217)</f>
        <v>3.3603545390870432E-2</v>
      </c>
      <c r="R233" s="85">
        <v>43040</v>
      </c>
      <c r="S233" s="96">
        <f t="shared" ref="S233" si="139">LN(S218/S217)</f>
        <v>1.0106916026861092E-2</v>
      </c>
    </row>
    <row r="234" spans="2:19" x14ac:dyDescent="0.45">
      <c r="B234" s="85">
        <v>40148</v>
      </c>
      <c r="C234" s="90">
        <f t="shared" si="70"/>
        <v>1.7614520614664245E-2</v>
      </c>
      <c r="D234" s="85">
        <v>40513</v>
      </c>
      <c r="E234" s="90">
        <f t="shared" ref="E234" si="140">LN(E219/E218)</f>
        <v>6.3256487642950596E-2</v>
      </c>
      <c r="F234" s="85">
        <v>40878</v>
      </c>
      <c r="G234" s="90">
        <f t="shared" ref="G234" si="141">LN(G219/G218)</f>
        <v>8.4965656862407268E-3</v>
      </c>
      <c r="H234" s="85">
        <v>41244</v>
      </c>
      <c r="I234" s="95">
        <f t="shared" ref="I234" si="142">LN(I219/I218)</f>
        <v>7.0433676117494142E-3</v>
      </c>
      <c r="J234" s="93">
        <v>41609</v>
      </c>
      <c r="K234" s="95">
        <f t="shared" ref="K234" si="143">LN(K219/K218)</f>
        <v>2.3289474066882893E-2</v>
      </c>
      <c r="L234" s="93">
        <v>41974</v>
      </c>
      <c r="M234" s="95">
        <f t="shared" ref="M234" si="144">LN(M219/M218)</f>
        <v>-4.1973845845717124E-3</v>
      </c>
      <c r="N234" s="93">
        <v>42339</v>
      </c>
      <c r="O234" s="95">
        <f t="shared" ref="O234" si="145">LN(O219/O218)</f>
        <v>-1.7685658536441762E-2</v>
      </c>
      <c r="P234" s="93">
        <v>42705</v>
      </c>
      <c r="Q234" s="95">
        <f t="shared" ref="Q234" si="146">LN(Q219/Q218)</f>
        <v>1.8037111058687334E-2</v>
      </c>
      <c r="R234" s="85">
        <v>43070</v>
      </c>
      <c r="S234" s="96">
        <f t="shared" ref="S234" si="147">LN(S219/S218)</f>
        <v>2.7372199325047333E-2</v>
      </c>
    </row>
    <row r="235" spans="2:19" x14ac:dyDescent="0.45">
      <c r="B235" s="97" t="s">
        <v>121</v>
      </c>
      <c r="C235" s="98">
        <f>AVERAGE(C223:C234)</f>
        <v>1.7558331201736097E-2</v>
      </c>
      <c r="D235" s="79"/>
      <c r="E235" s="98">
        <f>AVERAGE(E223:E234)</f>
        <v>1.0024407938618134E-2</v>
      </c>
      <c r="F235" s="79"/>
      <c r="G235" s="98">
        <f>AVERAGE(G223:G234)</f>
        <v>-2.6530934189544601E-6</v>
      </c>
      <c r="H235" s="79"/>
      <c r="I235" s="98">
        <f>AVERAGE(I223:I234)</f>
        <v>1.0483448997530424E-2</v>
      </c>
      <c r="J235" s="174"/>
      <c r="K235" s="98">
        <f>AVERAGE(K223:K234)</f>
        <v>2.1607686645643876E-2</v>
      </c>
      <c r="L235" s="174"/>
      <c r="M235" s="98">
        <f>AVERAGE(M223:M234)</f>
        <v>8.9894217229501052E-3</v>
      </c>
      <c r="N235" s="174"/>
      <c r="O235" s="98">
        <f>AVERAGE(O223:O234)</f>
        <v>-6.0771026374736696E-4</v>
      </c>
      <c r="P235" s="174"/>
      <c r="Q235" s="98">
        <f>AVERAGE(Q223:Q234)</f>
        <v>7.5895128319405482E-3</v>
      </c>
      <c r="R235" s="79"/>
      <c r="S235" s="98">
        <f>AVERAGE(S223:S234)</f>
        <v>1.4789681358886244E-2</v>
      </c>
    </row>
    <row r="236" spans="2:19" x14ac:dyDescent="0.45">
      <c r="B236" s="99" t="s">
        <v>122</v>
      </c>
      <c r="C236" s="100">
        <f>+EXP(C235)-1</f>
        <v>1.7713384864157744E-2</v>
      </c>
      <c r="D236" s="108"/>
      <c r="E236" s="100">
        <f>+EXP(E235)-1</f>
        <v>1.0074820627517411E-2</v>
      </c>
      <c r="F236" s="108"/>
      <c r="G236" s="100">
        <f>+EXP(G235)-1</f>
        <v>-2.6530898995513752E-6</v>
      </c>
      <c r="H236" s="108"/>
      <c r="I236" s="100">
        <f>+EXP(I235)-1</f>
        <v>1.0538592879868025E-2</v>
      </c>
      <c r="J236" s="109"/>
      <c r="K236" s="100">
        <f>+EXP(K235)-1</f>
        <v>2.1842823238748421E-2</v>
      </c>
      <c r="L236" s="109"/>
      <c r="M236" s="100">
        <f>+EXP(M235)-1</f>
        <v>9.0299479190716347E-3</v>
      </c>
      <c r="N236" s="109"/>
      <c r="O236" s="100">
        <f>+EXP(O235)-1</f>
        <v>-6.0752564526511676E-4</v>
      </c>
      <c r="P236" s="109"/>
      <c r="Q236" s="100">
        <f>+EXP(Q235)-1</f>
        <v>7.6183861831220501E-3</v>
      </c>
      <c r="R236" s="79"/>
      <c r="S236" s="100">
        <f>+EXP(S235)-1</f>
        <v>1.4899589865038809E-2</v>
      </c>
    </row>
    <row r="237" spans="2:19" x14ac:dyDescent="0.45">
      <c r="B237" s="97" t="s">
        <v>123</v>
      </c>
      <c r="C237" s="98">
        <f>+(1+C236)^12-1</f>
        <v>0.23454190534182007</v>
      </c>
      <c r="D237" s="108"/>
      <c r="E237" s="98">
        <f>+(1+E236)^12-1</f>
        <v>0.12782713843408944</v>
      </c>
      <c r="F237" s="108"/>
      <c r="G237" s="98">
        <f>+(1+G236)^12-1</f>
        <v>-3.18366142320059E-5</v>
      </c>
      <c r="H237" s="108"/>
      <c r="I237" s="98">
        <f>+(1+I236)^12-1</f>
        <v>0.1340569085697898</v>
      </c>
      <c r="J237" s="109"/>
      <c r="K237" s="98">
        <f>+(1+K236)^12-1</f>
        <v>0.2960124958559065</v>
      </c>
      <c r="L237" s="109"/>
      <c r="M237" s="98">
        <f>+(1+M236)^12-1</f>
        <v>0.11390633789337312</v>
      </c>
      <c r="N237" s="109"/>
      <c r="O237" s="98">
        <f>+(1+O236)^12-1</f>
        <v>-7.2659972373929627E-3</v>
      </c>
      <c r="P237" s="109"/>
      <c r="Q237" s="98">
        <f>+(1+Q236)^12-1</f>
        <v>9.5350226829388873E-2</v>
      </c>
      <c r="R237" s="79"/>
      <c r="S237" s="98">
        <f>+(1+S236)^12-1</f>
        <v>0.19419960731829988</v>
      </c>
    </row>
    <row r="238" spans="2:19" ht="13.35" thickBot="1" x14ac:dyDescent="0.5">
      <c r="B238" s="175" t="s">
        <v>124</v>
      </c>
      <c r="C238" s="172">
        <f>+((1+C237)*(1+E237)*(1+G237)*(1+I237)*(1+K237)*(1+M237)*(1+O237)*(1+Q237)*(1+S237))^(1/9)-1</f>
        <v>0.12814666838445476</v>
      </c>
      <c r="D238" s="108"/>
      <c r="E238" s="108"/>
      <c r="F238" s="108"/>
      <c r="G238" s="108"/>
      <c r="H238" s="108"/>
      <c r="I238" s="109"/>
      <c r="J238" s="109"/>
      <c r="K238" s="109"/>
      <c r="L238" s="109"/>
      <c r="M238" s="109"/>
      <c r="N238" s="109"/>
      <c r="O238" s="109"/>
      <c r="P238" s="109"/>
      <c r="Q238" s="109"/>
      <c r="R238" s="79"/>
      <c r="S238" s="173"/>
    </row>
    <row r="239" spans="2:19" x14ac:dyDescent="0.45">
      <c r="B239" s="121"/>
      <c r="C239" s="176"/>
      <c r="D239" s="116"/>
      <c r="E239" s="116"/>
      <c r="F239" s="116"/>
      <c r="G239" s="116"/>
      <c r="H239" s="116"/>
      <c r="I239" s="177"/>
      <c r="J239" s="177"/>
      <c r="K239" s="177"/>
      <c r="L239" s="177"/>
      <c r="M239" s="177"/>
      <c r="N239" s="177"/>
      <c r="O239" s="177"/>
      <c r="P239" s="177"/>
      <c r="Q239" s="177"/>
      <c r="R239" s="178"/>
      <c r="S239" s="179"/>
    </row>
    <row r="240" spans="2:19" x14ac:dyDescent="0.45">
      <c r="B240" s="71"/>
      <c r="C240" s="101"/>
    </row>
    <row r="241" spans="2:17" x14ac:dyDescent="0.45">
      <c r="C241" s="102"/>
      <c r="D241" s="102"/>
      <c r="E241" s="102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</row>
    <row r="242" spans="2:17" x14ac:dyDescent="0.45">
      <c r="B242" s="164" t="s">
        <v>228</v>
      </c>
      <c r="C242" s="165"/>
      <c r="D242" s="165"/>
      <c r="E242" s="165"/>
      <c r="F242" s="165"/>
      <c r="G242" s="165"/>
      <c r="H242" s="165">
        <f t="shared" ref="H242:Q242" si="148">+H35</f>
        <v>1245846473.956888</v>
      </c>
      <c r="I242" s="165">
        <f t="shared" si="148"/>
        <v>1323377178.7249842</v>
      </c>
      <c r="J242" s="165">
        <f t="shared" si="148"/>
        <v>1278176053.5982866</v>
      </c>
      <c r="K242" s="165">
        <f t="shared" si="148"/>
        <v>1004360686.5579484</v>
      </c>
      <c r="L242" s="165">
        <f t="shared" si="148"/>
        <v>1096954950.9364893</v>
      </c>
      <c r="M242" s="165">
        <f t="shared" si="148"/>
        <v>1204379674.1252429</v>
      </c>
      <c r="N242" s="165">
        <f t="shared" si="148"/>
        <v>1200479692.6191037</v>
      </c>
      <c r="O242" s="165">
        <f t="shared" si="148"/>
        <v>1176899594.5267756</v>
      </c>
      <c r="P242" s="165">
        <f t="shared" si="148"/>
        <v>1157028124.2660728</v>
      </c>
      <c r="Q242" s="166">
        <f t="shared" si="148"/>
        <v>1189147036.1247618</v>
      </c>
    </row>
    <row r="243" spans="2:17" x14ac:dyDescent="0.45">
      <c r="B243" s="117" t="s">
        <v>229</v>
      </c>
      <c r="C243" s="108"/>
      <c r="D243" s="108"/>
      <c r="E243" s="108"/>
      <c r="F243" s="108"/>
      <c r="G243" s="108"/>
      <c r="H243" s="108">
        <f t="shared" ref="H243:Q243" si="149">+H45</f>
        <v>1264126074.7468324</v>
      </c>
      <c r="I243" s="108">
        <f t="shared" si="149"/>
        <v>1516408926.0107086</v>
      </c>
      <c r="J243" s="108">
        <f t="shared" si="149"/>
        <v>1833849744.7666082</v>
      </c>
      <c r="K243" s="108">
        <f t="shared" si="149"/>
        <v>2205739411.8859015</v>
      </c>
      <c r="L243" s="108">
        <f t="shared" si="149"/>
        <v>2116052166.8082147</v>
      </c>
      <c r="M243" s="108">
        <f t="shared" si="149"/>
        <v>1809222413.1300628</v>
      </c>
      <c r="N243" s="108">
        <f t="shared" si="149"/>
        <v>1926798103.5449178</v>
      </c>
      <c r="O243" s="108">
        <f t="shared" si="149"/>
        <v>2012584072.5173357</v>
      </c>
      <c r="P243" s="108">
        <f t="shared" si="149"/>
        <v>2050251388.795213</v>
      </c>
      <c r="Q243" s="139">
        <f t="shared" si="149"/>
        <v>2020357233.0893397</v>
      </c>
    </row>
    <row r="244" spans="2:17" x14ac:dyDescent="0.45">
      <c r="B244" s="138" t="s">
        <v>230</v>
      </c>
      <c r="C244" s="108"/>
      <c r="D244" s="108"/>
      <c r="E244" s="108"/>
      <c r="F244" s="108"/>
      <c r="G244" s="108"/>
      <c r="H244" s="183">
        <f>+H242+H243</f>
        <v>2509972548.7037201</v>
      </c>
      <c r="I244" s="184">
        <f t="shared" ref="I244:Q244" si="150">+I242+I243</f>
        <v>2839786104.735693</v>
      </c>
      <c r="J244" s="184">
        <f t="shared" si="150"/>
        <v>3112025798.3648949</v>
      </c>
      <c r="K244" s="184">
        <f t="shared" si="150"/>
        <v>3210100098.4438496</v>
      </c>
      <c r="L244" s="184">
        <f t="shared" si="150"/>
        <v>3213007117.7447042</v>
      </c>
      <c r="M244" s="184">
        <f t="shared" si="150"/>
        <v>3013602087.2553058</v>
      </c>
      <c r="N244" s="184">
        <f t="shared" si="150"/>
        <v>3127277796.1640215</v>
      </c>
      <c r="O244" s="184">
        <f t="shared" si="150"/>
        <v>3189483667.0441113</v>
      </c>
      <c r="P244" s="184">
        <f t="shared" si="150"/>
        <v>3207279513.061286</v>
      </c>
      <c r="Q244" s="185">
        <f t="shared" si="150"/>
        <v>3209504269.2141018</v>
      </c>
    </row>
    <row r="245" spans="2:17" x14ac:dyDescent="0.45">
      <c r="B245" s="180" t="s">
        <v>125</v>
      </c>
      <c r="C245" s="103"/>
      <c r="D245" s="103"/>
      <c r="E245" s="103"/>
      <c r="F245" s="103"/>
      <c r="G245" s="103"/>
      <c r="H245" s="103"/>
      <c r="I245" s="104">
        <f>+I152</f>
        <v>575638971.53459287</v>
      </c>
      <c r="J245" s="290">
        <f t="shared" ref="J245:Q245" si="151">+J152</f>
        <v>608768796.21704912</v>
      </c>
      <c r="K245" s="290">
        <f t="shared" si="151"/>
        <v>605327276.60384619</v>
      </c>
      <c r="L245" s="290">
        <f t="shared" si="151"/>
        <v>583350773.50521052</v>
      </c>
      <c r="M245" s="290">
        <f t="shared" si="151"/>
        <v>526134496.20921516</v>
      </c>
      <c r="N245" s="290">
        <f t="shared" si="151"/>
        <v>524293677.41452217</v>
      </c>
      <c r="O245" s="290">
        <f t="shared" si="151"/>
        <v>512723908.68100375</v>
      </c>
      <c r="P245" s="290">
        <f t="shared" si="151"/>
        <v>493583075.31106579</v>
      </c>
      <c r="Q245" s="290">
        <f t="shared" si="151"/>
        <v>472027927.96562719</v>
      </c>
    </row>
    <row r="246" spans="2:17" x14ac:dyDescent="0.45">
      <c r="B246" s="117" t="s">
        <v>126</v>
      </c>
      <c r="C246" s="108"/>
      <c r="D246" s="108"/>
      <c r="E246" s="108"/>
      <c r="F246" s="108"/>
      <c r="G246" s="108"/>
      <c r="H246" s="108"/>
      <c r="I246" s="109">
        <f>+(H244-I244)</f>
        <v>-329813556.03197289</v>
      </c>
      <c r="J246" s="109">
        <f t="shared" ref="J246:Q246" si="152">+(I244-J244)</f>
        <v>-272239693.62920189</v>
      </c>
      <c r="K246" s="109">
        <f t="shared" si="152"/>
        <v>-98074300.078954697</v>
      </c>
      <c r="L246" s="109">
        <f t="shared" si="152"/>
        <v>-2907019.3008546829</v>
      </c>
      <c r="M246" s="109">
        <f t="shared" si="152"/>
        <v>199405030.48939848</v>
      </c>
      <c r="N246" s="109">
        <f t="shared" si="152"/>
        <v>-113675708.90871572</v>
      </c>
      <c r="O246" s="109">
        <f t="shared" si="152"/>
        <v>-62205870.88008976</v>
      </c>
      <c r="P246" s="109">
        <f t="shared" si="152"/>
        <v>-17795846.017174721</v>
      </c>
      <c r="Q246" s="112">
        <f t="shared" si="152"/>
        <v>-2224756.1528158188</v>
      </c>
    </row>
    <row r="247" spans="2:17" x14ac:dyDescent="0.45">
      <c r="B247" s="117" t="s">
        <v>127</v>
      </c>
      <c r="C247" s="108"/>
      <c r="D247" s="108"/>
      <c r="E247" s="108"/>
      <c r="F247" s="108"/>
      <c r="G247" s="108"/>
      <c r="H247" s="108"/>
      <c r="I247" s="109">
        <f>+SUM(I245:I246)</f>
        <v>245825415.50261998</v>
      </c>
      <c r="J247" s="109">
        <f t="shared" ref="J247:Q247" si="153">+SUM(J245:J246)</f>
        <v>336529102.58784723</v>
      </c>
      <c r="K247" s="109">
        <f t="shared" si="153"/>
        <v>507252976.5248915</v>
      </c>
      <c r="L247" s="109">
        <f t="shared" si="153"/>
        <v>580443754.20435584</v>
      </c>
      <c r="M247" s="109">
        <f t="shared" si="153"/>
        <v>725539526.69861364</v>
      </c>
      <c r="N247" s="109">
        <f t="shared" si="153"/>
        <v>410617968.50580645</v>
      </c>
      <c r="O247" s="109">
        <f t="shared" si="153"/>
        <v>450518037.80091399</v>
      </c>
      <c r="P247" s="109">
        <f t="shared" si="153"/>
        <v>475787229.29389107</v>
      </c>
      <c r="Q247" s="112">
        <f t="shared" si="153"/>
        <v>469803171.81281137</v>
      </c>
    </row>
    <row r="248" spans="2:17" x14ac:dyDescent="0.45">
      <c r="B248" s="121" t="s">
        <v>128</v>
      </c>
      <c r="C248" s="116"/>
      <c r="D248" s="116"/>
      <c r="E248" s="116"/>
      <c r="F248" s="116"/>
      <c r="G248" s="116"/>
      <c r="H248" s="116"/>
      <c r="I248" s="181">
        <f>+I245/H244</f>
        <v>0.2293407439184475</v>
      </c>
      <c r="J248" s="181">
        <f t="shared" ref="J248:Q248" si="154">+J245/I244</f>
        <v>0.21437135536435376</v>
      </c>
      <c r="K248" s="181">
        <f t="shared" si="154"/>
        <v>0.19451229386398219</v>
      </c>
      <c r="L248" s="181">
        <f t="shared" si="154"/>
        <v>0.18172354618723563</v>
      </c>
      <c r="M248" s="181">
        <f t="shared" si="154"/>
        <v>0.16375142566709378</v>
      </c>
      <c r="N248" s="181">
        <f t="shared" si="154"/>
        <v>0.17397574803647431</v>
      </c>
      <c r="O248" s="181">
        <f t="shared" si="154"/>
        <v>0.1639521469150968</v>
      </c>
      <c r="P248" s="181">
        <f t="shared" si="154"/>
        <v>0.15475328511981354</v>
      </c>
      <c r="Q248" s="182">
        <f t="shared" si="154"/>
        <v>0.14717392919555231</v>
      </c>
    </row>
    <row r="251" spans="2:17" x14ac:dyDescent="0.45">
      <c r="G251" s="67"/>
      <c r="H251" s="80"/>
      <c r="I251" s="81"/>
      <c r="J251" s="81"/>
      <c r="K251" s="81"/>
      <c r="L251" s="81"/>
      <c r="M251" s="81"/>
      <c r="N251" s="81"/>
      <c r="O251" s="81"/>
      <c r="P251" s="81"/>
      <c r="Q251" s="81"/>
    </row>
    <row r="253" spans="2:17" x14ac:dyDescent="0.45">
      <c r="B253" s="164" t="s">
        <v>148</v>
      </c>
      <c r="C253" s="165"/>
      <c r="D253" s="165"/>
      <c r="E253" s="165"/>
      <c r="F253" s="165"/>
      <c r="G253" s="165"/>
      <c r="H253" s="187"/>
      <c r="I253" s="192">
        <v>2.8500000000000001E-2</v>
      </c>
      <c r="J253" s="192">
        <f t="shared" ref="J253:Q255" si="155">+I253</f>
        <v>2.8500000000000001E-2</v>
      </c>
      <c r="K253" s="192">
        <f t="shared" si="155"/>
        <v>2.8500000000000001E-2</v>
      </c>
      <c r="L253" s="192">
        <f t="shared" si="155"/>
        <v>2.8500000000000001E-2</v>
      </c>
      <c r="M253" s="192">
        <f t="shared" si="155"/>
        <v>2.8500000000000001E-2</v>
      </c>
      <c r="N253" s="192">
        <f t="shared" si="155"/>
        <v>2.8500000000000001E-2</v>
      </c>
      <c r="O253" s="192">
        <f t="shared" si="155"/>
        <v>2.8500000000000001E-2</v>
      </c>
      <c r="P253" s="192">
        <f t="shared" si="155"/>
        <v>2.8500000000000001E-2</v>
      </c>
      <c r="Q253" s="193">
        <f t="shared" si="155"/>
        <v>2.8500000000000001E-2</v>
      </c>
    </row>
    <row r="254" spans="2:17" x14ac:dyDescent="0.45">
      <c r="B254" s="117" t="s">
        <v>149</v>
      </c>
      <c r="C254" s="108"/>
      <c r="D254" s="108"/>
      <c r="E254" s="108"/>
      <c r="F254" s="108"/>
      <c r="G254" s="108"/>
      <c r="H254" s="186"/>
      <c r="I254" s="194">
        <v>0.76708776340957796</v>
      </c>
      <c r="J254" s="194">
        <f t="shared" si="155"/>
        <v>0.76708776340957796</v>
      </c>
      <c r="K254" s="194">
        <f t="shared" si="155"/>
        <v>0.76708776340957796</v>
      </c>
      <c r="L254" s="194">
        <f t="shared" si="155"/>
        <v>0.76708776340957796</v>
      </c>
      <c r="M254" s="194">
        <f t="shared" si="155"/>
        <v>0.76708776340957796</v>
      </c>
      <c r="N254" s="194">
        <f t="shared" si="155"/>
        <v>0.76708776340957796</v>
      </c>
      <c r="O254" s="194">
        <f t="shared" si="155"/>
        <v>0.76708776340957796</v>
      </c>
      <c r="P254" s="194">
        <f t="shared" si="155"/>
        <v>0.76708776340957796</v>
      </c>
      <c r="Q254" s="195">
        <f t="shared" si="155"/>
        <v>0.76708776340957796</v>
      </c>
    </row>
    <row r="255" spans="2:17" s="304" customFormat="1" x14ac:dyDescent="0.45">
      <c r="B255" s="299" t="s">
        <v>150</v>
      </c>
      <c r="C255" s="300"/>
      <c r="D255" s="300"/>
      <c r="E255" s="300"/>
      <c r="F255" s="300"/>
      <c r="G255" s="300"/>
      <c r="H255" s="301"/>
      <c r="I255" s="302">
        <f>+C238</f>
        <v>0.12814666838445476</v>
      </c>
      <c r="J255" s="302">
        <f>+I255</f>
        <v>0.12814666838445476</v>
      </c>
      <c r="K255" s="302">
        <f t="shared" si="155"/>
        <v>0.12814666838445476</v>
      </c>
      <c r="L255" s="302">
        <f t="shared" si="155"/>
        <v>0.12814666838445476</v>
      </c>
      <c r="M255" s="302">
        <f t="shared" si="155"/>
        <v>0.12814666838445476</v>
      </c>
      <c r="N255" s="302">
        <f t="shared" si="155"/>
        <v>0.12814666838445476</v>
      </c>
      <c r="O255" s="302">
        <f t="shared" si="155"/>
        <v>0.12814666838445476</v>
      </c>
      <c r="P255" s="302">
        <f t="shared" si="155"/>
        <v>0.12814666838445476</v>
      </c>
      <c r="Q255" s="303">
        <f t="shared" si="155"/>
        <v>0.12814666838445476</v>
      </c>
    </row>
    <row r="256" spans="2:17" x14ac:dyDescent="0.45">
      <c r="B256" s="188" t="s">
        <v>151</v>
      </c>
      <c r="C256" s="108"/>
      <c r="D256" s="108"/>
      <c r="E256" s="108"/>
      <c r="F256" s="108"/>
      <c r="G256" s="108"/>
      <c r="H256" s="186"/>
      <c r="I256" s="198">
        <v>1.7399999999999999E-2</v>
      </c>
      <c r="J256" s="198">
        <f t="shared" ref="J256:Q256" si="156">+I256</f>
        <v>1.7399999999999999E-2</v>
      </c>
      <c r="K256" s="198">
        <f t="shared" si="156"/>
        <v>1.7399999999999999E-2</v>
      </c>
      <c r="L256" s="198">
        <f t="shared" si="156"/>
        <v>1.7399999999999999E-2</v>
      </c>
      <c r="M256" s="198">
        <f t="shared" si="156"/>
        <v>1.7399999999999999E-2</v>
      </c>
      <c r="N256" s="198">
        <f t="shared" si="156"/>
        <v>1.7399999999999999E-2</v>
      </c>
      <c r="O256" s="198">
        <f t="shared" si="156"/>
        <v>1.7399999999999999E-2</v>
      </c>
      <c r="P256" s="198">
        <f t="shared" si="156"/>
        <v>1.7399999999999999E-2</v>
      </c>
      <c r="Q256" s="198">
        <f t="shared" si="156"/>
        <v>1.7399999999999999E-2</v>
      </c>
    </row>
    <row r="257" spans="2:17" x14ac:dyDescent="0.45">
      <c r="B257" s="117" t="s">
        <v>129</v>
      </c>
      <c r="C257" s="108"/>
      <c r="D257" s="108"/>
      <c r="E257" s="108"/>
      <c r="F257" s="108"/>
      <c r="G257" s="108"/>
      <c r="H257" s="186"/>
      <c r="I257" s="196">
        <f>+I253+I254*(I255-I253)+I256</f>
        <v>0.12233773998224731</v>
      </c>
      <c r="J257" s="196">
        <f t="shared" ref="J257:Q257" si="157">+J253+J254*(J255-J253)+J256</f>
        <v>0.12233773998224731</v>
      </c>
      <c r="K257" s="196">
        <f t="shared" si="157"/>
        <v>0.12233773998224731</v>
      </c>
      <c r="L257" s="196">
        <f t="shared" si="157"/>
        <v>0.12233773998224731</v>
      </c>
      <c r="M257" s="196">
        <f t="shared" si="157"/>
        <v>0.12233773998224731</v>
      </c>
      <c r="N257" s="196">
        <f t="shared" si="157"/>
        <v>0.12233773998224731</v>
      </c>
      <c r="O257" s="196">
        <f t="shared" si="157"/>
        <v>0.12233773998224731</v>
      </c>
      <c r="P257" s="196">
        <f t="shared" si="157"/>
        <v>0.12233773998224731</v>
      </c>
      <c r="Q257" s="197">
        <f t="shared" si="157"/>
        <v>0.12233773998224731</v>
      </c>
    </row>
    <row r="258" spans="2:17" x14ac:dyDescent="0.45">
      <c r="B258" s="117" t="s">
        <v>231</v>
      </c>
      <c r="C258" s="108"/>
      <c r="D258" s="108"/>
      <c r="E258" s="108"/>
      <c r="F258" s="108"/>
      <c r="G258" s="108"/>
      <c r="H258" s="186"/>
      <c r="I258" s="198">
        <v>2.1999999999999999E-2</v>
      </c>
      <c r="J258" s="198">
        <v>-5.0000000000000001E-3</v>
      </c>
      <c r="K258" s="198">
        <v>2.4E-2</v>
      </c>
      <c r="L258" s="198">
        <v>4.2999999999999997E-2</v>
      </c>
      <c r="M258" s="198">
        <v>3.3000000000000002E-2</v>
      </c>
      <c r="N258" s="198">
        <v>3.3000000000000002E-2</v>
      </c>
      <c r="O258" s="198">
        <v>3.3000000000000002E-2</v>
      </c>
      <c r="P258" s="198">
        <v>3.3000000000000002E-2</v>
      </c>
      <c r="Q258" s="199">
        <v>3.3000000000000002E-2</v>
      </c>
    </row>
    <row r="259" spans="2:17" x14ac:dyDescent="0.45">
      <c r="B259" s="138" t="s">
        <v>130</v>
      </c>
      <c r="C259" s="108"/>
      <c r="D259" s="108"/>
      <c r="E259" s="108"/>
      <c r="F259" s="108"/>
      <c r="G259" s="108"/>
      <c r="H259" s="186"/>
      <c r="I259" s="196">
        <f>+(1+I258)*(1+I257)-1</f>
        <v>0.14702917026185691</v>
      </c>
      <c r="J259" s="196">
        <f t="shared" ref="J259:Q259" si="158">+(1+J258)*(1+J257)-1</f>
        <v>0.11672605128233626</v>
      </c>
      <c r="K259" s="196">
        <f t="shared" si="158"/>
        <v>0.14927384574182145</v>
      </c>
      <c r="L259" s="196">
        <f t="shared" si="158"/>
        <v>0.17059826280148394</v>
      </c>
      <c r="M259" s="196">
        <f t="shared" si="158"/>
        <v>0.15937488540166145</v>
      </c>
      <c r="N259" s="196">
        <f t="shared" si="158"/>
        <v>0.15937488540166145</v>
      </c>
      <c r="O259" s="196">
        <f t="shared" si="158"/>
        <v>0.15937488540166145</v>
      </c>
      <c r="P259" s="196">
        <f t="shared" si="158"/>
        <v>0.15937488540166145</v>
      </c>
      <c r="Q259" s="197">
        <f t="shared" si="158"/>
        <v>0.15937488540166145</v>
      </c>
    </row>
    <row r="260" spans="2:17" x14ac:dyDescent="0.45">
      <c r="B260" s="117" t="s">
        <v>131</v>
      </c>
      <c r="C260" s="108"/>
      <c r="D260" s="108"/>
      <c r="E260" s="108"/>
      <c r="F260" s="108"/>
      <c r="G260" s="108"/>
      <c r="H260" s="186"/>
      <c r="I260" s="196">
        <f ca="1">+H244/H288</f>
        <v>0.18622971217127846</v>
      </c>
      <c r="J260" s="196">
        <f t="shared" ref="J260:Q260" ca="1" si="159">+I244/I288</f>
        <v>0.19481432130543061</v>
      </c>
      <c r="K260" s="196">
        <f t="shared" ca="1" si="159"/>
        <v>0.20319366317342466</v>
      </c>
      <c r="L260" s="196">
        <f t="shared" ca="1" si="159"/>
        <v>0.19521098659455363</v>
      </c>
      <c r="M260" s="196">
        <f t="shared" ca="1" si="159"/>
        <v>0.17987952951027175</v>
      </c>
      <c r="N260" s="196">
        <f t="shared" ca="1" si="159"/>
        <v>0.15700726576495289</v>
      </c>
      <c r="O260" s="196">
        <f t="shared" ca="1" si="159"/>
        <v>0.15126912151050972</v>
      </c>
      <c r="P260" s="196">
        <f t="shared" ca="1" si="159"/>
        <v>0.14361475973935128</v>
      </c>
      <c r="Q260" s="196">
        <f t="shared" ca="1" si="159"/>
        <v>0.13480702805443859</v>
      </c>
    </row>
    <row r="261" spans="2:17" x14ac:dyDescent="0.45">
      <c r="B261" s="117" t="s">
        <v>132</v>
      </c>
      <c r="C261" s="108"/>
      <c r="D261" s="108"/>
      <c r="E261" s="108"/>
      <c r="F261" s="108"/>
      <c r="G261" s="108"/>
      <c r="H261" s="186"/>
      <c r="I261" s="196">
        <f ca="1">1-I260</f>
        <v>0.81377028782872152</v>
      </c>
      <c r="J261" s="196">
        <f t="shared" ref="J261:Q261" ca="1" si="160">1-J260</f>
        <v>0.80518567869456936</v>
      </c>
      <c r="K261" s="196">
        <f t="shared" ca="1" si="160"/>
        <v>0.79680633682657531</v>
      </c>
      <c r="L261" s="196">
        <f t="shared" ca="1" si="160"/>
        <v>0.8047890134054464</v>
      </c>
      <c r="M261" s="196">
        <f t="shared" ca="1" si="160"/>
        <v>0.82012047048972825</v>
      </c>
      <c r="N261" s="196">
        <f t="shared" ca="1" si="160"/>
        <v>0.84299273423504717</v>
      </c>
      <c r="O261" s="196">
        <f t="shared" ca="1" si="160"/>
        <v>0.84873087848949025</v>
      </c>
      <c r="P261" s="196">
        <f t="shared" ca="1" si="160"/>
        <v>0.85638524026064866</v>
      </c>
      <c r="Q261" s="197">
        <f t="shared" ca="1" si="160"/>
        <v>0.86519297194556144</v>
      </c>
    </row>
    <row r="262" spans="2:17" x14ac:dyDescent="0.45">
      <c r="B262" s="117" t="s">
        <v>128</v>
      </c>
      <c r="C262" s="108"/>
      <c r="D262" s="108"/>
      <c r="E262" s="108"/>
      <c r="F262" s="108"/>
      <c r="G262" s="108"/>
      <c r="H262" s="186"/>
      <c r="I262" s="196">
        <f>+I248</f>
        <v>0.2293407439184475</v>
      </c>
      <c r="J262" s="196">
        <f t="shared" ref="J262:Q262" si="161">+J248</f>
        <v>0.21437135536435376</v>
      </c>
      <c r="K262" s="196">
        <f t="shared" si="161"/>
        <v>0.19451229386398219</v>
      </c>
      <c r="L262" s="196">
        <f t="shared" si="161"/>
        <v>0.18172354618723563</v>
      </c>
      <c r="M262" s="196">
        <f t="shared" si="161"/>
        <v>0.16375142566709378</v>
      </c>
      <c r="N262" s="196">
        <f t="shared" si="161"/>
        <v>0.17397574803647431</v>
      </c>
      <c r="O262" s="196">
        <f t="shared" si="161"/>
        <v>0.1639521469150968</v>
      </c>
      <c r="P262" s="196">
        <f t="shared" si="161"/>
        <v>0.15475328511981354</v>
      </c>
      <c r="Q262" s="197">
        <f t="shared" si="161"/>
        <v>0.14717392919555231</v>
      </c>
    </row>
    <row r="263" spans="2:17" x14ac:dyDescent="0.45">
      <c r="B263" s="117" t="s">
        <v>133</v>
      </c>
      <c r="C263" s="108"/>
      <c r="D263" s="108"/>
      <c r="E263" s="108"/>
      <c r="F263" s="108"/>
      <c r="G263" s="108"/>
      <c r="H263" s="186"/>
      <c r="I263" s="196">
        <f ca="1">+I259+(I259-I262)*(I260/I261)</f>
        <v>0.12819233030873958</v>
      </c>
      <c r="J263" s="196">
        <f t="shared" ref="J263:Q263" ca="1" si="162">+J259+(J259-J262)*(J260/J261)</f>
        <v>9.3100812847591946E-2</v>
      </c>
      <c r="K263" s="196">
        <f t="shared" ca="1" si="162"/>
        <v>0.13773758458853766</v>
      </c>
      <c r="L263" s="196">
        <f t="shared" ca="1" si="162"/>
        <v>0.16789969521457471</v>
      </c>
      <c r="M263" s="196">
        <f t="shared" ca="1" si="162"/>
        <v>0.15841496544824457</v>
      </c>
      <c r="N263" s="196">
        <f t="shared" ca="1" si="162"/>
        <v>0.15665547700464619</v>
      </c>
      <c r="O263" s="196">
        <f t="shared" ca="1" si="162"/>
        <v>0.15855908106885161</v>
      </c>
      <c r="P263" s="196">
        <f t="shared" ca="1" si="162"/>
        <v>0.1601499221291591</v>
      </c>
      <c r="Q263" s="197">
        <f t="shared" ca="1" si="162"/>
        <v>0.16127593487721292</v>
      </c>
    </row>
    <row r="264" spans="2:17" x14ac:dyDescent="0.45">
      <c r="B264" s="121" t="s">
        <v>134</v>
      </c>
      <c r="C264" s="116"/>
      <c r="D264" s="116"/>
      <c r="E264" s="116"/>
      <c r="F264" s="116"/>
      <c r="G264" s="116"/>
      <c r="H264" s="189"/>
      <c r="I264" s="190">
        <f ca="1">+I260*I262*(1-I196)+I261*I263</f>
        <v>0.14553431813633913</v>
      </c>
      <c r="J264" s="190">
        <f t="shared" ref="J264:Q264" ca="1" si="163">+J260*J262*(1-J196)+J261*J263</f>
        <v>0.11526435992874415</v>
      </c>
      <c r="K264" s="190">
        <f t="shared" ca="1" si="163"/>
        <v>0.14789051744853435</v>
      </c>
      <c r="L264" s="190">
        <f t="shared" ca="1" si="163"/>
        <v>0.16935665765563043</v>
      </c>
      <c r="M264" s="190">
        <f t="shared" ca="1" si="163"/>
        <v>0.15834394187246428</v>
      </c>
      <c r="N264" s="190">
        <f t="shared" ca="1" si="163"/>
        <v>0.15841884442385978</v>
      </c>
      <c r="O264" s="190">
        <f t="shared" ca="1" si="163"/>
        <v>0.15850685399848513</v>
      </c>
      <c r="P264" s="190">
        <f t="shared" ca="1" si="163"/>
        <v>0.15859701544651392</v>
      </c>
      <c r="Q264" s="191">
        <f t="shared" ca="1" si="163"/>
        <v>0.15868048260159331</v>
      </c>
    </row>
    <row r="265" spans="2:17" x14ac:dyDescent="0.45">
      <c r="C265" s="67"/>
      <c r="D265" s="67"/>
      <c r="E265" s="67"/>
      <c r="F265" s="67"/>
      <c r="G265" s="67"/>
      <c r="H265" s="67"/>
      <c r="I265" s="298"/>
    </row>
    <row r="266" spans="2:17" x14ac:dyDescent="0.45">
      <c r="I266" s="305"/>
    </row>
    <row r="267" spans="2:17" x14ac:dyDescent="0.45">
      <c r="B267" s="105"/>
      <c r="C267" s="105"/>
      <c r="D267" s="105"/>
      <c r="E267" s="105"/>
      <c r="F267" s="105"/>
      <c r="G267" s="105"/>
      <c r="H267" s="105"/>
      <c r="I267" s="105"/>
      <c r="J267" s="105"/>
      <c r="K267" s="105"/>
      <c r="L267" s="105"/>
      <c r="M267" s="105"/>
      <c r="N267" s="105"/>
      <c r="O267" s="105"/>
      <c r="P267" s="105"/>
      <c r="Q267" s="105"/>
    </row>
    <row r="268" spans="2:17" x14ac:dyDescent="0.45">
      <c r="B268" s="202" t="s">
        <v>113</v>
      </c>
      <c r="C268" s="203"/>
      <c r="D268" s="203"/>
      <c r="E268" s="203"/>
      <c r="F268" s="203"/>
      <c r="G268" s="203"/>
      <c r="H268" s="203"/>
      <c r="I268" s="204">
        <f>+I199</f>
        <v>1257373314.808681</v>
      </c>
      <c r="J268" s="204">
        <f t="shared" ref="J268:Q268" si="164">+J199</f>
        <v>1392707150.7848613</v>
      </c>
      <c r="K268" s="204">
        <f t="shared" si="164"/>
        <v>1544860214.8145204</v>
      </c>
      <c r="L268" s="204">
        <f t="shared" si="164"/>
        <v>1705377504.9774473</v>
      </c>
      <c r="M268" s="204">
        <f t="shared" si="164"/>
        <v>1876197768.3126662</v>
      </c>
      <c r="N268" s="204">
        <f t="shared" si="164"/>
        <v>2064128356.0662363</v>
      </c>
      <c r="O268" s="204">
        <f t="shared" si="164"/>
        <v>2270883135.1763263</v>
      </c>
      <c r="P268" s="204">
        <f t="shared" si="164"/>
        <v>2498347643.1941319</v>
      </c>
      <c r="Q268" s="205">
        <f t="shared" si="164"/>
        <v>2748596283.7841182</v>
      </c>
    </row>
    <row r="269" spans="2:17" x14ac:dyDescent="0.45">
      <c r="B269" s="117" t="s">
        <v>136</v>
      </c>
      <c r="C269" s="201"/>
      <c r="D269" s="201"/>
      <c r="E269" s="201"/>
      <c r="F269" s="201"/>
      <c r="G269" s="201"/>
      <c r="H269" s="201"/>
      <c r="I269" s="201">
        <f>+-(I192-H192)</f>
        <v>-394941363.9912138</v>
      </c>
      <c r="J269" s="201">
        <f t="shared" ref="J269:Q269" si="165">+-(J192-I192)</f>
        <v>-451191200.49218369</v>
      </c>
      <c r="K269" s="201">
        <f t="shared" si="165"/>
        <v>-408527527.5864315</v>
      </c>
      <c r="L269" s="201">
        <f t="shared" si="165"/>
        <v>-338167539.85160065</v>
      </c>
      <c r="M269" s="201">
        <f t="shared" si="165"/>
        <v>-379894442.59179115</v>
      </c>
      <c r="N269" s="201">
        <f t="shared" si="165"/>
        <v>-503006119.9049511</v>
      </c>
      <c r="O269" s="201">
        <f t="shared" si="165"/>
        <v>-528978482.07649994</v>
      </c>
      <c r="P269" s="201">
        <f t="shared" si="165"/>
        <v>-559156897.04161072</v>
      </c>
      <c r="Q269" s="206">
        <f t="shared" si="165"/>
        <v>-608339725.93614578</v>
      </c>
    </row>
    <row r="270" spans="2:17" x14ac:dyDescent="0.45">
      <c r="B270" s="138" t="s">
        <v>135</v>
      </c>
      <c r="C270" s="201"/>
      <c r="D270" s="200"/>
      <c r="E270" s="200"/>
      <c r="F270" s="200"/>
      <c r="G270" s="200"/>
      <c r="H270" s="200"/>
      <c r="I270" s="209">
        <f>+I268+I269</f>
        <v>862431950.81746721</v>
      </c>
      <c r="J270" s="209">
        <f t="shared" ref="J270:Q270" si="166">+J268+J269</f>
        <v>941515950.29267764</v>
      </c>
      <c r="K270" s="209">
        <f t="shared" si="166"/>
        <v>1136332687.2280889</v>
      </c>
      <c r="L270" s="209">
        <f t="shared" si="166"/>
        <v>1367209965.1258466</v>
      </c>
      <c r="M270" s="209">
        <f t="shared" si="166"/>
        <v>1496303325.720875</v>
      </c>
      <c r="N270" s="209">
        <f t="shared" si="166"/>
        <v>1561122236.1612852</v>
      </c>
      <c r="O270" s="209">
        <f t="shared" si="166"/>
        <v>1741904653.0998263</v>
      </c>
      <c r="P270" s="209">
        <f t="shared" si="166"/>
        <v>1939190746.1525211</v>
      </c>
      <c r="Q270" s="210">
        <f t="shared" si="166"/>
        <v>2140256557.8479724</v>
      </c>
    </row>
    <row r="271" spans="2:17" x14ac:dyDescent="0.45">
      <c r="B271" s="117" t="s">
        <v>137</v>
      </c>
      <c r="C271" s="108"/>
      <c r="D271" s="108"/>
      <c r="E271" s="108"/>
      <c r="F271" s="108"/>
      <c r="G271" s="108"/>
      <c r="H271" s="108"/>
      <c r="I271" s="113">
        <f>+I245+I246</f>
        <v>245825415.50261998</v>
      </c>
      <c r="J271" s="113">
        <f t="shared" ref="J271:Q271" si="167">+J245+J246</f>
        <v>336529102.58784723</v>
      </c>
      <c r="K271" s="113">
        <f t="shared" si="167"/>
        <v>507252976.5248915</v>
      </c>
      <c r="L271" s="113">
        <f t="shared" si="167"/>
        <v>580443754.20435584</v>
      </c>
      <c r="M271" s="113">
        <f t="shared" si="167"/>
        <v>725539526.69861364</v>
      </c>
      <c r="N271" s="113">
        <f t="shared" si="167"/>
        <v>410617968.50580645</v>
      </c>
      <c r="O271" s="113">
        <f t="shared" si="167"/>
        <v>450518037.80091399</v>
      </c>
      <c r="P271" s="113">
        <f t="shared" si="167"/>
        <v>475787229.29389107</v>
      </c>
      <c r="Q271" s="113">
        <f t="shared" si="167"/>
        <v>469803171.81281137</v>
      </c>
    </row>
    <row r="272" spans="2:17" x14ac:dyDescent="0.45">
      <c r="B272" s="117" t="s">
        <v>138</v>
      </c>
      <c r="C272" s="108"/>
      <c r="D272" s="108"/>
      <c r="E272" s="108"/>
      <c r="F272" s="108"/>
      <c r="G272" s="108"/>
      <c r="H272" s="108"/>
      <c r="I272" s="113">
        <f>+I245*I196</f>
        <v>20147364.00371075</v>
      </c>
      <c r="J272" s="113">
        <f t="shared" ref="J272:Q272" si="168">+J245*J196</f>
        <v>21306907.867596723</v>
      </c>
      <c r="K272" s="113">
        <f t="shared" si="168"/>
        <v>21186454.681134619</v>
      </c>
      <c r="L272" s="113">
        <f t="shared" si="168"/>
        <v>20417277.07268237</v>
      </c>
      <c r="M272" s="113">
        <f t="shared" si="168"/>
        <v>18414707.367322534</v>
      </c>
      <c r="N272" s="113">
        <f t="shared" si="168"/>
        <v>18350278.709508277</v>
      </c>
      <c r="O272" s="113">
        <f t="shared" si="168"/>
        <v>17945336.803835131</v>
      </c>
      <c r="P272" s="113">
        <f t="shared" si="168"/>
        <v>17275407.635887306</v>
      </c>
      <c r="Q272" s="114">
        <f t="shared" si="168"/>
        <v>16520977.478796953</v>
      </c>
    </row>
    <row r="273" spans="2:17" x14ac:dyDescent="0.45">
      <c r="B273" s="117" t="s">
        <v>139</v>
      </c>
      <c r="C273" s="108"/>
      <c r="D273" s="108"/>
      <c r="E273" s="108"/>
      <c r="F273" s="108"/>
      <c r="G273" s="108"/>
      <c r="H273" s="108"/>
      <c r="I273" s="113">
        <f>+I271+I272</f>
        <v>265972779.50633073</v>
      </c>
      <c r="J273" s="113">
        <f t="shared" ref="J273:Q273" si="169">+J271+J272</f>
        <v>357836010.45544398</v>
      </c>
      <c r="K273" s="113">
        <f t="shared" si="169"/>
        <v>528439431.20602614</v>
      </c>
      <c r="L273" s="113">
        <f t="shared" si="169"/>
        <v>600861031.27703822</v>
      </c>
      <c r="M273" s="113">
        <f t="shared" si="169"/>
        <v>743954234.06593621</v>
      </c>
      <c r="N273" s="113">
        <f t="shared" si="169"/>
        <v>428968247.21531475</v>
      </c>
      <c r="O273" s="113">
        <f t="shared" si="169"/>
        <v>468463374.60474914</v>
      </c>
      <c r="P273" s="113">
        <f t="shared" si="169"/>
        <v>493062636.9297784</v>
      </c>
      <c r="Q273" s="114">
        <f t="shared" si="169"/>
        <v>486324149.29160833</v>
      </c>
    </row>
    <row r="274" spans="2:17" x14ac:dyDescent="0.45">
      <c r="B274" s="117" t="s">
        <v>140</v>
      </c>
      <c r="C274" s="108"/>
      <c r="D274" s="108"/>
      <c r="E274" s="108"/>
      <c r="F274" s="108"/>
      <c r="G274" s="108"/>
      <c r="H274" s="108"/>
      <c r="I274" s="113">
        <f>+I270+I272</f>
        <v>882579314.82117796</v>
      </c>
      <c r="J274" s="113">
        <f t="shared" ref="J274:Q274" si="170">+J270+J272</f>
        <v>962822858.16027439</v>
      </c>
      <c r="K274" s="113">
        <f t="shared" si="170"/>
        <v>1157519141.9092236</v>
      </c>
      <c r="L274" s="113">
        <f t="shared" si="170"/>
        <v>1387627242.198529</v>
      </c>
      <c r="M274" s="113">
        <f t="shared" si="170"/>
        <v>1514718033.0881975</v>
      </c>
      <c r="N274" s="113">
        <f t="shared" si="170"/>
        <v>1579472514.8707933</v>
      </c>
      <c r="O274" s="113">
        <f t="shared" si="170"/>
        <v>1759849989.9036615</v>
      </c>
      <c r="P274" s="113">
        <f t="shared" si="170"/>
        <v>1956466153.7884085</v>
      </c>
      <c r="Q274" s="114">
        <f t="shared" si="170"/>
        <v>2156777535.3267694</v>
      </c>
    </row>
    <row r="275" spans="2:17" x14ac:dyDescent="0.45">
      <c r="B275" s="168" t="s">
        <v>141</v>
      </c>
      <c r="C275" s="116"/>
      <c r="D275" s="116"/>
      <c r="E275" s="116"/>
      <c r="F275" s="116"/>
      <c r="G275" s="116"/>
      <c r="H275" s="116"/>
      <c r="I275" s="207">
        <f>+I271+I274</f>
        <v>1128404730.3237979</v>
      </c>
      <c r="J275" s="207">
        <f t="shared" ref="J275:Q275" si="171">+J271+J274</f>
        <v>1299351960.7481217</v>
      </c>
      <c r="K275" s="207">
        <f t="shared" si="171"/>
        <v>1664772118.4341149</v>
      </c>
      <c r="L275" s="207">
        <f t="shared" si="171"/>
        <v>1968070996.402885</v>
      </c>
      <c r="M275" s="207">
        <f t="shared" si="171"/>
        <v>2240257559.7868109</v>
      </c>
      <c r="N275" s="207">
        <f t="shared" si="171"/>
        <v>1990090483.3765998</v>
      </c>
      <c r="O275" s="207">
        <f t="shared" si="171"/>
        <v>2210368027.7045755</v>
      </c>
      <c r="P275" s="207">
        <f t="shared" si="171"/>
        <v>2432253383.0822997</v>
      </c>
      <c r="Q275" s="208">
        <f t="shared" si="171"/>
        <v>2626580707.1395807</v>
      </c>
    </row>
    <row r="280" spans="2:17" x14ac:dyDescent="0.45">
      <c r="B280" s="308" t="s">
        <v>234</v>
      </c>
      <c r="C280" s="309"/>
      <c r="D280" s="309"/>
      <c r="E280" s="309"/>
      <c r="F280" s="309"/>
      <c r="G280" s="309"/>
      <c r="H280" s="309"/>
      <c r="I280" s="309"/>
      <c r="J280" s="309"/>
      <c r="K280" s="309"/>
      <c r="L280" s="309"/>
      <c r="M280" s="309"/>
      <c r="N280" s="309"/>
      <c r="O280" s="309"/>
      <c r="P280" s="309"/>
      <c r="Q280" s="310"/>
    </row>
    <row r="281" spans="2:17" x14ac:dyDescent="0.45">
      <c r="B281" s="107" t="s">
        <v>144</v>
      </c>
      <c r="C281" s="108"/>
      <c r="D281" s="108"/>
      <c r="E281" s="108"/>
      <c r="F281" s="108"/>
      <c r="G281" s="108"/>
      <c r="H281" s="108"/>
      <c r="I281" s="108">
        <f>+I270</f>
        <v>862431950.81746721</v>
      </c>
      <c r="J281" s="108">
        <f t="shared" ref="J281:Q281" si="172">+J270</f>
        <v>941515950.29267764</v>
      </c>
      <c r="K281" s="108">
        <f t="shared" si="172"/>
        <v>1136332687.2280889</v>
      </c>
      <c r="L281" s="108">
        <f t="shared" si="172"/>
        <v>1367209965.1258466</v>
      </c>
      <c r="M281" s="108">
        <f t="shared" si="172"/>
        <v>1496303325.720875</v>
      </c>
      <c r="N281" s="108">
        <f t="shared" si="172"/>
        <v>1561122236.1612852</v>
      </c>
      <c r="O281" s="108">
        <f t="shared" si="172"/>
        <v>1741904653.0998263</v>
      </c>
      <c r="P281" s="108">
        <f t="shared" si="172"/>
        <v>1939190746.1525211</v>
      </c>
      <c r="Q281" s="139">
        <f t="shared" si="172"/>
        <v>2140256557.8479724</v>
      </c>
    </row>
    <row r="282" spans="2:17" x14ac:dyDescent="0.45">
      <c r="B282" s="107" t="s">
        <v>152</v>
      </c>
      <c r="C282" s="108"/>
      <c r="D282" s="108"/>
      <c r="E282" s="108"/>
      <c r="F282" s="108"/>
      <c r="G282" s="108"/>
      <c r="H282" s="108"/>
      <c r="I282" s="109"/>
      <c r="J282" s="109"/>
      <c r="K282" s="109"/>
      <c r="L282" s="109"/>
      <c r="M282" s="109"/>
      <c r="N282" s="109"/>
      <c r="O282" s="109"/>
      <c r="P282" s="109"/>
      <c r="Q282" s="110">
        <f ca="1">+Q281*(1+Q202)/(Q264-Q202)</f>
        <v>25426645759.228188</v>
      </c>
    </row>
    <row r="283" spans="2:17" x14ac:dyDescent="0.45">
      <c r="B283" s="107" t="s">
        <v>143</v>
      </c>
      <c r="C283" s="108"/>
      <c r="D283" s="108"/>
      <c r="E283" s="108"/>
      <c r="F283" s="108"/>
      <c r="G283" s="108"/>
      <c r="H283" s="111"/>
      <c r="I283" s="111">
        <f>+I259</f>
        <v>0.14702917026185691</v>
      </c>
      <c r="J283" s="111">
        <f t="shared" ref="J283:Q283" si="173">+J259</f>
        <v>0.11672605128233626</v>
      </c>
      <c r="K283" s="111">
        <f t="shared" si="173"/>
        <v>0.14927384574182145</v>
      </c>
      <c r="L283" s="111">
        <f t="shared" si="173"/>
        <v>0.17059826280148394</v>
      </c>
      <c r="M283" s="111">
        <f t="shared" si="173"/>
        <v>0.15937488540166145</v>
      </c>
      <c r="N283" s="111">
        <f t="shared" si="173"/>
        <v>0.15937488540166145</v>
      </c>
      <c r="O283" s="111">
        <f t="shared" si="173"/>
        <v>0.15937488540166145</v>
      </c>
      <c r="P283" s="111">
        <f t="shared" si="173"/>
        <v>0.15937488540166145</v>
      </c>
      <c r="Q283" s="167">
        <f t="shared" si="173"/>
        <v>0.15937488540166145</v>
      </c>
    </row>
    <row r="284" spans="2:17" x14ac:dyDescent="0.45">
      <c r="B284" s="106" t="s">
        <v>153</v>
      </c>
      <c r="C284" s="108"/>
      <c r="D284" s="108"/>
      <c r="E284" s="108"/>
      <c r="F284" s="108"/>
      <c r="G284" s="108"/>
      <c r="H284" s="211">
        <f t="shared" ref="H284:O284" ca="1" si="174">(I281+I284)/(1+I283)</f>
        <v>13383445293.504843</v>
      </c>
      <c r="I284" s="211">
        <f ca="1">(J281+J284)/(1+J283)</f>
        <v>14488770199.436342</v>
      </c>
      <c r="J284" s="211">
        <f t="shared" ca="1" si="174"/>
        <v>15238471182.461061</v>
      </c>
      <c r="K284" s="211">
        <f t="shared" ca="1" si="174"/>
        <v>16376843691.864851</v>
      </c>
      <c r="L284" s="211">
        <f t="shared" ca="1" si="174"/>
        <v>17803494810.742596</v>
      </c>
      <c r="M284" s="211">
        <f t="shared" ca="1" si="174"/>
        <v>19144621430.232887</v>
      </c>
      <c r="N284" s="211">
        <f t="shared" ca="1" si="174"/>
        <v>20634671040.57317</v>
      </c>
      <c r="O284" s="211">
        <f t="shared" ca="1" si="174"/>
        <v>22181414719.865665</v>
      </c>
      <c r="P284" s="211">
        <f ca="1">(Q281+Q284)/(1+Q283)</f>
        <v>23777384402.738472</v>
      </c>
      <c r="Q284" s="212">
        <f ca="1">+Q282</f>
        <v>25426645759.228188</v>
      </c>
    </row>
    <row r="285" spans="2:17" x14ac:dyDescent="0.45">
      <c r="B285" s="107" t="s">
        <v>154</v>
      </c>
      <c r="C285" s="108"/>
      <c r="D285" s="108"/>
      <c r="E285" s="108"/>
      <c r="F285" s="108"/>
      <c r="G285" s="108"/>
      <c r="H285" s="109">
        <f>+H272</f>
        <v>0</v>
      </c>
      <c r="I285" s="109">
        <f t="shared" ref="I285:Q285" si="175">+I272</f>
        <v>20147364.00371075</v>
      </c>
      <c r="J285" s="109">
        <f t="shared" si="175"/>
        <v>21306907.867596723</v>
      </c>
      <c r="K285" s="109">
        <f t="shared" si="175"/>
        <v>21186454.681134619</v>
      </c>
      <c r="L285" s="109">
        <f t="shared" si="175"/>
        <v>20417277.07268237</v>
      </c>
      <c r="M285" s="109">
        <f t="shared" si="175"/>
        <v>18414707.367322534</v>
      </c>
      <c r="N285" s="109">
        <f t="shared" si="175"/>
        <v>18350278.709508277</v>
      </c>
      <c r="O285" s="109">
        <f t="shared" si="175"/>
        <v>17945336.803835131</v>
      </c>
      <c r="P285" s="109">
        <f t="shared" si="175"/>
        <v>17275407.635887306</v>
      </c>
      <c r="Q285" s="112">
        <f t="shared" si="175"/>
        <v>16520977.478796953</v>
      </c>
    </row>
    <row r="286" spans="2:17" x14ac:dyDescent="0.45">
      <c r="B286" s="107" t="s">
        <v>152</v>
      </c>
      <c r="C286" s="108"/>
      <c r="D286" s="108"/>
      <c r="E286" s="108"/>
      <c r="F286" s="108"/>
      <c r="G286" s="108"/>
      <c r="H286" s="108"/>
      <c r="I286" s="109"/>
      <c r="J286" s="109"/>
      <c r="K286" s="109"/>
      <c r="L286" s="109"/>
      <c r="M286" s="109"/>
      <c r="N286" s="109"/>
      <c r="O286" s="109"/>
      <c r="P286" s="109"/>
      <c r="Q286" s="112">
        <v>0</v>
      </c>
    </row>
    <row r="287" spans="2:17" x14ac:dyDescent="0.45">
      <c r="B287" s="106" t="s">
        <v>155</v>
      </c>
      <c r="C287" s="108"/>
      <c r="D287" s="108"/>
      <c r="E287" s="108"/>
      <c r="F287" s="108"/>
      <c r="G287" s="108"/>
      <c r="H287" s="113">
        <f>(I285+I287)/(1+I283)</f>
        <v>94385496.435157806</v>
      </c>
      <c r="I287" s="113">
        <f t="shared" ref="I287:O287" si="176">(J285+J287)/(1+J283)</f>
        <v>88115553.657061771</v>
      </c>
      <c r="J287" s="113">
        <f t="shared" si="176"/>
        <v>77094026.424410686</v>
      </c>
      <c r="K287" s="113">
        <f t="shared" si="176"/>
        <v>67415693.551369444</v>
      </c>
      <c r="L287" s="113">
        <f t="shared" si="176"/>
        <v>58499416.6841079</v>
      </c>
      <c r="M287" s="113">
        <f t="shared" si="176"/>
        <v>49408047.146879114</v>
      </c>
      <c r="N287" s="113">
        <f t="shared" si="176"/>
        <v>38932170.289324582</v>
      </c>
      <c r="O287" s="113">
        <f t="shared" si="176"/>
        <v>27191643.663788527</v>
      </c>
      <c r="P287" s="113">
        <f>(Q285+Q287)/(1+Q283)</f>
        <v>14249901.120700331</v>
      </c>
      <c r="Q287" s="114">
        <v>0</v>
      </c>
    </row>
    <row r="288" spans="2:17" x14ac:dyDescent="0.45">
      <c r="B288" s="115" t="s">
        <v>156</v>
      </c>
      <c r="C288" s="116"/>
      <c r="D288" s="116"/>
      <c r="E288" s="116"/>
      <c r="F288" s="116"/>
      <c r="G288" s="116"/>
      <c r="H288" s="213">
        <f t="shared" ref="H288:P288" ca="1" si="177">+H284+H287</f>
        <v>13477830789.940001</v>
      </c>
      <c r="I288" s="213">
        <f t="shared" ca="1" si="177"/>
        <v>14576885753.093405</v>
      </c>
      <c r="J288" s="213">
        <f t="shared" ca="1" si="177"/>
        <v>15315565208.885471</v>
      </c>
      <c r="K288" s="213">
        <f t="shared" ca="1" si="177"/>
        <v>16444259385.41622</v>
      </c>
      <c r="L288" s="213">
        <f t="shared" ca="1" si="177"/>
        <v>17861994227.426704</v>
      </c>
      <c r="M288" s="213">
        <f t="shared" ca="1" si="177"/>
        <v>19194029477.379765</v>
      </c>
      <c r="N288" s="213">
        <f t="shared" ca="1" si="177"/>
        <v>20673603210.862495</v>
      </c>
      <c r="O288" s="213">
        <f t="shared" ca="1" si="177"/>
        <v>22208606363.529453</v>
      </c>
      <c r="P288" s="213">
        <f t="shared" ca="1" si="177"/>
        <v>23791634303.859173</v>
      </c>
      <c r="Q288" s="214">
        <f ca="1">+Q284+Q287</f>
        <v>25426645759.228188</v>
      </c>
    </row>
    <row r="290" spans="2:17" x14ac:dyDescent="0.45">
      <c r="B290" s="324" t="s">
        <v>232</v>
      </c>
      <c r="C290" s="325"/>
      <c r="D290" s="325"/>
      <c r="E290" s="325"/>
      <c r="F290" s="325"/>
      <c r="G290" s="325"/>
      <c r="H290" s="325"/>
      <c r="I290" s="325"/>
      <c r="J290" s="325"/>
      <c r="K290" s="325"/>
      <c r="L290" s="325"/>
      <c r="M290" s="325"/>
      <c r="N290" s="325"/>
      <c r="O290" s="325"/>
      <c r="P290" s="325"/>
      <c r="Q290" s="326"/>
    </row>
    <row r="291" spans="2:17" x14ac:dyDescent="0.45">
      <c r="B291" s="296" t="s">
        <v>144</v>
      </c>
      <c r="C291" s="108"/>
      <c r="D291" s="108"/>
      <c r="E291" s="108"/>
      <c r="F291" s="108"/>
      <c r="G291" s="108"/>
      <c r="H291" s="108"/>
      <c r="I291" s="113">
        <f>+I270</f>
        <v>862431950.81746721</v>
      </c>
      <c r="J291" s="113">
        <f t="shared" ref="J291:Q291" si="178">+J270</f>
        <v>941515950.29267764</v>
      </c>
      <c r="K291" s="113">
        <f t="shared" si="178"/>
        <v>1136332687.2280889</v>
      </c>
      <c r="L291" s="113">
        <f t="shared" si="178"/>
        <v>1367209965.1258466</v>
      </c>
      <c r="M291" s="113">
        <f t="shared" si="178"/>
        <v>1496303325.720875</v>
      </c>
      <c r="N291" s="113">
        <f t="shared" si="178"/>
        <v>1561122236.1612852</v>
      </c>
      <c r="O291" s="113">
        <f t="shared" si="178"/>
        <v>1741904653.0998263</v>
      </c>
      <c r="P291" s="113">
        <f t="shared" si="178"/>
        <v>1939190746.1525211</v>
      </c>
      <c r="Q291" s="114">
        <f t="shared" si="178"/>
        <v>2140256557.8479724</v>
      </c>
    </row>
    <row r="292" spans="2:17" x14ac:dyDescent="0.45">
      <c r="B292" s="296" t="s">
        <v>142</v>
      </c>
      <c r="C292" s="108"/>
      <c r="D292" s="108"/>
      <c r="E292" s="108"/>
      <c r="F292" s="108"/>
      <c r="G292" s="108"/>
      <c r="H292" s="108"/>
      <c r="I292" s="109"/>
      <c r="J292" s="109"/>
      <c r="K292" s="109"/>
      <c r="L292" s="109"/>
      <c r="M292" s="109"/>
      <c r="N292" s="109"/>
      <c r="O292" s="109"/>
      <c r="P292" s="109"/>
      <c r="Q292" s="114">
        <f ca="1">+Q270*(1+Q202)/(Q264-Q202)</f>
        <v>25426645759.228188</v>
      </c>
    </row>
    <row r="293" spans="2:17" x14ac:dyDescent="0.45">
      <c r="B293" s="295" t="s">
        <v>134</v>
      </c>
      <c r="C293" s="108"/>
      <c r="D293" s="108"/>
      <c r="E293" s="108"/>
      <c r="F293" s="108"/>
      <c r="G293" s="108"/>
      <c r="H293" s="111"/>
      <c r="I293" s="111">
        <f ca="1">+I264</f>
        <v>0.14553431813633913</v>
      </c>
      <c r="J293" s="111">
        <f t="shared" ref="J293:Q293" ca="1" si="179">+J264</f>
        <v>0.11526435992874415</v>
      </c>
      <c r="K293" s="111">
        <f t="shared" ca="1" si="179"/>
        <v>0.14789051744853435</v>
      </c>
      <c r="L293" s="111">
        <f t="shared" ca="1" si="179"/>
        <v>0.16935665765563043</v>
      </c>
      <c r="M293" s="111">
        <f t="shared" ca="1" si="179"/>
        <v>0.15834394187246428</v>
      </c>
      <c r="N293" s="111">
        <f t="shared" ca="1" si="179"/>
        <v>0.15841884442385978</v>
      </c>
      <c r="O293" s="111">
        <f t="shared" ca="1" si="179"/>
        <v>0.15850685399848513</v>
      </c>
      <c r="P293" s="111">
        <f t="shared" ca="1" si="179"/>
        <v>0.15859701544651392</v>
      </c>
      <c r="Q293" s="167">
        <f t="shared" ca="1" si="179"/>
        <v>0.15868048260159331</v>
      </c>
    </row>
    <row r="294" spans="2:17" x14ac:dyDescent="0.45">
      <c r="B294" s="297" t="s">
        <v>156</v>
      </c>
      <c r="C294" s="108"/>
      <c r="D294" s="108"/>
      <c r="E294" s="108"/>
      <c r="F294" s="108"/>
      <c r="G294" s="108"/>
      <c r="H294" s="118">
        <f t="shared" ref="H294:O294" ca="1" si="180">+(I291+I294)/(1+I293)</f>
        <v>13477830789.940002</v>
      </c>
      <c r="I294" s="118">
        <f t="shared" ca="1" si="180"/>
        <v>14576885753.093407</v>
      </c>
      <c r="J294" s="118">
        <f t="shared" ca="1" si="180"/>
        <v>15315565208.885475</v>
      </c>
      <c r="K294" s="118">
        <f t="shared" ca="1" si="180"/>
        <v>16444259385.416224</v>
      </c>
      <c r="L294" s="118">
        <f t="shared" ca="1" si="180"/>
        <v>17861994227.426704</v>
      </c>
      <c r="M294" s="118">
        <f t="shared" ca="1" si="180"/>
        <v>19194029477.379772</v>
      </c>
      <c r="N294" s="118">
        <f t="shared" ca="1" si="180"/>
        <v>20673603210.862499</v>
      </c>
      <c r="O294" s="118">
        <f t="shared" ca="1" si="180"/>
        <v>22208606363.529457</v>
      </c>
      <c r="P294" s="118">
        <f ca="1">+(Q291+Q294)/(1+Q293)</f>
        <v>23791634303.859173</v>
      </c>
      <c r="Q294" s="119">
        <f ca="1">+Q292</f>
        <v>25426645759.228188</v>
      </c>
    </row>
    <row r="295" spans="2:17" x14ac:dyDescent="0.45">
      <c r="B295" s="295" t="str">
        <f>+B8</f>
        <v>Inversiones</v>
      </c>
      <c r="C295" s="79"/>
      <c r="D295" s="79"/>
      <c r="E295" s="79"/>
      <c r="F295" s="79"/>
      <c r="G295" s="79"/>
      <c r="H295" s="120">
        <f t="shared" ref="H295:Q295" si="181">+H8</f>
        <v>86324963.424374521</v>
      </c>
      <c r="I295" s="120">
        <f t="shared" si="181"/>
        <v>103552919.03972927</v>
      </c>
      <c r="J295" s="120">
        <f t="shared" si="181"/>
        <v>103999733.49508393</v>
      </c>
      <c r="K295" s="120">
        <f t="shared" si="181"/>
        <v>88830440.135706455</v>
      </c>
      <c r="L295" s="120">
        <f t="shared" si="181"/>
        <v>77717904.232327893</v>
      </c>
      <c r="M295" s="120">
        <f t="shared" si="181"/>
        <v>93218053.985054389</v>
      </c>
      <c r="N295" s="120">
        <f t="shared" si="181"/>
        <v>94969261.305281162</v>
      </c>
      <c r="O295" s="120">
        <f t="shared" si="181"/>
        <v>93335534.58272621</v>
      </c>
      <c r="P295" s="120">
        <f t="shared" si="181"/>
        <v>91223679.084389433</v>
      </c>
      <c r="Q295" s="154">
        <f t="shared" si="181"/>
        <v>91790974.011409625</v>
      </c>
    </row>
    <row r="296" spans="2:17" x14ac:dyDescent="0.45">
      <c r="B296" s="295" t="str">
        <f>+B24</f>
        <v>Inversiones de largo plazo</v>
      </c>
      <c r="C296" s="79"/>
      <c r="D296" s="79"/>
      <c r="E296" s="79"/>
      <c r="F296" s="79"/>
      <c r="G296" s="79"/>
      <c r="H296" s="120">
        <f t="shared" ref="H296:Q296" si="182">+H24</f>
        <v>9425466.2200000007</v>
      </c>
      <c r="I296" s="120">
        <f t="shared" si="182"/>
        <v>9425466.2200000007</v>
      </c>
      <c r="J296" s="120">
        <f t="shared" si="182"/>
        <v>9425466.2200000007</v>
      </c>
      <c r="K296" s="120">
        <f t="shared" si="182"/>
        <v>9425466.2200000007</v>
      </c>
      <c r="L296" s="120">
        <f t="shared" si="182"/>
        <v>9425466.2200000007</v>
      </c>
      <c r="M296" s="120">
        <f t="shared" si="182"/>
        <v>9425466.2200000007</v>
      </c>
      <c r="N296" s="120">
        <f t="shared" si="182"/>
        <v>9425466.2200000007</v>
      </c>
      <c r="O296" s="120">
        <f t="shared" si="182"/>
        <v>9425466.2200000007</v>
      </c>
      <c r="P296" s="120">
        <f t="shared" si="182"/>
        <v>9425466.2200000007</v>
      </c>
      <c r="Q296" s="154">
        <f t="shared" si="182"/>
        <v>9425466.2200000007</v>
      </c>
    </row>
    <row r="297" spans="2:17" x14ac:dyDescent="0.45">
      <c r="B297" s="158" t="str">
        <f>+B25</f>
        <v xml:space="preserve">Valorizacion de propiedad planta y equipo </v>
      </c>
      <c r="C297" s="156"/>
      <c r="D297" s="156"/>
      <c r="E297" s="156"/>
      <c r="F297" s="156"/>
      <c r="G297" s="156"/>
      <c r="H297" s="156">
        <f t="shared" ref="H297:Q297" si="183">+H25</f>
        <v>19473662972.68</v>
      </c>
      <c r="I297" s="156">
        <f t="shared" si="183"/>
        <v>19473662972.68</v>
      </c>
      <c r="J297" s="156">
        <f t="shared" si="183"/>
        <v>19473662972.68</v>
      </c>
      <c r="K297" s="156">
        <f t="shared" si="183"/>
        <v>19473662972.68</v>
      </c>
      <c r="L297" s="156">
        <f t="shared" si="183"/>
        <v>19473662972.68</v>
      </c>
      <c r="M297" s="156">
        <f t="shared" si="183"/>
        <v>19473662972.68</v>
      </c>
      <c r="N297" s="156">
        <f t="shared" si="183"/>
        <v>19473662972.68</v>
      </c>
      <c r="O297" s="156">
        <f t="shared" si="183"/>
        <v>19473662972.68</v>
      </c>
      <c r="P297" s="156">
        <f t="shared" si="183"/>
        <v>19473662972.68</v>
      </c>
      <c r="Q297" s="157">
        <f t="shared" si="183"/>
        <v>19473662972.68</v>
      </c>
    </row>
    <row r="298" spans="2:17" x14ac:dyDescent="0.45">
      <c r="B298" s="295" t="str">
        <f>+B46</f>
        <v xml:space="preserve">Provisión para costos y gastos </v>
      </c>
      <c r="C298" s="79"/>
      <c r="D298" s="79"/>
      <c r="E298" s="79"/>
      <c r="F298" s="79"/>
      <c r="G298" s="79"/>
      <c r="H298" s="120">
        <f t="shared" ref="H298:Q298" si="184">+H46</f>
        <v>142982092.21186763</v>
      </c>
      <c r="I298" s="120">
        <f t="shared" si="184"/>
        <v>171517165.27418745</v>
      </c>
      <c r="J298" s="120">
        <f t="shared" si="184"/>
        <v>207422090.68145487</v>
      </c>
      <c r="K298" s="120">
        <f t="shared" si="184"/>
        <v>181880764.56782725</v>
      </c>
      <c r="L298" s="120">
        <f t="shared" si="184"/>
        <v>143601400.45463884</v>
      </c>
      <c r="M298" s="120">
        <f t="shared" si="184"/>
        <v>171565709.24786222</v>
      </c>
      <c r="N298" s="120">
        <f t="shared" si="184"/>
        <v>178019386.35377651</v>
      </c>
      <c r="O298" s="120">
        <f t="shared" si="184"/>
        <v>179553652.49115297</v>
      </c>
      <c r="P298" s="120">
        <f t="shared" si="184"/>
        <v>173993920.87429053</v>
      </c>
      <c r="Q298" s="154">
        <f t="shared" si="184"/>
        <v>172538693.92196846</v>
      </c>
    </row>
    <row r="299" spans="2:17" x14ac:dyDescent="0.45">
      <c r="B299" s="295" t="str">
        <f>+B47</f>
        <v xml:space="preserve">Provisiones diversas/ Provision para obligaciones fiscales </v>
      </c>
      <c r="C299" s="79"/>
      <c r="D299" s="79"/>
      <c r="E299" s="79"/>
      <c r="F299" s="79"/>
      <c r="G299" s="79"/>
      <c r="H299" s="120">
        <f t="shared" ref="H299:Q299" si="185">+H47</f>
        <v>70655761.620041057</v>
      </c>
      <c r="I299" s="120">
        <f t="shared" si="185"/>
        <v>84756599.626483247</v>
      </c>
      <c r="J299" s="120">
        <f t="shared" si="185"/>
        <v>102499309.99892724</v>
      </c>
      <c r="K299" s="120">
        <f t="shared" si="185"/>
        <v>93625557.730282605</v>
      </c>
      <c r="L299" s="120">
        <f t="shared" si="185"/>
        <v>109271764.45138897</v>
      </c>
      <c r="M299" s="120">
        <f t="shared" si="185"/>
        <v>93295603.04453674</v>
      </c>
      <c r="N299" s="120">
        <f t="shared" si="185"/>
        <v>98247179.603577554</v>
      </c>
      <c r="O299" s="120">
        <f t="shared" si="185"/>
        <v>101108627.39284992</v>
      </c>
      <c r="P299" s="120">
        <f t="shared" si="185"/>
        <v>100889722.66007718</v>
      </c>
      <c r="Q299" s="154">
        <f t="shared" si="185"/>
        <v>102458001.50813667</v>
      </c>
    </row>
    <row r="300" spans="2:17" ht="13.5" customHeight="1" x14ac:dyDescent="0.45">
      <c r="B300" s="295" t="str">
        <f>+B244</f>
        <v xml:space="preserve">Total Deuda Financiera </v>
      </c>
      <c r="C300" s="79"/>
      <c r="D300" s="79"/>
      <c r="E300" s="79"/>
      <c r="F300" s="79"/>
      <c r="G300" s="79"/>
      <c r="H300" s="120">
        <f t="shared" ref="H300:Q300" si="186">+H244</f>
        <v>2509972548.7037201</v>
      </c>
      <c r="I300" s="120">
        <f t="shared" si="186"/>
        <v>2839786104.735693</v>
      </c>
      <c r="J300" s="120">
        <f t="shared" si="186"/>
        <v>3112025798.3648949</v>
      </c>
      <c r="K300" s="120">
        <f t="shared" si="186"/>
        <v>3210100098.4438496</v>
      </c>
      <c r="L300" s="120">
        <f t="shared" si="186"/>
        <v>3213007117.7447042</v>
      </c>
      <c r="M300" s="120">
        <f t="shared" si="186"/>
        <v>3013602087.2553058</v>
      </c>
      <c r="N300" s="120">
        <f t="shared" si="186"/>
        <v>3127277796.1640215</v>
      </c>
      <c r="O300" s="120">
        <f t="shared" si="186"/>
        <v>3189483667.0441113</v>
      </c>
      <c r="P300" s="120">
        <f t="shared" si="186"/>
        <v>3207279513.061286</v>
      </c>
      <c r="Q300" s="154">
        <f t="shared" si="186"/>
        <v>3209504269.2141018</v>
      </c>
    </row>
    <row r="301" spans="2:17" x14ac:dyDescent="0.45">
      <c r="B301" s="121" t="s">
        <v>235</v>
      </c>
      <c r="C301" s="116"/>
      <c r="D301" s="116"/>
      <c r="E301" s="116"/>
      <c r="F301" s="116"/>
      <c r="G301" s="116"/>
      <c r="H301" s="215">
        <f t="shared" ref="H301:Q301" ca="1" si="187">+H294+H295+H296+H297-H298-H299-H300</f>
        <v>30323633789.728745</v>
      </c>
      <c r="I301" s="215">
        <f t="shared" ca="1" si="187"/>
        <v>31067467241.396767</v>
      </c>
      <c r="J301" s="215">
        <f t="shared" ca="1" si="187"/>
        <v>31480706182.235287</v>
      </c>
      <c r="K301" s="215">
        <f t="shared" ca="1" si="187"/>
        <v>32530571843.709969</v>
      </c>
      <c r="L301" s="215">
        <f t="shared" ca="1" si="187"/>
        <v>33956920287.90831</v>
      </c>
      <c r="M301" s="215">
        <f t="shared" ca="1" si="187"/>
        <v>35491872570.717125</v>
      </c>
      <c r="N301" s="215">
        <f t="shared" ca="1" si="187"/>
        <v>36848116548.946404</v>
      </c>
      <c r="O301" s="215">
        <f t="shared" ca="1" si="187"/>
        <v>38314884390.084068</v>
      </c>
      <c r="P301" s="215">
        <f t="shared" ca="1" si="187"/>
        <v>39883783265.24791</v>
      </c>
      <c r="Q301" s="216">
        <f t="shared" ca="1" si="187"/>
        <v>41517024207.495399</v>
      </c>
    </row>
    <row r="302" spans="2:17" x14ac:dyDescent="0.45"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</row>
    <row r="303" spans="2:17" ht="15.7" x14ac:dyDescent="0.55000000000000004">
      <c r="B303" s="320" t="s">
        <v>157</v>
      </c>
      <c r="C303" s="320"/>
      <c r="D303" s="320"/>
      <c r="E303" s="320"/>
      <c r="F303" s="320"/>
      <c r="G303" s="320"/>
      <c r="H303" s="320"/>
      <c r="I303" s="320"/>
      <c r="J303" s="320"/>
      <c r="K303" s="320"/>
      <c r="L303" s="320"/>
      <c r="M303" s="320"/>
      <c r="N303" s="320"/>
    </row>
    <row r="305" spans="2:12" ht="13.35" thickBot="1" x14ac:dyDescent="0.5">
      <c r="B305" s="122"/>
      <c r="C305" s="123"/>
      <c r="D305" s="322" t="s">
        <v>116</v>
      </c>
      <c r="E305" s="322"/>
      <c r="F305" s="322"/>
    </row>
    <row r="306" spans="2:12" ht="15" thickTop="1" thickBot="1" x14ac:dyDescent="0.55000000000000004">
      <c r="B306" s="323"/>
      <c r="C306" s="323"/>
      <c r="D306" s="124">
        <f>+E306-1%</f>
        <v>5.8722116122296504E-2</v>
      </c>
      <c r="E306" s="124">
        <f>+Q202</f>
        <v>6.8722116122296506E-2</v>
      </c>
      <c r="F306" s="124">
        <f>+E306+1%</f>
        <v>7.8722116122296501E-2</v>
      </c>
      <c r="H306"/>
      <c r="I306"/>
      <c r="J306"/>
      <c r="K306"/>
      <c r="L306"/>
    </row>
    <row r="307" spans="2:12" ht="15" thickTop="1" thickBot="1" x14ac:dyDescent="0.55000000000000004">
      <c r="B307" s="321" t="s">
        <v>134</v>
      </c>
      <c r="C307" s="125">
        <f ca="1">+C308-3%</f>
        <v>0.12868048260159329</v>
      </c>
      <c r="D307" s="126">
        <f t="shared" ref="D307:F309" ca="1" si="188">+$Q$270*(1+D$306)/($C307-D$306)</f>
        <v>32389792186.471375</v>
      </c>
      <c r="E307" s="126">
        <f t="shared" ca="1" si="188"/>
        <v>38148796437.569893</v>
      </c>
      <c r="F307" s="219">
        <f t="shared" ca="1" si="188"/>
        <v>46213322128.599838</v>
      </c>
      <c r="H307"/>
      <c r="I307"/>
      <c r="J307"/>
      <c r="K307"/>
      <c r="L307"/>
    </row>
    <row r="308" spans="2:12" ht="15" thickTop="1" thickBot="1" x14ac:dyDescent="0.55000000000000004">
      <c r="B308" s="321"/>
      <c r="C308" s="125">
        <f ca="1">+Q264</f>
        <v>0.15868048260159331</v>
      </c>
      <c r="D308" s="126">
        <f t="shared" ca="1" si="188"/>
        <v>22668807342.292297</v>
      </c>
      <c r="E308" s="218">
        <f t="shared" ca="1" si="188"/>
        <v>25426645759.228188</v>
      </c>
      <c r="F308" s="126">
        <f t="shared" ca="1" si="188"/>
        <v>28874302775.109554</v>
      </c>
      <c r="H308"/>
      <c r="I308"/>
      <c r="J308"/>
      <c r="K308"/>
      <c r="L308"/>
    </row>
    <row r="309" spans="2:12" ht="15" thickTop="1" thickBot="1" x14ac:dyDescent="0.55000000000000004">
      <c r="B309" s="321"/>
      <c r="C309" s="125">
        <f ca="1">+C308+3%</f>
        <v>0.18868048260159331</v>
      </c>
      <c r="D309" s="217">
        <f t="shared" ca="1" si="188"/>
        <v>17435868219.614826</v>
      </c>
      <c r="E309" s="126">
        <f t="shared" ca="1" si="188"/>
        <v>19067778135.697365</v>
      </c>
      <c r="F309" s="126">
        <f t="shared" ca="1" si="188"/>
        <v>20996511289.216736</v>
      </c>
      <c r="H309"/>
      <c r="I309"/>
      <c r="J309"/>
      <c r="K309"/>
      <c r="L309"/>
    </row>
    <row r="310" spans="2:12" ht="14.7" thickTop="1" x14ac:dyDescent="0.5">
      <c r="H310"/>
      <c r="I310"/>
      <c r="J310"/>
      <c r="K310"/>
      <c r="L310"/>
    </row>
    <row r="311" spans="2:12" ht="14.35" x14ac:dyDescent="0.5">
      <c r="B311" s="127" t="s">
        <v>164</v>
      </c>
      <c r="H311"/>
      <c r="I311"/>
      <c r="J311"/>
      <c r="K311"/>
      <c r="L311"/>
    </row>
    <row r="312" spans="2:12" ht="14.35" x14ac:dyDescent="0.5">
      <c r="H312"/>
      <c r="I312"/>
      <c r="J312"/>
      <c r="K312"/>
      <c r="L312"/>
    </row>
    <row r="313" spans="2:12" ht="14.35" x14ac:dyDescent="0.5">
      <c r="B313" s="128" t="s">
        <v>158</v>
      </c>
      <c r="C313" s="128" t="s">
        <v>159</v>
      </c>
      <c r="D313" s="128" t="s">
        <v>160</v>
      </c>
      <c r="H313"/>
      <c r="I313"/>
      <c r="J313"/>
      <c r="K313"/>
      <c r="L313"/>
    </row>
    <row r="314" spans="2:12" ht="14.35" x14ac:dyDescent="0.5">
      <c r="B314" s="129" t="s">
        <v>161</v>
      </c>
      <c r="C314" s="130">
        <f ca="1">+F307</f>
        <v>46213322128.599838</v>
      </c>
      <c r="D314" s="130">
        <v>36131997662.583519</v>
      </c>
      <c r="H314"/>
      <c r="I314"/>
      <c r="J314"/>
      <c r="K314"/>
      <c r="L314"/>
    </row>
    <row r="315" spans="2:12" ht="14.35" x14ac:dyDescent="0.5">
      <c r="B315" s="131" t="s">
        <v>162</v>
      </c>
      <c r="C315" s="130">
        <f ca="1">+E308</f>
        <v>25426645759.228188</v>
      </c>
      <c r="D315" s="130">
        <v>30323633789.728745</v>
      </c>
      <c r="H315"/>
      <c r="I315"/>
      <c r="J315"/>
      <c r="K315"/>
      <c r="L315"/>
    </row>
    <row r="316" spans="2:12" ht="14.35" x14ac:dyDescent="0.5">
      <c r="B316" s="132" t="s">
        <v>163</v>
      </c>
      <c r="C316" s="130">
        <f ca="1">+D309</f>
        <v>17435868219.614826</v>
      </c>
      <c r="D316" s="130">
        <v>28090792774.053055</v>
      </c>
      <c r="H316"/>
      <c r="I316"/>
      <c r="J316"/>
      <c r="K316"/>
      <c r="L316"/>
    </row>
  </sheetData>
  <mergeCells count="17">
    <mergeCell ref="B205:S205"/>
    <mergeCell ref="B303:N303"/>
    <mergeCell ref="B307:B309"/>
    <mergeCell ref="D305:F305"/>
    <mergeCell ref="B306:C306"/>
    <mergeCell ref="B280:Q280"/>
    <mergeCell ref="B290:Q290"/>
    <mergeCell ref="B1:Q1"/>
    <mergeCell ref="B2:Q2"/>
    <mergeCell ref="B3:Q3"/>
    <mergeCell ref="C4:G4"/>
    <mergeCell ref="H4:Q4"/>
    <mergeCell ref="C71:G71"/>
    <mergeCell ref="H71:Q71"/>
    <mergeCell ref="B68:Q68"/>
    <mergeCell ref="B69:Q69"/>
    <mergeCell ref="B70:Q7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182"/>
  <sheetViews>
    <sheetView topLeftCell="A73" zoomScale="80" zoomScaleNormal="80" workbookViewId="0">
      <selection activeCell="E81" sqref="E81"/>
    </sheetView>
  </sheetViews>
  <sheetFormatPr baseColWidth="10" defaultRowHeight="14.35" x14ac:dyDescent="0.5"/>
  <cols>
    <col min="1" max="1" width="50.703125" customWidth="1"/>
    <col min="2" max="2" width="18.5859375" customWidth="1"/>
    <col min="3" max="3" width="19" customWidth="1"/>
    <col min="4" max="4" width="18.29296875" customWidth="1"/>
    <col min="5" max="5" width="18.703125" style="1" customWidth="1"/>
    <col min="6" max="7" width="17.29296875" style="1" customWidth="1"/>
    <col min="8" max="8" width="19.1171875" style="1" customWidth="1"/>
    <col min="9" max="16" width="18" style="1" customWidth="1"/>
    <col min="17" max="17" width="9.5859375" style="1" customWidth="1"/>
    <col min="18" max="19" width="5.5859375" style="1" customWidth="1"/>
    <col min="20" max="27" width="7" customWidth="1"/>
  </cols>
  <sheetData>
    <row r="2" spans="1:19" ht="15.7" x14ac:dyDescent="0.55000000000000004">
      <c r="A2" s="220" t="s">
        <v>147</v>
      </c>
      <c r="B2" s="6"/>
      <c r="C2" s="6"/>
      <c r="D2" s="6"/>
      <c r="E2" s="7"/>
      <c r="F2" s="7"/>
      <c r="G2" s="7"/>
      <c r="H2" s="7"/>
      <c r="I2" s="7"/>
      <c r="J2" s="7"/>
      <c r="K2" s="7"/>
      <c r="L2" s="7"/>
    </row>
    <row r="3" spans="1:19" ht="15.7" x14ac:dyDescent="0.55000000000000004">
      <c r="A3" s="220" t="s">
        <v>165</v>
      </c>
      <c r="B3" s="8"/>
      <c r="C3" s="8"/>
      <c r="D3" s="8"/>
      <c r="E3" s="8"/>
      <c r="F3" s="8"/>
      <c r="G3" s="8"/>
      <c r="H3" s="8"/>
      <c r="I3" s="8"/>
      <c r="J3" s="8"/>
      <c r="K3" s="8"/>
      <c r="L3" s="7"/>
    </row>
    <row r="4" spans="1:19" x14ac:dyDescent="0.5">
      <c r="A4" s="221"/>
      <c r="B4" s="222" t="s">
        <v>166</v>
      </c>
      <c r="C4" s="222" t="s">
        <v>167</v>
      </c>
      <c r="D4" s="222" t="s">
        <v>168</v>
      </c>
      <c r="E4" s="222" t="s">
        <v>169</v>
      </c>
      <c r="F4" s="222" t="s">
        <v>170</v>
      </c>
      <c r="G4" s="222" t="s">
        <v>171</v>
      </c>
      <c r="H4" s="222" t="s">
        <v>172</v>
      </c>
      <c r="I4" s="222" t="s">
        <v>173</v>
      </c>
      <c r="J4" s="222" t="s">
        <v>174</v>
      </c>
      <c r="K4" s="222" t="s">
        <v>175</v>
      </c>
    </row>
    <row r="5" spans="1:19" x14ac:dyDescent="0.5">
      <c r="A5" s="9" t="s">
        <v>4</v>
      </c>
      <c r="B5" s="223">
        <v>9.1509119999999999E-2</v>
      </c>
      <c r="C5" s="223">
        <v>9.588387499999973E-2</v>
      </c>
      <c r="D5" s="223">
        <v>0.10763218399999985</v>
      </c>
      <c r="E5" s="224">
        <v>0.10924986199999998</v>
      </c>
      <c r="F5" s="224">
        <v>0.10390408700000009</v>
      </c>
      <c r="G5" s="224">
        <v>0.10016566000000005</v>
      </c>
      <c r="H5" s="224">
        <v>0.10016566000000005</v>
      </c>
      <c r="I5" s="224">
        <v>0.10016566000000005</v>
      </c>
      <c r="J5" s="224">
        <v>0.10016566000000005</v>
      </c>
      <c r="K5" s="225">
        <v>0.10016566000000005</v>
      </c>
    </row>
    <row r="6" spans="1:19" x14ac:dyDescent="0.5">
      <c r="A6" s="226" t="s">
        <v>6</v>
      </c>
      <c r="B6" s="223">
        <v>9.1509119999999999E-2</v>
      </c>
      <c r="C6" s="223">
        <v>9.588387499999973E-2</v>
      </c>
      <c r="D6" s="223">
        <v>0.10763218399999985</v>
      </c>
      <c r="E6" s="224">
        <v>0.10924986199999998</v>
      </c>
      <c r="F6" s="224">
        <v>0.10390408700000009</v>
      </c>
      <c r="G6" s="224">
        <v>0.10016566000000005</v>
      </c>
      <c r="H6" s="224">
        <v>0.10016566000000005</v>
      </c>
      <c r="I6" s="224">
        <v>0.10016566000000005</v>
      </c>
      <c r="J6" s="224">
        <v>0.10016566000000005</v>
      </c>
      <c r="K6" s="225">
        <v>0.10016566000000005</v>
      </c>
    </row>
    <row r="7" spans="1:19" x14ac:dyDescent="0.5">
      <c r="A7" s="9" t="s">
        <v>8</v>
      </c>
      <c r="B7" s="223">
        <v>9.1509119999999999E-2</v>
      </c>
      <c r="C7" s="223">
        <v>9.588387499999973E-2</v>
      </c>
      <c r="D7" s="223">
        <v>0.10763218399999985</v>
      </c>
      <c r="E7" s="224">
        <v>0.10924986199999998</v>
      </c>
      <c r="F7" s="224">
        <v>0.10390408700000009</v>
      </c>
      <c r="G7" s="224">
        <v>0.10016566000000005</v>
      </c>
      <c r="H7" s="224">
        <v>0.10016566000000005</v>
      </c>
      <c r="I7" s="224">
        <v>0.10016566000000005</v>
      </c>
      <c r="J7" s="224">
        <v>0.10016566000000005</v>
      </c>
      <c r="K7" s="225">
        <v>0.10016566000000005</v>
      </c>
    </row>
    <row r="8" spans="1:19" x14ac:dyDescent="0.5">
      <c r="A8" s="227" t="s">
        <v>9</v>
      </c>
      <c r="B8" s="228">
        <v>9.1509119999999999E-2</v>
      </c>
      <c r="C8" s="228">
        <v>9.588387499999973E-2</v>
      </c>
      <c r="D8" s="228">
        <v>0.10763218399999985</v>
      </c>
      <c r="E8" s="229">
        <v>0.10924986199999998</v>
      </c>
      <c r="F8" s="229">
        <v>0.10390408700000009</v>
      </c>
      <c r="G8" s="229">
        <v>0.10016566000000005</v>
      </c>
      <c r="H8" s="229">
        <v>0.10016566000000005</v>
      </c>
      <c r="I8" s="229">
        <v>0.10016566000000005</v>
      </c>
      <c r="J8" s="229">
        <v>0.10016566000000005</v>
      </c>
      <c r="K8" s="230">
        <v>0.10016566000000005</v>
      </c>
    </row>
    <row r="9" spans="1:19" x14ac:dyDescent="0.5">
      <c r="A9" s="13"/>
      <c r="B9" s="10"/>
      <c r="C9" s="10"/>
      <c r="D9" s="10"/>
      <c r="E9" s="11"/>
      <c r="F9" s="11"/>
      <c r="G9" s="11"/>
      <c r="H9" s="11"/>
      <c r="I9" s="11"/>
      <c r="J9" s="11"/>
      <c r="K9" s="11"/>
      <c r="M9" s="14"/>
      <c r="N9" s="14"/>
      <c r="O9" s="14"/>
      <c r="P9" s="14"/>
      <c r="Q9" s="14"/>
      <c r="R9" s="14"/>
      <c r="S9" s="14"/>
    </row>
    <row r="10" spans="1:19" ht="27" customHeight="1" x14ac:dyDescent="0.5">
      <c r="A10" s="327" t="s">
        <v>176</v>
      </c>
      <c r="B10" s="328"/>
      <c r="C10" s="328"/>
      <c r="D10" s="328"/>
      <c r="E10" s="329"/>
      <c r="F10" s="15"/>
      <c r="G10" s="15"/>
      <c r="H10" s="15"/>
      <c r="I10" s="11"/>
      <c r="J10" s="11"/>
      <c r="K10" s="11"/>
      <c r="M10" s="14"/>
      <c r="N10" s="14"/>
      <c r="O10" s="14"/>
      <c r="P10" s="14"/>
      <c r="Q10" s="14"/>
      <c r="R10" s="14"/>
      <c r="S10" s="14"/>
    </row>
    <row r="11" spans="1:19" x14ac:dyDescent="0.5">
      <c r="A11" s="13"/>
      <c r="B11" s="15"/>
      <c r="C11" s="15"/>
      <c r="D11" s="15"/>
      <c r="E11" s="15"/>
      <c r="F11" s="15"/>
      <c r="G11" s="15"/>
      <c r="H11" s="15"/>
      <c r="I11" s="11"/>
      <c r="J11" s="11"/>
      <c r="K11" s="11"/>
      <c r="M11" s="14"/>
      <c r="N11" s="14"/>
      <c r="O11" s="14"/>
      <c r="P11" s="14"/>
      <c r="Q11" s="14"/>
      <c r="R11" s="14"/>
      <c r="S11" s="14"/>
    </row>
    <row r="13" spans="1:19" x14ac:dyDescent="0.5">
      <c r="A13" s="231" t="s">
        <v>7</v>
      </c>
      <c r="B13" s="232">
        <v>2014</v>
      </c>
      <c r="C13" s="232">
        <v>2015</v>
      </c>
      <c r="D13" s="232">
        <v>2016</v>
      </c>
      <c r="E13" s="233" t="s">
        <v>177</v>
      </c>
    </row>
    <row r="14" spans="1:19" x14ac:dyDescent="0.5">
      <c r="A14" s="234"/>
      <c r="B14" s="5">
        <v>296388006.05000001</v>
      </c>
      <c r="C14" s="5">
        <v>388037550.37</v>
      </c>
      <c r="D14" s="5">
        <v>519040582.94</v>
      </c>
      <c r="E14" s="235" t="s">
        <v>178</v>
      </c>
    </row>
    <row r="15" spans="1:19" x14ac:dyDescent="0.5">
      <c r="A15" s="234"/>
      <c r="B15" s="236">
        <f>+'[1]PROYECCIONES '!D87</f>
        <v>9754889005.4399986</v>
      </c>
      <c r="C15" s="236">
        <f>+'[1]PROYECCIONES '!E87</f>
        <v>11519236182</v>
      </c>
      <c r="D15" s="236">
        <f>+'[1]PROYECCIONES '!F87</f>
        <v>14082205068</v>
      </c>
      <c r="E15" s="235" t="s">
        <v>179</v>
      </c>
    </row>
    <row r="16" spans="1:19" x14ac:dyDescent="0.5">
      <c r="A16" s="237"/>
      <c r="B16" s="238">
        <f>+B14/B15</f>
        <v>3.0383534439470672E-2</v>
      </c>
      <c r="C16" s="238">
        <f t="shared" ref="C16:D16" si="0">+C14/C15</f>
        <v>3.3686048644123549E-2</v>
      </c>
      <c r="D16" s="238">
        <f t="shared" si="0"/>
        <v>3.6857905451146492E-2</v>
      </c>
      <c r="E16" s="239">
        <f>+AVERAGE(B16:D16)</f>
        <v>3.3642496178246904E-2</v>
      </c>
    </row>
    <row r="17" spans="1:16" x14ac:dyDescent="0.5">
      <c r="B17" s="16"/>
      <c r="C17" s="16"/>
      <c r="D17" s="16"/>
      <c r="E17" s="17"/>
    </row>
    <row r="18" spans="1:16" x14ac:dyDescent="0.5">
      <c r="A18" s="330" t="s">
        <v>180</v>
      </c>
      <c r="B18" s="331"/>
      <c r="C18" s="331"/>
      <c r="D18" s="331"/>
      <c r="E18" s="332"/>
    </row>
    <row r="19" spans="1:16" x14ac:dyDescent="0.5">
      <c r="A19" s="333"/>
      <c r="B19" s="334"/>
      <c r="C19" s="334"/>
      <c r="D19" s="334"/>
      <c r="E19" s="335"/>
    </row>
    <row r="20" spans="1:16" x14ac:dyDescent="0.5">
      <c r="A20" s="336"/>
      <c r="B20" s="337"/>
      <c r="C20" s="337"/>
      <c r="D20" s="337"/>
      <c r="E20" s="338"/>
    </row>
    <row r="21" spans="1:16" x14ac:dyDescent="0.5">
      <c r="B21" s="16"/>
      <c r="C21" s="16"/>
      <c r="D21" s="16"/>
      <c r="E21" s="17"/>
    </row>
    <row r="22" spans="1:16" x14ac:dyDescent="0.5">
      <c r="B22" s="16"/>
      <c r="C22" s="16"/>
      <c r="D22" s="16"/>
      <c r="E22" s="17"/>
    </row>
    <row r="23" spans="1:16" x14ac:dyDescent="0.5">
      <c r="A23" s="13"/>
    </row>
    <row r="24" spans="1:16" x14ac:dyDescent="0.5">
      <c r="A24" s="240"/>
      <c r="B24" s="241">
        <v>2012</v>
      </c>
      <c r="C24" s="241">
        <v>2013</v>
      </c>
      <c r="D24" s="241">
        <v>2014</v>
      </c>
      <c r="E24" s="241">
        <v>2015</v>
      </c>
      <c r="F24" s="241">
        <v>2016</v>
      </c>
      <c r="G24" s="241">
        <v>2017</v>
      </c>
      <c r="H24" s="241">
        <v>2018</v>
      </c>
      <c r="I24" s="241">
        <v>2019</v>
      </c>
      <c r="J24" s="241">
        <v>2020</v>
      </c>
      <c r="K24" s="241">
        <v>2021</v>
      </c>
      <c r="L24" s="241">
        <v>2022</v>
      </c>
      <c r="M24" s="241">
        <v>2023</v>
      </c>
      <c r="N24" s="241">
        <v>2024</v>
      </c>
      <c r="O24" s="241">
        <v>2025</v>
      </c>
      <c r="P24" s="242">
        <v>2026</v>
      </c>
    </row>
    <row r="25" spans="1:16" x14ac:dyDescent="0.5">
      <c r="A25" s="12" t="s">
        <v>225</v>
      </c>
      <c r="B25" s="243">
        <f>+'[1]PROYECCIONES '!B34</f>
        <v>26574840599.580002</v>
      </c>
      <c r="C25" s="243">
        <f>+'[1]PROYECCIONES '!C34</f>
        <v>25846093320.93</v>
      </c>
      <c r="D25" s="243">
        <f>+'[1]PROYECCIONES '!D34</f>
        <v>25473509087.630001</v>
      </c>
      <c r="E25" s="243">
        <f>+'[1]PROYECCIONES '!E34</f>
        <v>25462221473.269997</v>
      </c>
      <c r="F25" s="243">
        <f>+'[1]PROYECCIONES '!F34</f>
        <v>26227293491.900002</v>
      </c>
      <c r="G25" s="243">
        <f>+'[1]PROYECCIONES '!G34</f>
        <v>26166987619.435028</v>
      </c>
      <c r="H25" s="243">
        <f>+'[1]PROYECCIONES '!H34</f>
        <v>26528213263.345634</v>
      </c>
      <c r="I25" s="243">
        <f>+'[1]PROYECCIONES '!I34</f>
        <v>26998423007.377232</v>
      </c>
      <c r="J25" s="243">
        <f>+'[1]PROYECCIONES '!J34</f>
        <v>27472585253.543354</v>
      </c>
      <c r="K25" s="243">
        <f>+'[1]PROYECCIONES '!K34</f>
        <v>27876950456.095673</v>
      </c>
      <c r="L25" s="243">
        <f>+'[1]PROYECCIONES '!L34</f>
        <v>28343209229.468021</v>
      </c>
      <c r="M25" s="243">
        <f>+'[1]PROYECCIONES '!M34</f>
        <v>28905401478.669147</v>
      </c>
      <c r="N25" s="243">
        <f>+'[1]PROYECCIONES '!N34</f>
        <v>29511143722.921822</v>
      </c>
      <c r="O25" s="243">
        <f>+'[1]PROYECCIONES '!O34</f>
        <v>30160544451.531731</v>
      </c>
      <c r="P25" s="244">
        <f>+'[1]PROYECCIONES '!P34</f>
        <v>30867057413.990757</v>
      </c>
    </row>
    <row r="26" spans="1:16" x14ac:dyDescent="0.5">
      <c r="A26" s="227"/>
      <c r="B26" s="245"/>
      <c r="C26" s="228">
        <f>(C25/B25)-1</f>
        <v>-2.7422451544695914E-2</v>
      </c>
      <c r="D26" s="228">
        <f>(D25/C25)-1</f>
        <v>-1.4415495164922354E-2</v>
      </c>
      <c r="E26" s="228">
        <f>(E25/D25)-1</f>
        <v>-4.4311187442513944E-4</v>
      </c>
      <c r="F26" s="228">
        <f>(F25/E25)-1</f>
        <v>3.0047339719873722E-2</v>
      </c>
      <c r="G26" s="228">
        <f t="shared" ref="G26:P26" si="1">(G25/F25)-1</f>
        <v>-2.2993555352402995E-3</v>
      </c>
      <c r="H26" s="228">
        <f t="shared" si="1"/>
        <v>1.3804632354482926E-2</v>
      </c>
      <c r="I26" s="228">
        <f t="shared" si="1"/>
        <v>1.7724893092641469E-2</v>
      </c>
      <c r="J26" s="228">
        <f t="shared" si="1"/>
        <v>1.7562590453396476E-2</v>
      </c>
      <c r="K26" s="228">
        <f t="shared" si="1"/>
        <v>1.4718862415766365E-2</v>
      </c>
      <c r="L26" s="228">
        <f t="shared" si="1"/>
        <v>1.6725601823150527E-2</v>
      </c>
      <c r="M26" s="228">
        <f t="shared" si="1"/>
        <v>1.9835165617611894E-2</v>
      </c>
      <c r="N26" s="228">
        <f t="shared" si="1"/>
        <v>2.0956022517095496E-2</v>
      </c>
      <c r="O26" s="228">
        <f t="shared" si="1"/>
        <v>2.2005271456338349E-2</v>
      </c>
      <c r="P26" s="246">
        <f t="shared" si="1"/>
        <v>2.3425073230836313E-2</v>
      </c>
    </row>
    <row r="27" spans="1:16" x14ac:dyDescent="0.5">
      <c r="A27" s="1"/>
    </row>
    <row r="28" spans="1:16" x14ac:dyDescent="0.5">
      <c r="A28" s="1"/>
      <c r="B28" s="18"/>
      <c r="C28" s="18"/>
      <c r="D28" s="18"/>
      <c r="E28" s="18"/>
    </row>
    <row r="29" spans="1:16" x14ac:dyDescent="0.5">
      <c r="A29" s="360" t="s">
        <v>224</v>
      </c>
      <c r="B29" s="361"/>
      <c r="C29" s="361"/>
      <c r="D29" s="361"/>
      <c r="E29" s="362"/>
    </row>
    <row r="30" spans="1:16" x14ac:dyDescent="0.5">
      <c r="A30" s="363"/>
      <c r="B30" s="364"/>
      <c r="C30" s="364"/>
      <c r="D30" s="364"/>
      <c r="E30" s="365"/>
    </row>
    <row r="31" spans="1:16" x14ac:dyDescent="0.5">
      <c r="A31" s="363"/>
      <c r="B31" s="364"/>
      <c r="C31" s="364"/>
      <c r="D31" s="364"/>
      <c r="E31" s="365"/>
    </row>
    <row r="32" spans="1:16" ht="15" customHeight="1" x14ac:dyDescent="0.5">
      <c r="A32" s="363"/>
      <c r="B32" s="364"/>
      <c r="C32" s="364"/>
      <c r="D32" s="364"/>
      <c r="E32" s="365"/>
    </row>
    <row r="33" spans="1:11" x14ac:dyDescent="0.5">
      <c r="A33" s="366"/>
      <c r="B33" s="367"/>
      <c r="C33" s="367"/>
      <c r="D33" s="367"/>
      <c r="E33" s="368"/>
    </row>
    <row r="34" spans="1:11" x14ac:dyDescent="0.5">
      <c r="B34" s="18"/>
      <c r="C34" s="18"/>
      <c r="D34" s="18"/>
      <c r="E34" s="18"/>
    </row>
    <row r="35" spans="1:11" x14ac:dyDescent="0.5">
      <c r="A35" s="13"/>
      <c r="B35" s="18"/>
      <c r="C35" s="18"/>
      <c r="D35" s="18"/>
      <c r="E35" s="18"/>
    </row>
    <row r="36" spans="1:11" ht="14.7" customHeight="1" x14ac:dyDescent="0.5">
      <c r="A36" s="1" t="s">
        <v>18</v>
      </c>
      <c r="B36" s="19"/>
      <c r="C36" s="339" t="s">
        <v>181</v>
      </c>
      <c r="D36" s="340"/>
      <c r="E36" s="341"/>
    </row>
    <row r="38" spans="1:11" x14ac:dyDescent="0.5">
      <c r="A38" s="12" t="s">
        <v>20</v>
      </c>
      <c r="B38" s="342" t="s">
        <v>182</v>
      </c>
      <c r="C38" s="343"/>
      <c r="D38" s="343"/>
      <c r="E38" s="344"/>
    </row>
    <row r="39" spans="1:11" x14ac:dyDescent="0.5">
      <c r="A39" s="12" t="s">
        <v>21</v>
      </c>
      <c r="B39" s="345"/>
      <c r="C39" s="346"/>
      <c r="D39" s="346"/>
      <c r="E39" s="347"/>
    </row>
    <row r="40" spans="1:11" x14ac:dyDescent="0.5">
      <c r="A40" s="12" t="s">
        <v>10</v>
      </c>
      <c r="B40" s="345"/>
      <c r="C40" s="346"/>
      <c r="D40" s="346"/>
      <c r="E40" s="347"/>
    </row>
    <row r="41" spans="1:11" x14ac:dyDescent="0.5">
      <c r="A41" s="12" t="s">
        <v>23</v>
      </c>
      <c r="B41" s="348"/>
      <c r="C41" s="349"/>
      <c r="D41" s="349"/>
      <c r="E41" s="350"/>
    </row>
    <row r="42" spans="1:11" x14ac:dyDescent="0.5">
      <c r="A42" s="13"/>
    </row>
    <row r="43" spans="1:11" x14ac:dyDescent="0.5">
      <c r="A43" s="13"/>
    </row>
    <row r="45" spans="1:11" ht="15.7" x14ac:dyDescent="0.55000000000000004">
      <c r="A45" s="247" t="s">
        <v>183</v>
      </c>
      <c r="B45" s="222" t="s">
        <v>166</v>
      </c>
      <c r="C45" s="222" t="s">
        <v>167</v>
      </c>
      <c r="D45" s="222" t="s">
        <v>168</v>
      </c>
      <c r="E45" s="222" t="s">
        <v>169</v>
      </c>
      <c r="F45" s="222" t="s">
        <v>170</v>
      </c>
      <c r="G45" s="222" t="s">
        <v>171</v>
      </c>
      <c r="H45" s="222" t="s">
        <v>172</v>
      </c>
      <c r="I45" s="222" t="s">
        <v>173</v>
      </c>
      <c r="J45" s="222" t="s">
        <v>174</v>
      </c>
      <c r="K45" s="222" t="s">
        <v>175</v>
      </c>
    </row>
    <row r="46" spans="1:11" x14ac:dyDescent="0.5">
      <c r="A46" s="12" t="s">
        <v>184</v>
      </c>
      <c r="B46" s="223">
        <v>9.1509119999999999E-2</v>
      </c>
      <c r="C46" s="223">
        <v>9.588387499999973E-2</v>
      </c>
      <c r="D46" s="223">
        <v>0.10763218399999985</v>
      </c>
      <c r="E46" s="224">
        <v>0.10924986199999998</v>
      </c>
      <c r="F46" s="224">
        <v>0.10390408700000009</v>
      </c>
      <c r="G46" s="224">
        <v>0.10016566000000005</v>
      </c>
      <c r="H46" s="224">
        <v>0.10016566000000005</v>
      </c>
      <c r="I46" s="224">
        <v>0.10016566000000005</v>
      </c>
      <c r="J46" s="224">
        <v>0.10016566000000005</v>
      </c>
      <c r="K46" s="225">
        <v>0.10016566000000005</v>
      </c>
    </row>
    <row r="47" spans="1:11" ht="14.45" customHeight="1" x14ac:dyDescent="0.5">
      <c r="A47" s="227" t="s">
        <v>29</v>
      </c>
      <c r="B47" s="228">
        <v>9.1509119999999999E-2</v>
      </c>
      <c r="C47" s="228">
        <v>9.588387499999973E-2</v>
      </c>
      <c r="D47" s="228">
        <v>0.10763218399999985</v>
      </c>
      <c r="E47" s="229">
        <v>0.10924986199999998</v>
      </c>
      <c r="F47" s="229">
        <v>0.10390408700000009</v>
      </c>
      <c r="G47" s="229">
        <v>0.10016566000000005</v>
      </c>
      <c r="H47" s="229">
        <v>0.10016566000000005</v>
      </c>
      <c r="I47" s="229">
        <v>0.10016566000000005</v>
      </c>
      <c r="J47" s="229">
        <v>0.10016566000000005</v>
      </c>
      <c r="K47" s="230">
        <v>0.10016566000000005</v>
      </c>
    </row>
    <row r="48" spans="1:11" x14ac:dyDescent="0.5">
      <c r="A48" s="13"/>
      <c r="F48" s="15"/>
      <c r="G48" s="15"/>
      <c r="H48" s="15"/>
    </row>
    <row r="49" spans="1:16" ht="27.75" customHeight="1" x14ac:dyDescent="0.5">
      <c r="A49" s="327" t="s">
        <v>185</v>
      </c>
      <c r="B49" s="328"/>
      <c r="C49" s="328"/>
      <c r="D49" s="328"/>
      <c r="E49" s="329"/>
      <c r="F49" s="15"/>
      <c r="G49" s="15"/>
      <c r="H49" s="15"/>
    </row>
    <row r="50" spans="1:16" x14ac:dyDescent="0.5">
      <c r="A50" s="13"/>
      <c r="B50" s="15"/>
      <c r="C50" s="15"/>
      <c r="D50" s="15"/>
      <c r="E50" s="15"/>
      <c r="F50" s="15"/>
      <c r="G50" s="15"/>
      <c r="H50" s="15"/>
    </row>
    <row r="51" spans="1:16" x14ac:dyDescent="0.5">
      <c r="A51" s="13"/>
      <c r="B51" s="15"/>
      <c r="C51" s="15"/>
      <c r="D51" s="15"/>
      <c r="E51" s="15"/>
      <c r="F51" s="15"/>
      <c r="G51" s="15"/>
      <c r="H51" s="15"/>
    </row>
    <row r="52" spans="1:16" x14ac:dyDescent="0.5">
      <c r="A52" s="248"/>
      <c r="B52" s="241">
        <v>2012</v>
      </c>
      <c r="C52" s="241">
        <v>2013</v>
      </c>
      <c r="D52" s="241">
        <v>2014</v>
      </c>
      <c r="E52" s="241">
        <v>2015</v>
      </c>
      <c r="F52" s="241">
        <v>2016</v>
      </c>
      <c r="G52" s="241">
        <v>2017</v>
      </c>
      <c r="H52" s="241">
        <v>2018</v>
      </c>
      <c r="I52" s="241">
        <v>2019</v>
      </c>
      <c r="J52" s="241">
        <v>2020</v>
      </c>
      <c r="K52" s="241">
        <v>2021</v>
      </c>
      <c r="L52" s="241">
        <v>2022</v>
      </c>
      <c r="M52" s="241">
        <v>2023</v>
      </c>
      <c r="N52" s="241">
        <v>2024</v>
      </c>
      <c r="O52" s="241">
        <v>2025</v>
      </c>
      <c r="P52" s="242">
        <v>2026</v>
      </c>
    </row>
    <row r="53" spans="1:16" x14ac:dyDescent="0.5">
      <c r="A53" s="12" t="s">
        <v>227</v>
      </c>
      <c r="B53" s="243">
        <f>+'[1]PROYECCIONES '!B68</f>
        <v>26574840599.579998</v>
      </c>
      <c r="C53" s="243">
        <f>+'[1]PROYECCIONES '!C68</f>
        <v>25846093320.93</v>
      </c>
      <c r="D53" s="243">
        <f>+'[1]PROYECCIONES '!D68</f>
        <v>25473509087.630001</v>
      </c>
      <c r="E53" s="243">
        <f>+'[1]PROYECCIONES '!E68</f>
        <v>25462221473.27</v>
      </c>
      <c r="F53" s="243">
        <f>+'[1]PROYECCIONES '!F68</f>
        <v>26227293491.900002</v>
      </c>
      <c r="G53" s="243">
        <f>+'[1]PROYECCIONES '!G68</f>
        <v>26166987619.435028</v>
      </c>
      <c r="H53" s="243">
        <f>+'[1]PROYECCIONES '!H68</f>
        <v>26528213263.345634</v>
      </c>
      <c r="I53" s="243">
        <f>+'[1]PROYECCIONES '!I68</f>
        <v>26998423007.377232</v>
      </c>
      <c r="J53" s="243">
        <f>+'[1]PROYECCIONES '!J68</f>
        <v>27472585253.54335</v>
      </c>
      <c r="K53" s="243">
        <f>+'[1]PROYECCIONES '!K68</f>
        <v>27876950456.095673</v>
      </c>
      <c r="L53" s="243">
        <f>+'[1]PROYECCIONES '!L68</f>
        <v>28343209229.468021</v>
      </c>
      <c r="M53" s="243">
        <f>+'[1]PROYECCIONES '!M68</f>
        <v>28905401478.669144</v>
      </c>
      <c r="N53" s="243">
        <f>+'[1]PROYECCIONES '!N68</f>
        <v>29511143722.921822</v>
      </c>
      <c r="O53" s="243">
        <f>+'[1]PROYECCIONES '!O68</f>
        <v>30160544451.531731</v>
      </c>
      <c r="P53" s="244">
        <f>+'[1]PROYECCIONES '!P68</f>
        <v>30867057413.990765</v>
      </c>
    </row>
    <row r="54" spans="1:16" x14ac:dyDescent="0.5">
      <c r="A54" s="21"/>
      <c r="B54" s="249"/>
      <c r="C54" s="223">
        <f>(C53/B53)-1</f>
        <v>-2.7422451544695803E-2</v>
      </c>
      <c r="D54" s="223">
        <f t="shared" ref="D54:P54" si="2">(D53/C53)-1</f>
        <v>-1.4415495164922354E-2</v>
      </c>
      <c r="E54" s="223">
        <f t="shared" si="2"/>
        <v>-4.431118744249174E-4</v>
      </c>
      <c r="F54" s="223">
        <f t="shared" si="2"/>
        <v>3.00473397198735E-2</v>
      </c>
      <c r="G54" s="223">
        <f t="shared" si="2"/>
        <v>-2.2993555352402995E-3</v>
      </c>
      <c r="H54" s="223">
        <f t="shared" si="2"/>
        <v>1.3804632354482926E-2</v>
      </c>
      <c r="I54" s="223">
        <f t="shared" si="2"/>
        <v>1.7724893092641469E-2</v>
      </c>
      <c r="J54" s="223">
        <f t="shared" si="2"/>
        <v>1.7562590453396254E-2</v>
      </c>
      <c r="K54" s="223">
        <f t="shared" si="2"/>
        <v>1.4718862415766587E-2</v>
      </c>
      <c r="L54" s="223">
        <f t="shared" si="2"/>
        <v>1.6725601823150527E-2</v>
      </c>
      <c r="M54" s="223">
        <f t="shared" si="2"/>
        <v>1.9835165617611894E-2</v>
      </c>
      <c r="N54" s="223">
        <f t="shared" si="2"/>
        <v>2.0956022517095496E-2</v>
      </c>
      <c r="O54" s="223">
        <f t="shared" si="2"/>
        <v>2.2005271456338349E-2</v>
      </c>
      <c r="P54" s="250">
        <f t="shared" si="2"/>
        <v>2.3425073230836535E-2</v>
      </c>
    </row>
    <row r="55" spans="1:16" x14ac:dyDescent="0.5">
      <c r="A55" s="21"/>
      <c r="B55" s="249"/>
      <c r="C55" s="249"/>
      <c r="D55" s="249"/>
      <c r="E55" s="251"/>
      <c r="F55" s="251"/>
      <c r="G55" s="251"/>
      <c r="H55" s="251"/>
      <c r="I55" s="251"/>
      <c r="J55" s="251"/>
      <c r="K55" s="251"/>
      <c r="L55" s="251"/>
      <c r="M55" s="251"/>
      <c r="N55" s="251"/>
      <c r="O55" s="251"/>
      <c r="P55" s="252"/>
    </row>
    <row r="56" spans="1:16" x14ac:dyDescent="0.5">
      <c r="A56" s="21"/>
      <c r="B56" s="249"/>
      <c r="C56" s="249"/>
      <c r="D56" s="249"/>
      <c r="E56" s="251"/>
      <c r="F56" s="251"/>
      <c r="G56" s="251"/>
      <c r="H56" s="251"/>
      <c r="I56" s="251"/>
      <c r="J56" s="251"/>
      <c r="K56" s="251"/>
      <c r="L56" s="251"/>
      <c r="M56" s="251"/>
      <c r="N56" s="251"/>
      <c r="O56" s="251"/>
      <c r="P56" s="252"/>
    </row>
    <row r="57" spans="1:16" x14ac:dyDescent="0.5">
      <c r="A57" s="21"/>
      <c r="B57" s="249"/>
      <c r="C57" s="249"/>
      <c r="D57" s="249"/>
      <c r="E57" s="251"/>
      <c r="F57" s="251"/>
      <c r="G57" s="251"/>
      <c r="H57" s="251"/>
      <c r="I57" s="251"/>
      <c r="J57" s="251"/>
      <c r="K57" s="251"/>
      <c r="L57" s="251"/>
      <c r="M57" s="251"/>
      <c r="N57" s="251"/>
      <c r="O57" s="251"/>
      <c r="P57" s="252"/>
    </row>
    <row r="58" spans="1:16" x14ac:dyDescent="0.5">
      <c r="A58" s="360" t="s">
        <v>226</v>
      </c>
      <c r="B58" s="361"/>
      <c r="C58" s="361"/>
      <c r="D58" s="361"/>
      <c r="E58" s="362"/>
      <c r="F58" s="251"/>
      <c r="G58" s="251"/>
      <c r="H58" s="251"/>
      <c r="I58" s="251"/>
      <c r="J58" s="251"/>
      <c r="K58" s="251"/>
      <c r="L58" s="251"/>
      <c r="M58" s="251"/>
      <c r="N58" s="251"/>
      <c r="O58" s="251"/>
      <c r="P58" s="252"/>
    </row>
    <row r="59" spans="1:16" x14ac:dyDescent="0.5">
      <c r="A59" s="363"/>
      <c r="B59" s="364"/>
      <c r="C59" s="364"/>
      <c r="D59" s="364"/>
      <c r="E59" s="365"/>
      <c r="F59" s="251"/>
      <c r="G59" s="251"/>
      <c r="H59" s="251"/>
      <c r="I59" s="251"/>
      <c r="J59" s="251"/>
      <c r="K59" s="251"/>
      <c r="L59" s="251"/>
      <c r="M59" s="251"/>
      <c r="N59" s="251"/>
      <c r="O59" s="251"/>
      <c r="P59" s="252"/>
    </row>
    <row r="60" spans="1:16" x14ac:dyDescent="0.5">
      <c r="A60" s="363"/>
      <c r="B60" s="364"/>
      <c r="C60" s="364"/>
      <c r="D60" s="364"/>
      <c r="E60" s="365"/>
      <c r="F60" s="251"/>
      <c r="G60" s="251"/>
      <c r="H60" s="251"/>
      <c r="I60" s="251"/>
      <c r="J60" s="251"/>
      <c r="K60" s="251"/>
      <c r="L60" s="251"/>
      <c r="M60" s="251"/>
      <c r="N60" s="251"/>
      <c r="O60" s="251"/>
      <c r="P60" s="252"/>
    </row>
    <row r="61" spans="1:16" x14ac:dyDescent="0.5">
      <c r="A61" s="363"/>
      <c r="B61" s="364"/>
      <c r="C61" s="364"/>
      <c r="D61" s="364"/>
      <c r="E61" s="365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2"/>
    </row>
    <row r="62" spans="1:16" ht="15" customHeight="1" x14ac:dyDescent="0.5">
      <c r="A62" s="363"/>
      <c r="B62" s="364"/>
      <c r="C62" s="364"/>
      <c r="D62" s="364"/>
      <c r="E62" s="365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2"/>
    </row>
    <row r="63" spans="1:16" ht="30" customHeight="1" x14ac:dyDescent="0.5">
      <c r="A63" s="366"/>
      <c r="B63" s="367"/>
      <c r="C63" s="367"/>
      <c r="D63" s="367"/>
      <c r="E63" s="368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4"/>
    </row>
    <row r="64" spans="1:16" x14ac:dyDescent="0.5">
      <c r="A64" s="13"/>
    </row>
    <row r="65" spans="1:27" ht="15.7" x14ac:dyDescent="0.55000000000000004">
      <c r="A65" s="255" t="s">
        <v>186</v>
      </c>
    </row>
    <row r="66" spans="1:27" x14ac:dyDescent="0.5">
      <c r="A66" s="23" t="s">
        <v>41</v>
      </c>
      <c r="B66" t="s">
        <v>187</v>
      </c>
    </row>
    <row r="67" spans="1:27" x14ac:dyDescent="0.5">
      <c r="A67" s="23" t="s">
        <v>42</v>
      </c>
      <c r="B67" t="s">
        <v>188</v>
      </c>
    </row>
    <row r="68" spans="1:27" x14ac:dyDescent="0.5">
      <c r="A68" s="23" t="s">
        <v>43</v>
      </c>
      <c r="B68" t="s">
        <v>189</v>
      </c>
    </row>
    <row r="69" spans="1:27" x14ac:dyDescent="0.5">
      <c r="A69" s="21" t="s">
        <v>44</v>
      </c>
      <c r="B69" t="s">
        <v>190</v>
      </c>
    </row>
    <row r="70" spans="1:27" x14ac:dyDescent="0.5">
      <c r="A70" s="23" t="s">
        <v>45</v>
      </c>
      <c r="B70" t="s">
        <v>191</v>
      </c>
    </row>
    <row r="71" spans="1:27" x14ac:dyDescent="0.5">
      <c r="A71" s="23" t="s">
        <v>46</v>
      </c>
      <c r="B71" t="s">
        <v>192</v>
      </c>
    </row>
    <row r="72" spans="1:27" x14ac:dyDescent="0.5">
      <c r="A72" s="23" t="s">
        <v>47</v>
      </c>
      <c r="B72" t="s">
        <v>193</v>
      </c>
    </row>
    <row r="73" spans="1:27" ht="16.5" customHeight="1" x14ac:dyDescent="0.5">
      <c r="A73" s="13"/>
    </row>
    <row r="74" spans="1:27" ht="16.5" customHeight="1" x14ac:dyDescent="0.55000000000000004">
      <c r="A74" s="247" t="s">
        <v>194</v>
      </c>
      <c r="B74" s="264"/>
      <c r="C74" s="264"/>
      <c r="D74" s="264"/>
      <c r="E74" s="265"/>
      <c r="F74" s="265"/>
      <c r="G74" s="265"/>
      <c r="H74" s="265"/>
      <c r="I74" s="265"/>
      <c r="J74" s="265"/>
      <c r="K74" s="265"/>
      <c r="L74" s="265"/>
      <c r="M74" s="265"/>
      <c r="N74" s="265"/>
      <c r="O74" s="265"/>
      <c r="P74" s="265"/>
      <c r="Q74" s="265"/>
      <c r="R74" s="265"/>
      <c r="S74" s="265"/>
      <c r="T74" s="264"/>
      <c r="U74" s="264"/>
      <c r="V74" s="264"/>
      <c r="W74" s="264"/>
      <c r="X74" s="264"/>
      <c r="Y74" s="264"/>
      <c r="Z74" s="264"/>
      <c r="AA74" s="266"/>
    </row>
    <row r="75" spans="1:27" ht="16.5" customHeight="1" x14ac:dyDescent="0.55000000000000004">
      <c r="A75" s="267" t="s">
        <v>195</v>
      </c>
      <c r="B75" s="249"/>
      <c r="C75" s="249"/>
      <c r="D75" s="249"/>
      <c r="E75" s="251"/>
      <c r="F75" s="251"/>
      <c r="G75" s="251"/>
      <c r="H75" s="251"/>
      <c r="I75" s="251"/>
      <c r="J75" s="251"/>
      <c r="K75" s="251"/>
      <c r="L75" s="251"/>
      <c r="M75" s="251"/>
      <c r="N75" s="251"/>
      <c r="O75" s="251"/>
      <c r="P75" s="251"/>
      <c r="Q75" s="251"/>
      <c r="R75" s="251"/>
      <c r="S75" s="251"/>
      <c r="T75" s="249"/>
      <c r="U75" s="249"/>
      <c r="V75" s="249"/>
      <c r="W75" s="249"/>
      <c r="X75" s="249"/>
      <c r="Y75" s="249"/>
      <c r="Z75" s="249"/>
      <c r="AA75" s="268"/>
    </row>
    <row r="76" spans="1:27" x14ac:dyDescent="0.5">
      <c r="A76" s="256" t="s">
        <v>196</v>
      </c>
      <c r="B76" s="257">
        <v>2001</v>
      </c>
      <c r="C76" s="257">
        <v>2002</v>
      </c>
      <c r="D76" s="222">
        <v>2003</v>
      </c>
      <c r="E76" s="257">
        <v>2004</v>
      </c>
      <c r="F76" s="222">
        <v>2005</v>
      </c>
      <c r="G76" s="257">
        <v>2006</v>
      </c>
      <c r="H76" s="222">
        <v>2007</v>
      </c>
      <c r="I76" s="222">
        <v>2008</v>
      </c>
      <c r="J76" s="222">
        <v>2009</v>
      </c>
      <c r="K76" s="222">
        <v>2010</v>
      </c>
      <c r="L76" s="222">
        <v>2011</v>
      </c>
      <c r="M76" s="222">
        <v>2012</v>
      </c>
      <c r="N76" s="222">
        <v>2013</v>
      </c>
      <c r="O76" s="222">
        <v>2014</v>
      </c>
      <c r="P76" s="222" t="s">
        <v>197</v>
      </c>
      <c r="Q76" s="222" t="s">
        <v>198</v>
      </c>
      <c r="R76" s="222" t="s">
        <v>166</v>
      </c>
      <c r="S76" s="222" t="s">
        <v>167</v>
      </c>
      <c r="T76" s="222" t="s">
        <v>168</v>
      </c>
      <c r="U76" s="222" t="s">
        <v>169</v>
      </c>
      <c r="V76" s="222" t="s">
        <v>170</v>
      </c>
      <c r="W76" s="222" t="s">
        <v>171</v>
      </c>
      <c r="X76" s="222" t="s">
        <v>172</v>
      </c>
      <c r="Y76" s="222" t="s">
        <v>173</v>
      </c>
      <c r="Z76" s="222" t="s">
        <v>174</v>
      </c>
      <c r="AA76" s="222" t="s">
        <v>175</v>
      </c>
    </row>
    <row r="77" spans="1:27" x14ac:dyDescent="0.5">
      <c r="A77" s="24"/>
      <c r="B77" s="25"/>
      <c r="C77" s="25"/>
      <c r="D77" s="25"/>
      <c r="E77" s="25"/>
      <c r="F77" s="25"/>
      <c r="G77" s="25"/>
      <c r="H77" s="25"/>
      <c r="I77" s="25"/>
      <c r="J77" s="25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3"/>
    </row>
    <row r="78" spans="1:27" x14ac:dyDescent="0.5">
      <c r="A78" s="258" t="s">
        <v>199</v>
      </c>
      <c r="B78" s="27">
        <v>1.6778983077036571</v>
      </c>
      <c r="C78" s="27">
        <v>2.5039804654986</v>
      </c>
      <c r="D78" s="27">
        <v>3.9182719036083</v>
      </c>
      <c r="E78" s="27">
        <v>5.3330220674539248</v>
      </c>
      <c r="F78" s="27">
        <v>4.7065559338311829</v>
      </c>
      <c r="G78" s="27">
        <v>6.6975152577052768</v>
      </c>
      <c r="H78" s="27">
        <v>6.9006276554122223</v>
      </c>
      <c r="I78" s="27">
        <v>3.5468048857810714</v>
      </c>
      <c r="J78" s="27">
        <v>1.6515492452905391</v>
      </c>
      <c r="K78" s="27">
        <v>3.9718007047375039</v>
      </c>
      <c r="L78" s="27">
        <v>6.5895115155711608</v>
      </c>
      <c r="M78" s="27">
        <v>4.0439438063715016</v>
      </c>
      <c r="N78" s="27">
        <v>4.8740655793408081</v>
      </c>
      <c r="O78" s="27">
        <v>4.3936083396951489</v>
      </c>
      <c r="P78" s="27">
        <v>3.0520165732996105</v>
      </c>
      <c r="Q78" s="27">
        <v>1.9600498435800091</v>
      </c>
      <c r="R78" s="28">
        <v>1.6</v>
      </c>
      <c r="S78" s="28">
        <v>2.5</v>
      </c>
      <c r="T78" s="28">
        <v>3.2</v>
      </c>
      <c r="U78" s="28">
        <v>3.6</v>
      </c>
      <c r="V78" s="28">
        <v>3.4</v>
      </c>
      <c r="W78" s="28">
        <v>3.4</v>
      </c>
      <c r="X78" s="28">
        <v>3.4</v>
      </c>
      <c r="Y78" s="28">
        <v>3.4</v>
      </c>
      <c r="Z78" s="28">
        <v>3.4</v>
      </c>
      <c r="AA78" s="28">
        <v>3.4</v>
      </c>
    </row>
    <row r="79" spans="1:27" x14ac:dyDescent="0.5">
      <c r="A79" s="234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49"/>
      <c r="S79" s="249"/>
      <c r="T79" s="249"/>
      <c r="U79" s="249"/>
      <c r="V79" s="249"/>
      <c r="W79" s="249"/>
      <c r="X79" s="249"/>
      <c r="Y79" s="249"/>
      <c r="Z79" s="249"/>
      <c r="AA79" s="268"/>
    </row>
    <row r="80" spans="1:27" x14ac:dyDescent="0.5">
      <c r="A80" s="259" t="s">
        <v>200</v>
      </c>
      <c r="B80" s="30">
        <v>1.7676432895841572</v>
      </c>
      <c r="C80" s="30">
        <v>4.550783794346259</v>
      </c>
      <c r="D80" s="30">
        <v>3.0900859741662288</v>
      </c>
      <c r="E80" s="30">
        <v>2.9773175939728418</v>
      </c>
      <c r="F80" s="30">
        <v>2.8129890453834037</v>
      </c>
      <c r="G80" s="30">
        <v>2.3707142585334395</v>
      </c>
      <c r="H80" s="30">
        <v>3.910489926399535</v>
      </c>
      <c r="I80" s="30">
        <v>-0.37561708521141668</v>
      </c>
      <c r="J80" s="30">
        <v>-0.65352436353190058</v>
      </c>
      <c r="K80" s="30">
        <v>0.19156395706075102</v>
      </c>
      <c r="L80" s="30">
        <v>2.0743145743145703</v>
      </c>
      <c r="M80" s="30">
        <v>2.5092772574659961</v>
      </c>
      <c r="N80" s="30">
        <v>6.5161179107050486</v>
      </c>
      <c r="O80" s="30">
        <v>2.7059394724065413</v>
      </c>
      <c r="P80" s="30">
        <v>2.5243452774888766</v>
      </c>
      <c r="Q80" s="30">
        <v>0.50719291774252895</v>
      </c>
      <c r="R80" s="249"/>
      <c r="S80" s="249"/>
      <c r="T80" s="249"/>
      <c r="U80" s="249"/>
      <c r="V80" s="249"/>
      <c r="W80" s="249"/>
      <c r="X80" s="249"/>
      <c r="Y80" s="249"/>
      <c r="Z80" s="249"/>
      <c r="AA80" s="268"/>
    </row>
    <row r="81" spans="1:27" x14ac:dyDescent="0.5">
      <c r="A81" s="234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49"/>
      <c r="S81" s="249"/>
      <c r="T81" s="249"/>
      <c r="U81" s="249"/>
      <c r="V81" s="249"/>
      <c r="W81" s="249"/>
      <c r="X81" s="249"/>
      <c r="Y81" s="249"/>
      <c r="Z81" s="249"/>
      <c r="AA81" s="268"/>
    </row>
    <row r="82" spans="1:27" x14ac:dyDescent="0.5">
      <c r="A82" s="258" t="s">
        <v>201</v>
      </c>
      <c r="B82" s="31">
        <v>0.32292787944025747</v>
      </c>
      <c r="C82" s="31">
        <v>13.805436337625181</v>
      </c>
      <c r="D82" s="31">
        <v>-1.1942174732872388</v>
      </c>
      <c r="E82" s="31">
        <v>-4.707379134860048</v>
      </c>
      <c r="F82" s="31">
        <v>0</v>
      </c>
      <c r="G82" s="31">
        <v>6.0413885180240214</v>
      </c>
      <c r="H82" s="31">
        <v>5.4139124960654641</v>
      </c>
      <c r="I82" s="31">
        <v>-10.928635413556293</v>
      </c>
      <c r="J82" s="31">
        <v>-20.817968488099226</v>
      </c>
      <c r="K82" s="31">
        <v>11.049957662997457</v>
      </c>
      <c r="L82" s="31">
        <v>-7.7011056042699266</v>
      </c>
      <c r="M82" s="31">
        <v>-1.4456836018174215</v>
      </c>
      <c r="N82" s="31">
        <v>36.253143336127408</v>
      </c>
      <c r="O82" s="31">
        <v>13.872654567825293</v>
      </c>
      <c r="P82" s="31">
        <v>15.505132360885995</v>
      </c>
      <c r="Q82" s="31">
        <v>-0.30402245088868085</v>
      </c>
      <c r="R82" s="249"/>
      <c r="S82" s="249"/>
      <c r="T82" s="249"/>
      <c r="U82" s="249"/>
      <c r="V82" s="249"/>
      <c r="W82" s="249"/>
      <c r="X82" s="249"/>
      <c r="Y82" s="249"/>
      <c r="Z82" s="249"/>
      <c r="AA82" s="268"/>
    </row>
    <row r="83" spans="1:27" x14ac:dyDescent="0.5">
      <c r="A83" s="234"/>
      <c r="B83" s="249"/>
      <c r="C83" s="249"/>
      <c r="D83" s="249"/>
      <c r="E83" s="251"/>
      <c r="F83" s="251"/>
      <c r="G83" s="251"/>
      <c r="H83" s="251"/>
      <c r="I83" s="251"/>
      <c r="J83" s="251"/>
      <c r="K83" s="251"/>
      <c r="L83" s="251"/>
      <c r="M83" s="251"/>
      <c r="N83" s="251"/>
      <c r="O83" s="251"/>
      <c r="P83" s="251"/>
      <c r="Q83" s="251"/>
      <c r="R83" s="251"/>
      <c r="S83" s="251"/>
      <c r="T83" s="249"/>
      <c r="U83" s="249"/>
      <c r="V83" s="249"/>
      <c r="W83" s="249"/>
      <c r="X83" s="249"/>
      <c r="Y83" s="249"/>
      <c r="Z83" s="249"/>
      <c r="AA83" s="268"/>
    </row>
    <row r="84" spans="1:27" x14ac:dyDescent="0.5">
      <c r="A84" s="256" t="s">
        <v>196</v>
      </c>
      <c r="B84" s="222" t="s">
        <v>166</v>
      </c>
      <c r="C84" s="222" t="s">
        <v>167</v>
      </c>
      <c r="D84" s="222" t="s">
        <v>168</v>
      </c>
      <c r="E84" s="222" t="s">
        <v>169</v>
      </c>
      <c r="F84" s="222" t="s">
        <v>170</v>
      </c>
      <c r="G84" s="222" t="s">
        <v>171</v>
      </c>
      <c r="H84" s="222" t="s">
        <v>172</v>
      </c>
      <c r="I84" s="222" t="s">
        <v>173</v>
      </c>
      <c r="J84" s="222" t="s">
        <v>174</v>
      </c>
      <c r="K84" s="222" t="s">
        <v>175</v>
      </c>
      <c r="L84" s="251"/>
      <c r="M84" s="251"/>
      <c r="N84" s="251"/>
      <c r="O84" s="251"/>
      <c r="P84" s="251"/>
      <c r="Q84" s="251"/>
      <c r="R84" s="251"/>
      <c r="S84" s="251"/>
      <c r="T84" s="249"/>
      <c r="U84" s="249"/>
      <c r="V84" s="249"/>
      <c r="W84" s="249"/>
      <c r="X84" s="249"/>
      <c r="Y84" s="249"/>
      <c r="Z84" s="249"/>
      <c r="AA84" s="268"/>
    </row>
    <row r="85" spans="1:27" x14ac:dyDescent="0.5">
      <c r="A85" s="24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51"/>
      <c r="M85" s="251"/>
      <c r="N85" s="251"/>
      <c r="O85" s="251"/>
      <c r="P85" s="251"/>
      <c r="Q85" s="251"/>
      <c r="R85" s="251"/>
      <c r="S85" s="251"/>
      <c r="T85" s="249"/>
      <c r="U85" s="249"/>
      <c r="V85" s="249"/>
      <c r="W85" s="249"/>
      <c r="X85" s="249"/>
      <c r="Y85" s="249"/>
      <c r="Z85" s="249"/>
      <c r="AA85" s="268"/>
    </row>
    <row r="86" spans="1:27" x14ac:dyDescent="0.5">
      <c r="A86" s="260" t="s">
        <v>202</v>
      </c>
      <c r="B86" s="32">
        <v>1.6E-2</v>
      </c>
      <c r="C86" s="32">
        <v>2.5000000000000001E-2</v>
      </c>
      <c r="D86" s="32">
        <v>3.2000000000000001E-2</v>
      </c>
      <c r="E86" s="33">
        <v>3.5999999999999997E-2</v>
      </c>
      <c r="F86" s="33">
        <v>3.4000000000000002E-2</v>
      </c>
      <c r="G86" s="33">
        <v>3.4000000000000002E-2</v>
      </c>
      <c r="H86" s="33">
        <v>3.4000000000000002E-2</v>
      </c>
      <c r="I86" s="33">
        <v>3.4000000000000002E-2</v>
      </c>
      <c r="J86" s="33">
        <v>3.4000000000000002E-2</v>
      </c>
      <c r="K86" s="33">
        <v>3.4000000000000002E-2</v>
      </c>
      <c r="L86" s="251"/>
      <c r="M86" s="251"/>
      <c r="N86" s="251"/>
      <c r="O86" s="251"/>
      <c r="P86" s="251"/>
      <c r="Q86" s="251"/>
      <c r="R86" s="251"/>
      <c r="S86" s="251"/>
      <c r="T86" s="249"/>
      <c r="U86" s="249"/>
      <c r="V86" s="249"/>
      <c r="W86" s="249"/>
      <c r="X86" s="249"/>
      <c r="Y86" s="249"/>
      <c r="Z86" s="249"/>
      <c r="AA86" s="268"/>
    </row>
    <row r="87" spans="1:27" x14ac:dyDescent="0.5">
      <c r="A87" s="260" t="s">
        <v>203</v>
      </c>
      <c r="B87" s="32">
        <v>0.04</v>
      </c>
      <c r="C87" s="32">
        <v>3.5000000000000003E-2</v>
      </c>
      <c r="D87" s="32">
        <v>3.9E-2</v>
      </c>
      <c r="E87" s="32">
        <v>3.6499999999999998E-2</v>
      </c>
      <c r="F87" s="32">
        <v>3.3500000000000002E-2</v>
      </c>
      <c r="G87" s="32">
        <v>0.03</v>
      </c>
      <c r="H87" s="32">
        <v>0.03</v>
      </c>
      <c r="I87" s="32">
        <v>0.03</v>
      </c>
      <c r="J87" s="32">
        <v>0.03</v>
      </c>
      <c r="K87" s="32">
        <v>0.03</v>
      </c>
      <c r="L87" s="251"/>
      <c r="M87" s="251"/>
      <c r="N87" s="251"/>
      <c r="O87" s="251"/>
      <c r="P87" s="251"/>
      <c r="Q87" s="251"/>
      <c r="R87" s="251"/>
      <c r="S87" s="251"/>
      <c r="T87" s="249"/>
      <c r="U87" s="249"/>
      <c r="V87" s="249"/>
      <c r="W87" s="249"/>
      <c r="X87" s="249"/>
      <c r="Y87" s="249"/>
      <c r="Z87" s="249"/>
      <c r="AA87" s="268"/>
    </row>
    <row r="88" spans="1:27" x14ac:dyDescent="0.5">
      <c r="A88" s="261" t="s">
        <v>204</v>
      </c>
      <c r="B88" s="34">
        <f>+(1+B87)*(1+B86)-1</f>
        <v>5.6640000000000024E-2</v>
      </c>
      <c r="C88" s="34">
        <f t="shared" ref="C88:K88" si="3">+(1+C87)*(1+C86)-1</f>
        <v>6.087499999999979E-2</v>
      </c>
      <c r="D88" s="34">
        <f t="shared" si="3"/>
        <v>7.2247999999999868E-2</v>
      </c>
      <c r="E88" s="34">
        <f t="shared" si="3"/>
        <v>7.3814000000000046E-2</v>
      </c>
      <c r="F88" s="34">
        <f t="shared" si="3"/>
        <v>6.8639000000000117E-2</v>
      </c>
      <c r="G88" s="34">
        <f t="shared" si="3"/>
        <v>6.5020000000000078E-2</v>
      </c>
      <c r="H88" s="34">
        <f t="shared" si="3"/>
        <v>6.5020000000000078E-2</v>
      </c>
      <c r="I88" s="34">
        <f t="shared" si="3"/>
        <v>6.5020000000000078E-2</v>
      </c>
      <c r="J88" s="34">
        <f t="shared" si="3"/>
        <v>6.5020000000000078E-2</v>
      </c>
      <c r="K88" s="34">
        <f t="shared" si="3"/>
        <v>6.5020000000000078E-2</v>
      </c>
      <c r="L88" s="251"/>
      <c r="M88" s="251"/>
      <c r="N88" s="251"/>
      <c r="O88" s="251"/>
      <c r="P88" s="251"/>
      <c r="Q88" s="251"/>
      <c r="R88" s="251"/>
      <c r="S88" s="251"/>
      <c r="T88" s="249"/>
      <c r="U88" s="249"/>
      <c r="V88" s="249"/>
      <c r="W88" s="249"/>
      <c r="X88" s="249"/>
      <c r="Y88" s="249"/>
      <c r="Z88" s="249"/>
      <c r="AA88" s="268"/>
    </row>
    <row r="89" spans="1:27" x14ac:dyDescent="0.5">
      <c r="A89" s="234"/>
      <c r="B89" s="249"/>
      <c r="C89" s="249"/>
      <c r="D89" s="249"/>
      <c r="E89" s="251"/>
      <c r="F89" s="251"/>
      <c r="G89" s="251"/>
      <c r="H89" s="251"/>
      <c r="I89" s="251"/>
      <c r="J89" s="251"/>
      <c r="K89" s="251"/>
      <c r="L89" s="251"/>
      <c r="M89" s="251"/>
      <c r="N89" s="251"/>
      <c r="O89" s="251"/>
      <c r="P89" s="251"/>
      <c r="Q89" s="251"/>
      <c r="R89" s="251"/>
      <c r="S89" s="251"/>
      <c r="T89" s="249"/>
      <c r="U89" s="249"/>
      <c r="V89" s="249"/>
      <c r="W89" s="249"/>
      <c r="X89" s="249"/>
      <c r="Y89" s="249"/>
      <c r="Z89" s="249"/>
      <c r="AA89" s="268"/>
    </row>
    <row r="90" spans="1:27" x14ac:dyDescent="0.5">
      <c r="A90" s="262" t="s">
        <v>205</v>
      </c>
      <c r="B90" s="35">
        <v>3.3000000000000002E-2</v>
      </c>
      <c r="C90" s="35">
        <v>3.3000000000000002E-2</v>
      </c>
      <c r="D90" s="35">
        <v>3.3000000000000002E-2</v>
      </c>
      <c r="E90" s="35">
        <v>3.3000000000000002E-2</v>
      </c>
      <c r="F90" s="35">
        <v>3.3000000000000002E-2</v>
      </c>
      <c r="G90" s="35">
        <v>3.3000000000000002E-2</v>
      </c>
      <c r="H90" s="35">
        <v>3.3000000000000002E-2</v>
      </c>
      <c r="I90" s="35">
        <v>3.3000000000000002E-2</v>
      </c>
      <c r="J90" s="35">
        <v>3.3000000000000002E-2</v>
      </c>
      <c r="K90" s="35">
        <v>3.3000000000000002E-2</v>
      </c>
      <c r="L90" s="251"/>
      <c r="M90" s="251"/>
      <c r="N90" s="251"/>
      <c r="O90" s="251"/>
      <c r="P90" s="251"/>
      <c r="Q90" s="251"/>
      <c r="R90" s="251"/>
      <c r="S90" s="251"/>
      <c r="T90" s="249"/>
      <c r="U90" s="249"/>
      <c r="V90" s="249"/>
      <c r="W90" s="249"/>
      <c r="X90" s="249"/>
      <c r="Y90" s="249"/>
      <c r="Z90" s="249"/>
      <c r="AA90" s="268"/>
    </row>
    <row r="91" spans="1:27" x14ac:dyDescent="0.5">
      <c r="A91" s="234"/>
      <c r="B91" s="249"/>
      <c r="C91" s="249"/>
      <c r="D91" s="249"/>
      <c r="E91" s="251"/>
      <c r="F91" s="251"/>
      <c r="G91" s="251"/>
      <c r="H91" s="251"/>
      <c r="I91" s="251"/>
      <c r="J91" s="251"/>
      <c r="K91" s="251"/>
      <c r="L91" s="251"/>
      <c r="M91" s="251"/>
      <c r="N91" s="251"/>
      <c r="O91" s="251"/>
      <c r="P91" s="251"/>
      <c r="Q91" s="251"/>
      <c r="R91" s="251"/>
      <c r="S91" s="251"/>
      <c r="T91" s="249"/>
      <c r="U91" s="249"/>
      <c r="V91" s="249"/>
      <c r="W91" s="249"/>
      <c r="X91" s="249"/>
      <c r="Y91" s="249"/>
      <c r="Z91" s="249"/>
      <c r="AA91" s="268"/>
    </row>
    <row r="92" spans="1:27" x14ac:dyDescent="0.5">
      <c r="A92" s="262" t="s">
        <v>206</v>
      </c>
      <c r="B92" s="36">
        <f>(1+B88)*(1+B90)-1</f>
        <v>9.1509119999999999E-2</v>
      </c>
      <c r="C92" s="36">
        <f t="shared" ref="C92:K92" si="4">(1+C88)*(1+C90)-1</f>
        <v>9.588387499999973E-2</v>
      </c>
      <c r="D92" s="36">
        <f t="shared" si="4"/>
        <v>0.10763218399999985</v>
      </c>
      <c r="E92" s="36">
        <f t="shared" si="4"/>
        <v>0.10924986199999998</v>
      </c>
      <c r="F92" s="36">
        <f t="shared" si="4"/>
        <v>0.10390408700000009</v>
      </c>
      <c r="G92" s="36">
        <f t="shared" si="4"/>
        <v>0.10016566000000005</v>
      </c>
      <c r="H92" s="36">
        <f t="shared" si="4"/>
        <v>0.10016566000000005</v>
      </c>
      <c r="I92" s="36">
        <f t="shared" si="4"/>
        <v>0.10016566000000005</v>
      </c>
      <c r="J92" s="36">
        <f t="shared" si="4"/>
        <v>0.10016566000000005</v>
      </c>
      <c r="K92" s="36">
        <f t="shared" si="4"/>
        <v>0.10016566000000005</v>
      </c>
      <c r="L92" s="251"/>
      <c r="M92" s="251"/>
      <c r="N92" s="251"/>
      <c r="O92" s="251"/>
      <c r="P92" s="251"/>
      <c r="Q92" s="251"/>
      <c r="R92" s="251"/>
      <c r="S92" s="251"/>
      <c r="T92" s="249"/>
      <c r="U92" s="249"/>
      <c r="V92" s="249"/>
      <c r="W92" s="249"/>
      <c r="X92" s="249"/>
      <c r="Y92" s="249"/>
      <c r="Z92" s="249"/>
      <c r="AA92" s="268"/>
    </row>
    <row r="93" spans="1:27" x14ac:dyDescent="0.5">
      <c r="A93" s="269"/>
      <c r="B93" s="270"/>
      <c r="C93" s="270"/>
      <c r="D93" s="270"/>
      <c r="E93" s="270"/>
      <c r="F93" s="270"/>
      <c r="G93" s="270"/>
      <c r="H93" s="270"/>
      <c r="I93" s="270"/>
      <c r="J93" s="270"/>
      <c r="K93" s="270"/>
      <c r="L93" s="253"/>
      <c r="M93" s="253"/>
      <c r="N93" s="253"/>
      <c r="O93" s="253"/>
      <c r="P93" s="253"/>
      <c r="Q93" s="253"/>
      <c r="R93" s="253"/>
      <c r="S93" s="253"/>
      <c r="T93" s="245"/>
      <c r="U93" s="245"/>
      <c r="V93" s="245"/>
      <c r="W93" s="245"/>
      <c r="X93" s="245"/>
      <c r="Y93" s="245"/>
      <c r="Z93" s="245"/>
      <c r="AA93" s="271"/>
    </row>
    <row r="94" spans="1:27" x14ac:dyDescent="0.5">
      <c r="A94" s="369" t="s">
        <v>207</v>
      </c>
      <c r="B94" s="370"/>
      <c r="C94" s="370"/>
      <c r="D94" s="370"/>
      <c r="E94" s="371"/>
      <c r="F94" s="37"/>
      <c r="G94" s="37"/>
      <c r="H94" s="37"/>
      <c r="I94" s="37"/>
      <c r="J94" s="37"/>
      <c r="K94" s="37"/>
    </row>
    <row r="95" spans="1:27" x14ac:dyDescent="0.5">
      <c r="A95" s="372"/>
      <c r="B95" s="370"/>
      <c r="C95" s="370"/>
      <c r="D95" s="370"/>
      <c r="E95" s="371"/>
      <c r="F95" s="37"/>
      <c r="G95" s="37"/>
      <c r="H95" s="37"/>
      <c r="I95" s="37"/>
      <c r="J95" s="37"/>
      <c r="K95" s="37"/>
    </row>
    <row r="96" spans="1:27" x14ac:dyDescent="0.5">
      <c r="A96" s="373"/>
      <c r="B96" s="374"/>
      <c r="C96" s="374"/>
      <c r="D96" s="374"/>
      <c r="E96" s="375"/>
      <c r="F96" s="37"/>
      <c r="G96" s="37"/>
      <c r="H96" s="37"/>
      <c r="I96" s="37"/>
      <c r="J96" s="37"/>
      <c r="K96" s="37"/>
    </row>
    <row r="97" spans="1:19" x14ac:dyDescent="0.5">
      <c r="A97" s="7"/>
      <c r="B97" s="37"/>
      <c r="C97" s="37"/>
      <c r="D97" s="37"/>
      <c r="E97" s="37"/>
      <c r="F97" s="37"/>
      <c r="G97" s="37"/>
      <c r="H97" s="37"/>
      <c r="I97" s="37"/>
      <c r="J97" s="37"/>
      <c r="K97" s="37"/>
    </row>
    <row r="98" spans="1:19" x14ac:dyDescent="0.5">
      <c r="A98" s="7"/>
      <c r="B98" s="37"/>
      <c r="C98" s="37"/>
      <c r="D98" s="37"/>
      <c r="E98" s="37"/>
      <c r="F98" s="37"/>
      <c r="G98" s="37"/>
      <c r="H98" s="37"/>
      <c r="I98" s="37"/>
      <c r="J98" s="37"/>
      <c r="K98" s="37"/>
    </row>
    <row r="99" spans="1:19" ht="15.7" x14ac:dyDescent="0.55000000000000004">
      <c r="A99" s="255" t="s">
        <v>208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</row>
    <row r="101" spans="1:19" x14ac:dyDescent="0.5">
      <c r="A101" s="272"/>
      <c r="B101" s="273">
        <v>2012</v>
      </c>
      <c r="C101" s="273">
        <v>2013</v>
      </c>
      <c r="D101" s="273">
        <v>2014</v>
      </c>
      <c r="E101" s="273">
        <v>2015</v>
      </c>
      <c r="F101" s="274">
        <v>2016</v>
      </c>
      <c r="G101" s="376" t="s">
        <v>177</v>
      </c>
    </row>
    <row r="102" spans="1:19" x14ac:dyDescent="0.5">
      <c r="A102" s="262" t="s">
        <v>209</v>
      </c>
      <c r="B102" s="38">
        <v>13001385330.709999</v>
      </c>
      <c r="C102" s="38">
        <v>10347097288</v>
      </c>
      <c r="D102" s="38">
        <v>9754889005.4399986</v>
      </c>
      <c r="E102" s="38">
        <v>11519236182</v>
      </c>
      <c r="F102" s="38">
        <v>14082205068</v>
      </c>
      <c r="G102" s="377"/>
    </row>
    <row r="103" spans="1:19" x14ac:dyDescent="0.5">
      <c r="A103" s="262" t="s">
        <v>210</v>
      </c>
      <c r="B103" s="3"/>
      <c r="C103" s="3"/>
      <c r="D103" s="39">
        <v>103675715</v>
      </c>
      <c r="E103" s="40">
        <v>7200200</v>
      </c>
      <c r="F103" s="40">
        <v>35795000</v>
      </c>
      <c r="G103" s="378"/>
    </row>
    <row r="104" spans="1:19" x14ac:dyDescent="0.5">
      <c r="A104" s="262" t="s">
        <v>211</v>
      </c>
      <c r="B104" s="41">
        <f>B103/B102</f>
        <v>0</v>
      </c>
      <c r="C104" s="41">
        <f t="shared" ref="C104:F104" si="5">C103/C102</f>
        <v>0</v>
      </c>
      <c r="D104" s="41">
        <f t="shared" si="5"/>
        <v>1.0628077361227102E-2</v>
      </c>
      <c r="E104" s="41">
        <f t="shared" si="5"/>
        <v>6.2505880478872888E-4</v>
      </c>
      <c r="F104" s="41">
        <f t="shared" si="5"/>
        <v>2.5418604421078581E-3</v>
      </c>
      <c r="G104" s="275">
        <f>AVERAGE(B104:F104)</f>
        <v>2.7589993216247375E-3</v>
      </c>
    </row>
    <row r="105" spans="1:19" x14ac:dyDescent="0.5">
      <c r="A105" s="7"/>
      <c r="B105" s="42"/>
      <c r="C105" s="42"/>
      <c r="D105" s="42"/>
      <c r="E105" s="42"/>
      <c r="F105" s="42"/>
      <c r="G105" s="43"/>
    </row>
    <row r="106" spans="1:19" x14ac:dyDescent="0.5">
      <c r="A106" s="7"/>
      <c r="B106" s="42"/>
      <c r="C106" s="42"/>
      <c r="D106" s="42"/>
      <c r="E106" s="42"/>
      <c r="F106" s="42"/>
      <c r="G106" s="43"/>
    </row>
    <row r="107" spans="1:19" x14ac:dyDescent="0.5">
      <c r="A107" s="12"/>
      <c r="B107" s="42"/>
      <c r="C107" s="42"/>
      <c r="D107" s="42"/>
      <c r="E107" s="42"/>
      <c r="F107" s="42"/>
      <c r="G107" s="43"/>
    </row>
    <row r="108" spans="1:19" ht="15.7" x14ac:dyDescent="0.55000000000000004">
      <c r="A108" s="255" t="s">
        <v>212</v>
      </c>
    </row>
    <row r="109" spans="1:19" x14ac:dyDescent="0.5">
      <c r="A109" s="276"/>
      <c r="B109" s="222" t="s">
        <v>166</v>
      </c>
      <c r="C109" s="222" t="s">
        <v>167</v>
      </c>
      <c r="D109" s="222" t="s">
        <v>168</v>
      </c>
      <c r="E109" s="222" t="s">
        <v>169</v>
      </c>
      <c r="F109" s="222" t="s">
        <v>170</v>
      </c>
      <c r="G109" s="222" t="s">
        <v>171</v>
      </c>
      <c r="H109" s="222" t="s">
        <v>172</v>
      </c>
      <c r="I109" s="222" t="s">
        <v>173</v>
      </c>
      <c r="J109" s="222" t="s">
        <v>174</v>
      </c>
      <c r="K109" s="222" t="s">
        <v>175</v>
      </c>
    </row>
    <row r="110" spans="1:19" s="29" customFormat="1" x14ac:dyDescent="0.5">
      <c r="A110" s="44"/>
      <c r="B110" s="45">
        <f>+B92</f>
        <v>9.1509119999999999E-2</v>
      </c>
      <c r="C110" s="45">
        <f>+C92</f>
        <v>9.588387499999973E-2</v>
      </c>
      <c r="D110" s="45">
        <f t="shared" ref="D110:K110" si="6">+D92</f>
        <v>0.10763218399999985</v>
      </c>
      <c r="E110" s="45">
        <f t="shared" si="6"/>
        <v>0.10924986199999998</v>
      </c>
      <c r="F110" s="45">
        <f t="shared" si="6"/>
        <v>0.10390408700000009</v>
      </c>
      <c r="G110" s="45">
        <f t="shared" si="6"/>
        <v>0.10016566000000005</v>
      </c>
      <c r="H110" s="45">
        <f t="shared" si="6"/>
        <v>0.10016566000000005</v>
      </c>
      <c r="I110" s="45">
        <f t="shared" si="6"/>
        <v>0.10016566000000005</v>
      </c>
      <c r="J110" s="45">
        <f t="shared" si="6"/>
        <v>0.10016566000000005</v>
      </c>
      <c r="K110" s="45">
        <f t="shared" si="6"/>
        <v>0.10016566000000005</v>
      </c>
      <c r="L110" s="46"/>
      <c r="M110" s="46"/>
      <c r="N110" s="46"/>
      <c r="O110" s="46"/>
      <c r="P110" s="46"/>
      <c r="Q110" s="46"/>
      <c r="R110" s="46"/>
      <c r="S110" s="46"/>
    </row>
    <row r="111" spans="1:19" s="29" customFormat="1" x14ac:dyDescent="0.5">
      <c r="A111" s="47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6"/>
      <c r="M111" s="46"/>
      <c r="N111" s="46"/>
      <c r="O111" s="46"/>
      <c r="P111" s="46"/>
      <c r="Q111" s="46"/>
      <c r="R111" s="46"/>
      <c r="S111" s="46"/>
    </row>
    <row r="112" spans="1:19" s="29" customFormat="1" x14ac:dyDescent="0.5">
      <c r="A112" s="379" t="s">
        <v>213</v>
      </c>
      <c r="B112" s="380"/>
      <c r="C112" s="380"/>
      <c r="D112" s="380"/>
      <c r="E112" s="381"/>
      <c r="F112" s="48"/>
      <c r="G112" s="48"/>
      <c r="H112" s="48"/>
      <c r="I112" s="48"/>
      <c r="J112" s="48"/>
      <c r="K112" s="48"/>
      <c r="L112" s="46"/>
      <c r="M112" s="46"/>
      <c r="N112" s="46"/>
      <c r="O112" s="46"/>
      <c r="P112" s="46"/>
      <c r="Q112" s="46"/>
      <c r="R112" s="46"/>
      <c r="S112" s="46"/>
    </row>
    <row r="113" spans="1:19" s="29" customFormat="1" x14ac:dyDescent="0.5">
      <c r="A113" s="382"/>
      <c r="B113" s="383"/>
      <c r="C113" s="383"/>
      <c r="D113" s="383"/>
      <c r="E113" s="384"/>
      <c r="F113" s="48"/>
      <c r="G113" s="48"/>
      <c r="H113" s="48"/>
      <c r="I113" s="48"/>
      <c r="J113" s="48"/>
      <c r="K113" s="48"/>
      <c r="L113" s="46"/>
      <c r="M113" s="46"/>
      <c r="N113" s="46"/>
      <c r="O113" s="46"/>
      <c r="P113" s="46"/>
      <c r="Q113" s="46"/>
      <c r="R113" s="46"/>
      <c r="S113" s="46"/>
    </row>
    <row r="114" spans="1:19" s="29" customFormat="1" x14ac:dyDescent="0.5">
      <c r="A114" s="47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6"/>
      <c r="M114" s="46"/>
      <c r="N114" s="46"/>
      <c r="O114" s="46"/>
      <c r="P114" s="46"/>
      <c r="Q114" s="46"/>
      <c r="R114" s="46"/>
      <c r="S114" s="46"/>
    </row>
    <row r="115" spans="1:19" ht="15.7" x14ac:dyDescent="0.55000000000000004">
      <c r="A115" s="255" t="s">
        <v>214</v>
      </c>
    </row>
    <row r="116" spans="1:19" x14ac:dyDescent="0.5">
      <c r="A116" s="277"/>
      <c r="B116" s="273">
        <v>2012</v>
      </c>
      <c r="C116" s="273">
        <v>2013</v>
      </c>
      <c r="D116" s="273">
        <v>2014</v>
      </c>
      <c r="E116" s="273">
        <v>2015</v>
      </c>
      <c r="F116" s="274">
        <v>2016</v>
      </c>
      <c r="G116" s="274" t="s">
        <v>177</v>
      </c>
    </row>
    <row r="117" spans="1:19" x14ac:dyDescent="0.5">
      <c r="A117" s="278" t="s">
        <v>214</v>
      </c>
      <c r="B117" s="279">
        <v>0.13175585038571067</v>
      </c>
      <c r="C117" s="279">
        <v>0.12587307433462297</v>
      </c>
      <c r="D117" s="279">
        <v>0.13040378237421293</v>
      </c>
      <c r="E117" s="279">
        <v>0.13744588294873455</v>
      </c>
      <c r="F117" s="279">
        <v>0.11930241039435488</v>
      </c>
      <c r="G117" s="280">
        <v>0.1289562000875272</v>
      </c>
    </row>
    <row r="118" spans="1:19" x14ac:dyDescent="0.5">
      <c r="A118" s="278" t="s">
        <v>215</v>
      </c>
      <c r="B118" s="279">
        <v>6.5870479134028714E-2</v>
      </c>
      <c r="C118" s="279">
        <v>6.1048019507130402E-2</v>
      </c>
      <c r="D118" s="279">
        <v>7.6236784910138092E-2</v>
      </c>
      <c r="E118" s="279">
        <v>6.7956932288898181E-2</v>
      </c>
      <c r="F118" s="279">
        <v>6.5790825461369426E-2</v>
      </c>
      <c r="G118" s="280">
        <v>6.7380608260312946E-2</v>
      </c>
    </row>
    <row r="119" spans="1:19" x14ac:dyDescent="0.5">
      <c r="A119" s="50" t="s">
        <v>80</v>
      </c>
      <c r="B119" s="281">
        <v>4.3119468725828863E-2</v>
      </c>
      <c r="C119" s="281">
        <v>3.9694923854281243E-2</v>
      </c>
      <c r="D119" s="281">
        <v>4.8593169606097338E-2</v>
      </c>
      <c r="E119" s="281">
        <v>4.0372658496811431E-2</v>
      </c>
      <c r="F119" s="281">
        <v>3.7832274108877503E-2</v>
      </c>
      <c r="G119" s="282">
        <v>4.1922498958379274E-2</v>
      </c>
    </row>
    <row r="120" spans="1:19" x14ac:dyDescent="0.5">
      <c r="A120" s="50" t="s">
        <v>81</v>
      </c>
      <c r="B120" s="281">
        <v>4.7794596052178227E-3</v>
      </c>
      <c r="C120" s="281">
        <v>5.9921529946283421E-3</v>
      </c>
      <c r="D120" s="281">
        <v>7.1851302419651212E-3</v>
      </c>
      <c r="E120" s="281">
        <v>6.4121021422772666E-3</v>
      </c>
      <c r="F120" s="281">
        <v>6.4012281993279093E-3</v>
      </c>
      <c r="G120" s="282">
        <v>6.1540146366832922E-3</v>
      </c>
    </row>
    <row r="121" spans="1:19" x14ac:dyDescent="0.5">
      <c r="A121" s="50" t="s">
        <v>82</v>
      </c>
      <c r="B121" s="281">
        <v>1.239058641077925E-3</v>
      </c>
      <c r="C121" s="281">
        <v>1.4352641699061988E-3</v>
      </c>
      <c r="D121" s="281">
        <v>5.7309384154779928E-3</v>
      </c>
      <c r="E121" s="281">
        <v>6.4066940241507067E-3</v>
      </c>
      <c r="F121" s="281">
        <v>4.5970892873238196E-3</v>
      </c>
      <c r="G121" s="282">
        <v>3.8818089075873287E-3</v>
      </c>
    </row>
    <row r="122" spans="1:19" x14ac:dyDescent="0.5">
      <c r="A122" s="50" t="s">
        <v>62</v>
      </c>
      <c r="B122" s="281">
        <v>1.1053545168032643E-4</v>
      </c>
      <c r="C122" s="281">
        <v>6.3728501013007974E-5</v>
      </c>
      <c r="D122" s="281">
        <v>2.7065566799659469E-4</v>
      </c>
      <c r="E122" s="281">
        <v>5.8626282969635876E-4</v>
      </c>
      <c r="F122" s="281">
        <v>6.4354083442466745E-4</v>
      </c>
      <c r="G122" s="282">
        <v>3.3494465696219103E-4</v>
      </c>
    </row>
    <row r="123" spans="1:19" x14ac:dyDescent="0.5">
      <c r="A123" s="50" t="s">
        <v>83</v>
      </c>
      <c r="B123" s="281">
        <v>9.6370330401673984E-4</v>
      </c>
      <c r="C123" s="281">
        <v>9.1426607257005235E-5</v>
      </c>
      <c r="D123" s="281">
        <v>8.6623230620950143E-6</v>
      </c>
      <c r="E123" s="281">
        <v>6.8266323181114549E-4</v>
      </c>
      <c r="F123" s="281">
        <v>2.951597409588298E-4</v>
      </c>
      <c r="G123" s="282">
        <v>4.0832304142116304E-4</v>
      </c>
    </row>
    <row r="124" spans="1:19" x14ac:dyDescent="0.5">
      <c r="A124" s="50" t="s">
        <v>84</v>
      </c>
      <c r="B124" s="281">
        <v>9.2266229289159226E-4</v>
      </c>
      <c r="C124" s="281">
        <v>1.3790803935466002E-3</v>
      </c>
      <c r="D124" s="281">
        <v>8.5617109485740229E-4</v>
      </c>
      <c r="E124" s="281">
        <v>5.7824667319595724E-4</v>
      </c>
      <c r="F124" s="281">
        <v>7.436227458294815E-4</v>
      </c>
      <c r="G124" s="282">
        <v>8.9595664006420688E-4</v>
      </c>
    </row>
    <row r="125" spans="1:19" x14ac:dyDescent="0.5">
      <c r="A125" s="22" t="s">
        <v>85</v>
      </c>
      <c r="B125" s="281">
        <v>3.9329812384852674E-3</v>
      </c>
      <c r="C125" s="281">
        <v>4.9947431005540957E-3</v>
      </c>
      <c r="D125" s="281">
        <v>7.2453950209566773E-3</v>
      </c>
      <c r="E125" s="281">
        <v>6.6454134536817148E-3</v>
      </c>
      <c r="F125" s="281">
        <v>5.3801686102530489E-3</v>
      </c>
      <c r="G125" s="282">
        <v>5.6397402847861598E-3</v>
      </c>
    </row>
    <row r="126" spans="1:19" x14ac:dyDescent="0.5">
      <c r="A126" s="22" t="s">
        <v>86</v>
      </c>
      <c r="B126" s="281">
        <v>4.1292661231407578E-4</v>
      </c>
      <c r="C126" s="281">
        <v>6.3260331064937789E-4</v>
      </c>
      <c r="D126" s="281">
        <v>7.2844703779174203E-5</v>
      </c>
      <c r="E126" s="281">
        <v>8.7248753660462098E-5</v>
      </c>
      <c r="F126" s="281">
        <v>5.5743443317963755E-4</v>
      </c>
      <c r="G126" s="282">
        <v>3.5261156271654547E-4</v>
      </c>
    </row>
    <row r="127" spans="1:19" x14ac:dyDescent="0.5">
      <c r="A127" s="50" t="s">
        <v>87</v>
      </c>
      <c r="B127" s="281">
        <v>2.3608168836823347E-4</v>
      </c>
      <c r="C127" s="281">
        <v>4.3990288999010716E-4</v>
      </c>
      <c r="D127" s="281">
        <v>7.5762563734743855E-4</v>
      </c>
      <c r="E127" s="281">
        <v>5.4891031055343627E-4</v>
      </c>
      <c r="F127" s="281">
        <v>7.8629624739391701E-4</v>
      </c>
      <c r="G127" s="282">
        <v>5.5376335473062658E-4</v>
      </c>
    </row>
    <row r="128" spans="1:19" x14ac:dyDescent="0.5">
      <c r="A128" s="50" t="s">
        <v>88</v>
      </c>
      <c r="B128" s="281">
        <v>4.1658768371448792E-3</v>
      </c>
      <c r="C128" s="281">
        <v>1.5086638624828594E-3</v>
      </c>
      <c r="D128" s="281">
        <v>6.7513284839297279E-4</v>
      </c>
      <c r="E128" s="281">
        <v>1.3161555818857851E-3</v>
      </c>
      <c r="F128" s="281">
        <v>3.3447288072115441E-3</v>
      </c>
      <c r="G128" s="282">
        <v>2.2021115874236081E-3</v>
      </c>
    </row>
    <row r="129" spans="1:7" x14ac:dyDescent="0.5">
      <c r="A129" s="22" t="s">
        <v>89</v>
      </c>
      <c r="B129" s="281">
        <v>1.6222355128711668E-3</v>
      </c>
      <c r="C129" s="281">
        <v>2.95450686787821E-4</v>
      </c>
      <c r="D129" s="281">
        <v>6.494597730909024E-4</v>
      </c>
      <c r="E129" s="281">
        <v>2.1048774082684226E-4</v>
      </c>
      <c r="F129" s="281">
        <v>5.1023674810187045E-4</v>
      </c>
      <c r="G129" s="282">
        <v>6.5757409233572052E-4</v>
      </c>
    </row>
    <row r="130" spans="1:7" x14ac:dyDescent="0.5">
      <c r="A130" s="50" t="s">
        <v>90</v>
      </c>
      <c r="B130" s="281">
        <v>5.2838338571300917E-4</v>
      </c>
      <c r="C130" s="281">
        <v>8.5215039103051676E-4</v>
      </c>
      <c r="D130" s="281">
        <v>8.7223637247487243E-4</v>
      </c>
      <c r="E130" s="281">
        <v>9.9726412571961623E-4</v>
      </c>
      <c r="F130" s="281">
        <v>1.3958040651364842E-3</v>
      </c>
      <c r="G130" s="282">
        <v>9.2916766801489986E-4</v>
      </c>
    </row>
    <row r="131" spans="1:7" x14ac:dyDescent="0.5">
      <c r="A131" s="50" t="s">
        <v>91</v>
      </c>
      <c r="B131" s="281">
        <v>6.1507692423444962E-5</v>
      </c>
      <c r="C131" s="281">
        <v>1.2832594137680636E-4</v>
      </c>
      <c r="D131" s="281">
        <v>3.4552140963575945E-4</v>
      </c>
      <c r="E131" s="281">
        <v>7.8244282759684809E-4</v>
      </c>
      <c r="F131" s="281">
        <v>6.8158989047893334E-4</v>
      </c>
      <c r="G131" s="282">
        <v>3.998775523023585E-4</v>
      </c>
    </row>
    <row r="132" spans="1:7" x14ac:dyDescent="0.5">
      <c r="A132" s="50" t="s">
        <v>92</v>
      </c>
      <c r="B132" s="281">
        <v>3.7755981459953645E-3</v>
      </c>
      <c r="C132" s="281">
        <v>3.5396028036264078E-3</v>
      </c>
      <c r="D132" s="281">
        <v>2.9738417950037465E-3</v>
      </c>
      <c r="E132" s="281">
        <v>2.3303820970306068E-3</v>
      </c>
      <c r="F132" s="281">
        <v>2.6216517428717793E-3</v>
      </c>
      <c r="G132" s="282">
        <v>3.0482153169055807E-3</v>
      </c>
    </row>
    <row r="133" spans="1:7" x14ac:dyDescent="0.5">
      <c r="A133" s="50"/>
      <c r="B133" s="249"/>
      <c r="C133" s="249"/>
      <c r="D133" s="249"/>
      <c r="E133" s="251"/>
      <c r="F133" s="251"/>
      <c r="G133" s="252"/>
    </row>
    <row r="134" spans="1:7" x14ac:dyDescent="0.5">
      <c r="A134" s="51" t="s">
        <v>94</v>
      </c>
      <c r="B134" s="279">
        <v>6.5885371251681951E-2</v>
      </c>
      <c r="C134" s="279">
        <v>6.4825054827492581E-2</v>
      </c>
      <c r="D134" s="279">
        <v>5.4166997464074849E-2</v>
      </c>
      <c r="E134" s="279">
        <v>6.9488950659836388E-2</v>
      </c>
      <c r="F134" s="279">
        <v>5.3511584932985447E-2</v>
      </c>
      <c r="G134" s="280">
        <v>6.1575591827214247E-2</v>
      </c>
    </row>
    <row r="135" spans="1:7" x14ac:dyDescent="0.5">
      <c r="A135" s="50" t="s">
        <v>80</v>
      </c>
      <c r="B135" s="281">
        <v>1.185803397702857E-2</v>
      </c>
      <c r="C135" s="281">
        <v>1.1263887518982416E-2</v>
      </c>
      <c r="D135" s="281">
        <v>1.033789235774614E-2</v>
      </c>
      <c r="E135" s="281">
        <v>1.1577323673456043E-2</v>
      </c>
      <c r="F135" s="281">
        <v>1.5653732473397894E-2</v>
      </c>
      <c r="G135" s="282">
        <v>1.2138174000122213E-2</v>
      </c>
    </row>
    <row r="136" spans="1:7" x14ac:dyDescent="0.5">
      <c r="A136" s="50" t="s">
        <v>81</v>
      </c>
      <c r="B136" s="281">
        <v>3.2780960579123573E-4</v>
      </c>
      <c r="C136" s="281">
        <v>2.0571982081087011E-4</v>
      </c>
      <c r="D136" s="281">
        <v>0</v>
      </c>
      <c r="E136" s="281">
        <v>1.82874104386516E-4</v>
      </c>
      <c r="F136" s="281">
        <v>2.2409253272209201E-4</v>
      </c>
      <c r="G136" s="282">
        <v>1.8809921274214278E-4</v>
      </c>
    </row>
    <row r="137" spans="1:7" x14ac:dyDescent="0.5">
      <c r="A137" s="50" t="s">
        <v>82</v>
      </c>
      <c r="B137" s="281">
        <v>4.5992791136461545E-3</v>
      </c>
      <c r="C137" s="281">
        <v>6.4788055233370298E-3</v>
      </c>
      <c r="D137" s="281">
        <v>7.0391847371822315E-3</v>
      </c>
      <c r="E137" s="281">
        <v>7.3209774934363788E-3</v>
      </c>
      <c r="F137" s="281">
        <v>1.0925003858209686E-3</v>
      </c>
      <c r="G137" s="282">
        <v>5.3061494506845526E-3</v>
      </c>
    </row>
    <row r="138" spans="1:7" x14ac:dyDescent="0.5">
      <c r="A138" s="50" t="s">
        <v>62</v>
      </c>
      <c r="B138" s="281">
        <v>0</v>
      </c>
      <c r="C138" s="281">
        <v>3.9914575895500171E-4</v>
      </c>
      <c r="D138" s="281">
        <v>3.6904571625493554E-4</v>
      </c>
      <c r="E138" s="281">
        <v>3.7355054901330265E-4</v>
      </c>
      <c r="F138" s="281">
        <v>2.0877412207842163E-5</v>
      </c>
      <c r="G138" s="282">
        <v>2.3252388728621645E-4</v>
      </c>
    </row>
    <row r="139" spans="1:7" x14ac:dyDescent="0.5">
      <c r="A139" s="50" t="s">
        <v>83</v>
      </c>
      <c r="B139" s="281">
        <v>7.1323168755691409E-5</v>
      </c>
      <c r="C139" s="281">
        <v>1.3820301096989164E-5</v>
      </c>
      <c r="D139" s="281">
        <v>0</v>
      </c>
      <c r="E139" s="281">
        <v>2.0004798613304446E-4</v>
      </c>
      <c r="F139" s="281">
        <v>3.7653265056117131E-5</v>
      </c>
      <c r="G139" s="282">
        <v>6.4568944208368443E-5</v>
      </c>
    </row>
    <row r="140" spans="1:7" x14ac:dyDescent="0.5">
      <c r="A140" s="50" t="s">
        <v>84</v>
      </c>
      <c r="B140" s="281">
        <v>1.2425337446034915E-4</v>
      </c>
      <c r="C140" s="281">
        <v>3.1951299074322573E-4</v>
      </c>
      <c r="D140" s="281">
        <v>3.4426234866713636E-4</v>
      </c>
      <c r="E140" s="281">
        <v>4.8841764428717222E-4</v>
      </c>
      <c r="F140" s="281">
        <v>4.9298422842708738E-4</v>
      </c>
      <c r="G140" s="282">
        <v>3.5388611731699421E-4</v>
      </c>
    </row>
    <row r="141" spans="1:7" x14ac:dyDescent="0.5">
      <c r="A141" s="22" t="s">
        <v>85</v>
      </c>
      <c r="B141" s="281">
        <v>3.3249825863471479E-2</v>
      </c>
      <c r="C141" s="281">
        <v>3.2022357129498365E-2</v>
      </c>
      <c r="D141" s="281">
        <v>2.6426989067352503E-2</v>
      </c>
      <c r="E141" s="281">
        <v>2.6762836984949669E-2</v>
      </c>
      <c r="F141" s="281">
        <v>2.3930190863060651E-2</v>
      </c>
      <c r="G141" s="282">
        <v>2.8478439981666531E-2</v>
      </c>
    </row>
    <row r="142" spans="1:7" x14ac:dyDescent="0.5">
      <c r="A142" s="22" t="s">
        <v>86</v>
      </c>
      <c r="B142" s="281">
        <v>1.4729968778607206E-4</v>
      </c>
      <c r="C142" s="281">
        <v>4.3393812535301638E-5</v>
      </c>
      <c r="D142" s="281">
        <v>2.0485112633117714E-4</v>
      </c>
      <c r="E142" s="281">
        <v>1.8871650564790895E-4</v>
      </c>
      <c r="F142" s="281">
        <v>0</v>
      </c>
      <c r="G142" s="282">
        <v>1.1685222646009197E-4</v>
      </c>
    </row>
    <row r="143" spans="1:7" x14ac:dyDescent="0.5">
      <c r="A143" s="50" t="s">
        <v>87</v>
      </c>
      <c r="B143" s="281">
        <v>2.418680717486491E-5</v>
      </c>
      <c r="C143" s="281">
        <v>8.2324924207284603E-5</v>
      </c>
      <c r="D143" s="281">
        <v>5.2693372493869292E-5</v>
      </c>
      <c r="E143" s="281">
        <v>2.040065819357119E-5</v>
      </c>
      <c r="F143" s="281">
        <v>1.5640945358799685E-5</v>
      </c>
      <c r="G143" s="282">
        <v>3.9049341485677936E-5</v>
      </c>
    </row>
    <row r="144" spans="1:7" x14ac:dyDescent="0.5">
      <c r="A144" s="50" t="s">
        <v>88</v>
      </c>
      <c r="B144" s="281">
        <v>1.1534232405664013E-4</v>
      </c>
      <c r="C144" s="281">
        <v>6.3331114201465308E-4</v>
      </c>
      <c r="D144" s="281">
        <v>6.4994076267442136E-6</v>
      </c>
      <c r="E144" s="281">
        <v>2.0913721725442785E-4</v>
      </c>
      <c r="F144" s="281">
        <v>1.5086060668350438E-4</v>
      </c>
      <c r="G144" s="282">
        <v>2.2303013952719393E-4</v>
      </c>
    </row>
    <row r="145" spans="1:7" x14ac:dyDescent="0.5">
      <c r="A145" s="50" t="s">
        <v>89</v>
      </c>
      <c r="B145" s="281">
        <v>4.3811769708458729E-4</v>
      </c>
      <c r="C145" s="281">
        <v>3.9251085468290029E-4</v>
      </c>
      <c r="D145" s="281">
        <v>2.2851362006855088E-4</v>
      </c>
      <c r="E145" s="281">
        <v>2.0829662332554126E-4</v>
      </c>
      <c r="F145" s="281">
        <v>4.9568920252851978E-4</v>
      </c>
      <c r="G145" s="282">
        <v>3.5262559953801989E-4</v>
      </c>
    </row>
    <row r="146" spans="1:7" x14ac:dyDescent="0.5">
      <c r="A146" s="50" t="s">
        <v>90</v>
      </c>
      <c r="B146" s="281">
        <v>2.4961370788191035E-4</v>
      </c>
      <c r="C146" s="281">
        <v>2.7621708006114959E-4</v>
      </c>
      <c r="D146" s="281">
        <v>2.503299626103593E-4</v>
      </c>
      <c r="E146" s="281">
        <v>2.3995618774786572E-4</v>
      </c>
      <c r="F146" s="281">
        <v>3.0984930903436262E-4</v>
      </c>
      <c r="G146" s="282">
        <v>2.6519324946712951E-4</v>
      </c>
    </row>
    <row r="147" spans="1:7" x14ac:dyDescent="0.5">
      <c r="A147" s="50" t="s">
        <v>91</v>
      </c>
      <c r="B147" s="281">
        <v>0</v>
      </c>
      <c r="C147" s="281">
        <v>2.8044580226044164E-6</v>
      </c>
      <c r="D147" s="281">
        <v>7.5459597704238348E-6</v>
      </c>
      <c r="E147" s="281">
        <v>1.5023171438260557E-5</v>
      </c>
      <c r="F147" s="281">
        <v>0</v>
      </c>
      <c r="G147" s="282">
        <v>5.0747178462577619E-6</v>
      </c>
    </row>
    <row r="148" spans="1:7" x14ac:dyDescent="0.5">
      <c r="A148" s="50" t="s">
        <v>92</v>
      </c>
      <c r="B148" s="281">
        <v>8.4854555313741576E-3</v>
      </c>
      <c r="C148" s="281">
        <v>9.8447409447030999E-3</v>
      </c>
      <c r="D148" s="281">
        <v>8.899189787970772E-3</v>
      </c>
      <c r="E148" s="281">
        <v>6.6266454749212981E-3</v>
      </c>
      <c r="F148" s="281">
        <v>5.8365708057163766E-3</v>
      </c>
      <c r="G148" s="282">
        <v>7.93852050893714E-3</v>
      </c>
    </row>
    <row r="149" spans="1:7" x14ac:dyDescent="0.5">
      <c r="A149" s="50" t="s">
        <v>93</v>
      </c>
      <c r="B149" s="281">
        <v>6.1948303931702387E-3</v>
      </c>
      <c r="C149" s="281">
        <v>2.8465025678417106E-3</v>
      </c>
      <c r="D149" s="281">
        <v>0</v>
      </c>
      <c r="E149" s="281">
        <v>1.5074746385645382E-2</v>
      </c>
      <c r="F149" s="281">
        <v>5.2509429029712245E-3</v>
      </c>
      <c r="G149" s="282">
        <v>5.8734044499257117E-3</v>
      </c>
    </row>
    <row r="150" spans="1:7" x14ac:dyDescent="0.5">
      <c r="A150" s="234"/>
      <c r="B150" s="249"/>
      <c r="C150" s="249"/>
      <c r="D150" s="249"/>
      <c r="E150" s="251"/>
      <c r="F150" s="251"/>
      <c r="G150" s="252"/>
    </row>
    <row r="151" spans="1:7" x14ac:dyDescent="0.5">
      <c r="A151" s="351" t="s">
        <v>216</v>
      </c>
      <c r="B151" s="352"/>
      <c r="C151" s="352"/>
      <c r="D151" s="352"/>
      <c r="E151" s="353"/>
      <c r="F151" s="251"/>
      <c r="G151" s="252"/>
    </row>
    <row r="152" spans="1:7" ht="21" customHeight="1" x14ac:dyDescent="0.5">
      <c r="A152" s="357"/>
      <c r="B152" s="358"/>
      <c r="C152" s="358"/>
      <c r="D152" s="358"/>
      <c r="E152" s="359"/>
      <c r="F152" s="253"/>
      <c r="G152" s="254"/>
    </row>
    <row r="155" spans="1:7" x14ac:dyDescent="0.5">
      <c r="A155" s="52"/>
      <c r="B155" s="11"/>
      <c r="C155" s="11"/>
      <c r="D155" s="11"/>
      <c r="E155" s="11"/>
      <c r="F155" s="11"/>
      <c r="G155" s="11"/>
    </row>
    <row r="156" spans="1:7" ht="28.5" customHeight="1" x14ac:dyDescent="0.5">
      <c r="A156" s="51" t="s">
        <v>99</v>
      </c>
      <c r="B156" s="385" t="s">
        <v>217</v>
      </c>
      <c r="C156" s="386"/>
      <c r="D156" s="386"/>
      <c r="E156" s="386"/>
      <c r="F156" s="387"/>
      <c r="G156" s="11"/>
    </row>
    <row r="159" spans="1:7" x14ac:dyDescent="0.5">
      <c r="A159" s="51" t="s">
        <v>106</v>
      </c>
      <c r="C159" s="351" t="s">
        <v>218</v>
      </c>
      <c r="D159" s="352"/>
      <c r="E159" s="352"/>
      <c r="F159" s="353"/>
    </row>
    <row r="160" spans="1:7" x14ac:dyDescent="0.5">
      <c r="C160" s="354"/>
      <c r="D160" s="355"/>
      <c r="E160" s="355"/>
      <c r="F160" s="356"/>
    </row>
    <row r="161" spans="1:16" x14ac:dyDescent="0.5">
      <c r="C161" s="357"/>
      <c r="D161" s="358"/>
      <c r="E161" s="358"/>
      <c r="F161" s="359"/>
    </row>
    <row r="162" spans="1:16" x14ac:dyDescent="0.5">
      <c r="B162" s="53">
        <v>0.34</v>
      </c>
      <c r="C162" t="s">
        <v>219</v>
      </c>
    </row>
    <row r="163" spans="1:16" x14ac:dyDescent="0.5">
      <c r="B163" s="54">
        <v>3.5000000000000003E-2</v>
      </c>
      <c r="C163" t="s">
        <v>220</v>
      </c>
    </row>
    <row r="164" spans="1:16" x14ac:dyDescent="0.5">
      <c r="B164" s="55"/>
    </row>
    <row r="167" spans="1:16" x14ac:dyDescent="0.5">
      <c r="B167" s="10"/>
      <c r="C167" s="10"/>
      <c r="D167" s="10"/>
      <c r="E167" s="56"/>
      <c r="F167" s="56"/>
    </row>
    <row r="168" spans="1:16" x14ac:dyDescent="0.5">
      <c r="F168" s="287"/>
      <c r="G168" s="287"/>
      <c r="H168" s="287"/>
      <c r="I168" s="287"/>
      <c r="J168" s="287"/>
      <c r="K168" s="287"/>
      <c r="L168" s="287"/>
      <c r="M168" s="287"/>
      <c r="N168" s="287"/>
      <c r="O168" s="287"/>
      <c r="P168" s="287"/>
    </row>
    <row r="170" spans="1:16" ht="15.7" x14ac:dyDescent="0.55000000000000004">
      <c r="A170" s="255" t="s">
        <v>103</v>
      </c>
      <c r="B170" s="283">
        <v>2012</v>
      </c>
      <c r="C170" s="283">
        <v>2013</v>
      </c>
      <c r="D170" s="283">
        <v>2014</v>
      </c>
      <c r="E170" s="283">
        <v>2015</v>
      </c>
      <c r="F170" s="283">
        <v>2016</v>
      </c>
      <c r="G170" s="222" t="s">
        <v>166</v>
      </c>
      <c r="H170" s="222" t="s">
        <v>167</v>
      </c>
      <c r="I170" s="222" t="s">
        <v>168</v>
      </c>
      <c r="J170" s="222" t="s">
        <v>169</v>
      </c>
      <c r="K170" s="222" t="s">
        <v>170</v>
      </c>
      <c r="L170" s="222" t="s">
        <v>171</v>
      </c>
      <c r="M170" s="222" t="s">
        <v>172</v>
      </c>
      <c r="N170" s="222" t="s">
        <v>173</v>
      </c>
      <c r="O170" s="222" t="s">
        <v>174</v>
      </c>
      <c r="P170" s="222" t="s">
        <v>175</v>
      </c>
    </row>
    <row r="172" spans="1:16" x14ac:dyDescent="0.5">
      <c r="B172" s="284">
        <v>2012</v>
      </c>
      <c r="C172" s="284">
        <v>2013</v>
      </c>
      <c r="D172" s="284">
        <v>2014</v>
      </c>
      <c r="E172" s="284">
        <v>2015</v>
      </c>
      <c r="F172" s="284">
        <v>2016</v>
      </c>
      <c r="G172" s="285" t="s">
        <v>166</v>
      </c>
      <c r="H172" s="285" t="s">
        <v>167</v>
      </c>
      <c r="I172" s="285" t="s">
        <v>168</v>
      </c>
      <c r="J172" s="285" t="s">
        <v>169</v>
      </c>
      <c r="K172" s="285" t="s">
        <v>170</v>
      </c>
      <c r="L172" s="285" t="s">
        <v>171</v>
      </c>
      <c r="M172" s="285" t="s">
        <v>172</v>
      </c>
      <c r="N172" s="285" t="s">
        <v>173</v>
      </c>
      <c r="O172" s="285" t="s">
        <v>174</v>
      </c>
      <c r="P172" s="285" t="s">
        <v>175</v>
      </c>
    </row>
    <row r="173" spans="1:16" x14ac:dyDescent="0.5">
      <c r="A173" s="2" t="s">
        <v>27</v>
      </c>
      <c r="B173" s="2">
        <v>858014262.33000004</v>
      </c>
      <c r="C173" s="2">
        <v>1602610061.52</v>
      </c>
      <c r="D173" s="2">
        <v>2671718162.27</v>
      </c>
      <c r="E173" s="57">
        <v>566000000</v>
      </c>
      <c r="F173" s="57">
        <v>550000000</v>
      </c>
      <c r="G173" s="57">
        <v>1245846473.956888</v>
      </c>
      <c r="H173" s="57">
        <v>1323377178.7225275</v>
      </c>
      <c r="I173" s="57">
        <v>1278176053.5977871</v>
      </c>
      <c r="J173" s="57">
        <v>1004360686.5573671</v>
      </c>
      <c r="K173" s="57">
        <v>1096954950.9358325</v>
      </c>
      <c r="L173" s="57">
        <v>1204379674.1244581</v>
      </c>
      <c r="M173" s="57">
        <v>1200479692.6203222</v>
      </c>
      <c r="N173" s="57">
        <v>1176899594.5265121</v>
      </c>
      <c r="O173" s="57">
        <v>1157028124.2659042</v>
      </c>
      <c r="P173" s="57">
        <v>1189147036.1246045</v>
      </c>
    </row>
    <row r="174" spans="1:16" x14ac:dyDescent="0.5">
      <c r="A174" s="2" t="s">
        <v>27</v>
      </c>
      <c r="B174" s="2">
        <v>0</v>
      </c>
      <c r="C174" s="2">
        <v>0</v>
      </c>
      <c r="D174" s="2">
        <v>53972650</v>
      </c>
      <c r="E174" s="57">
        <v>2686048232</v>
      </c>
      <c r="F174" s="57">
        <v>3600000000</v>
      </c>
      <c r="G174" s="57">
        <v>1264126074.7468324</v>
      </c>
      <c r="H174" s="57">
        <v>1516408926.0078936</v>
      </c>
      <c r="I174" s="57">
        <v>1833849744.7660348</v>
      </c>
      <c r="J174" s="57">
        <v>2205739411.8852534</v>
      </c>
      <c r="K174" s="57">
        <v>2116052166.8075132</v>
      </c>
      <c r="L174" s="57">
        <v>1809222413.1292</v>
      </c>
      <c r="M174" s="57">
        <v>1926798103.5473588</v>
      </c>
      <c r="N174" s="57">
        <v>2012584072.5172684</v>
      </c>
      <c r="O174" s="57">
        <v>2050251388.7953322</v>
      </c>
      <c r="P174" s="57">
        <v>2020357233.0894885</v>
      </c>
    </row>
    <row r="175" spans="1:16" x14ac:dyDescent="0.5">
      <c r="A175" s="1" t="s">
        <v>221</v>
      </c>
      <c r="B175" s="58">
        <f>+B173+B174</f>
        <v>858014262.33000004</v>
      </c>
      <c r="C175" s="58">
        <f t="shared" ref="C175:P175" si="7">+C173+C174</f>
        <v>1602610061.52</v>
      </c>
      <c r="D175" s="58">
        <f t="shared" si="7"/>
        <v>2725690812.27</v>
      </c>
      <c r="E175" s="59">
        <f t="shared" si="7"/>
        <v>3252048232</v>
      </c>
      <c r="F175" s="59">
        <f t="shared" si="7"/>
        <v>4150000000</v>
      </c>
      <c r="G175" s="59">
        <f t="shared" si="7"/>
        <v>2509972548.7037201</v>
      </c>
      <c r="H175" s="59">
        <f t="shared" si="7"/>
        <v>2839786104.7304211</v>
      </c>
      <c r="I175" s="59">
        <f t="shared" si="7"/>
        <v>3112025798.363822</v>
      </c>
      <c r="J175" s="59">
        <f t="shared" si="7"/>
        <v>3210100098.4426203</v>
      </c>
      <c r="K175" s="59">
        <f t="shared" si="7"/>
        <v>3213007117.7433457</v>
      </c>
      <c r="L175" s="59">
        <f t="shared" si="7"/>
        <v>3013602087.2536583</v>
      </c>
      <c r="M175" s="59">
        <f t="shared" si="7"/>
        <v>3127277796.1676807</v>
      </c>
      <c r="N175" s="59">
        <f t="shared" si="7"/>
        <v>3189483667.0437803</v>
      </c>
      <c r="O175" s="59">
        <f t="shared" si="7"/>
        <v>3207279513.0612364</v>
      </c>
      <c r="P175" s="59">
        <f t="shared" si="7"/>
        <v>3209504269.2140932</v>
      </c>
    </row>
    <row r="176" spans="1:16" x14ac:dyDescent="0.5">
      <c r="B176" s="49"/>
      <c r="C176" s="49"/>
      <c r="D176" s="49"/>
      <c r="E176" s="49"/>
      <c r="F176" s="49"/>
    </row>
    <row r="178" spans="1:21" x14ac:dyDescent="0.5">
      <c r="A178" s="60" t="s">
        <v>222</v>
      </c>
      <c r="B178" s="3"/>
      <c r="C178" s="3"/>
      <c r="D178" s="3"/>
      <c r="E178" s="61"/>
      <c r="F178" s="61"/>
      <c r="G178" s="62">
        <v>1.6E-2</v>
      </c>
      <c r="H178" s="4">
        <f t="shared" ref="H178:P178" si="8">+G178-0.05%</f>
        <v>1.55E-2</v>
      </c>
      <c r="I178" s="4">
        <f t="shared" si="8"/>
        <v>1.4999999999999999E-2</v>
      </c>
      <c r="J178" s="4">
        <f t="shared" si="8"/>
        <v>1.4499999999999999E-2</v>
      </c>
      <c r="K178" s="4">
        <f t="shared" si="8"/>
        <v>1.3999999999999999E-2</v>
      </c>
      <c r="L178" s="4">
        <f t="shared" si="8"/>
        <v>1.3499999999999998E-2</v>
      </c>
      <c r="M178" s="4">
        <f t="shared" si="8"/>
        <v>1.2999999999999998E-2</v>
      </c>
      <c r="N178" s="4">
        <f t="shared" si="8"/>
        <v>1.2499999999999997E-2</v>
      </c>
      <c r="O178" s="4">
        <f t="shared" si="8"/>
        <v>1.1999999999999997E-2</v>
      </c>
      <c r="P178" s="4">
        <f t="shared" si="8"/>
        <v>1.1499999999999996E-2</v>
      </c>
    </row>
    <row r="179" spans="1:21" x14ac:dyDescent="0.5">
      <c r="A179" s="286" t="s">
        <v>223</v>
      </c>
      <c r="B179" s="3"/>
      <c r="C179" s="3"/>
      <c r="D179" s="3"/>
      <c r="E179" s="61"/>
      <c r="F179" s="61"/>
      <c r="G179" s="63">
        <f>+(1+G178)^12-1</f>
        <v>0.20983040650908191</v>
      </c>
      <c r="H179" s="63">
        <f t="shared" ref="H179:P179" si="9">+(1+H178)^12-1</f>
        <v>0.20270504548765578</v>
      </c>
      <c r="I179" s="63">
        <f t="shared" si="9"/>
        <v>0.19561817146153326</v>
      </c>
      <c r="J179" s="63">
        <f t="shared" si="9"/>
        <v>0.18856959535234452</v>
      </c>
      <c r="K179" s="63">
        <f t="shared" si="9"/>
        <v>0.18155912891812287</v>
      </c>
      <c r="L179" s="63">
        <f t="shared" si="9"/>
        <v>0.1745865847500423</v>
      </c>
      <c r="M179" s="63">
        <f t="shared" si="9"/>
        <v>0.16765177626913008</v>
      </c>
      <c r="N179" s="63">
        <f t="shared" si="9"/>
        <v>0.16075451772299854</v>
      </c>
      <c r="O179" s="63">
        <f t="shared" si="9"/>
        <v>0.15389462418258582</v>
      </c>
      <c r="P179" s="63">
        <f t="shared" si="9"/>
        <v>0.14707191153891563</v>
      </c>
    </row>
    <row r="180" spans="1:21" x14ac:dyDescent="0.5">
      <c r="B180" s="64">
        <v>77826310.989999995</v>
      </c>
      <c r="C180" s="64">
        <v>366873974.38999999</v>
      </c>
      <c r="D180" s="64">
        <v>794152363.49000001</v>
      </c>
      <c r="E180" s="64">
        <v>595213574.51999998</v>
      </c>
      <c r="F180" s="64">
        <v>856117473.86000001</v>
      </c>
      <c r="G180" s="65">
        <f>+G175*G179</f>
        <v>526668560.221138</v>
      </c>
      <c r="H180" s="65">
        <f t="shared" ref="H180:P180" si="10">+H175*H179</f>
        <v>575638971.53459287</v>
      </c>
      <c r="I180" s="65">
        <f t="shared" si="10"/>
        <v>608768796.21704912</v>
      </c>
      <c r="J180" s="65">
        <f t="shared" si="10"/>
        <v>605327276.60384619</v>
      </c>
      <c r="K180" s="65">
        <f t="shared" si="10"/>
        <v>583350773.50521052</v>
      </c>
      <c r="L180" s="65">
        <f t="shared" si="10"/>
        <v>526134496.20921516</v>
      </c>
      <c r="M180" s="65">
        <f t="shared" si="10"/>
        <v>524293677.41452217</v>
      </c>
      <c r="N180" s="65">
        <f t="shared" si="10"/>
        <v>512723908.68100375</v>
      </c>
      <c r="O180" s="65">
        <f t="shared" si="10"/>
        <v>493583075.31106579</v>
      </c>
      <c r="P180" s="65">
        <f t="shared" si="10"/>
        <v>472027927.96562719</v>
      </c>
    </row>
    <row r="181" spans="1:21" x14ac:dyDescent="0.5">
      <c r="G181" s="66"/>
      <c r="H181" s="66"/>
      <c r="I181" s="66"/>
      <c r="J181" s="66"/>
      <c r="K181" s="66"/>
      <c r="L181" s="66"/>
      <c r="M181" s="66"/>
      <c r="N181" s="66"/>
      <c r="O181" s="66"/>
      <c r="P181" s="66"/>
    </row>
    <row r="182" spans="1:21" x14ac:dyDescent="0.5"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</row>
  </sheetData>
  <mergeCells count="13">
    <mergeCell ref="C159:F161"/>
    <mergeCell ref="A29:E33"/>
    <mergeCell ref="A58:E63"/>
    <mergeCell ref="A94:E96"/>
    <mergeCell ref="G101:G103"/>
    <mergeCell ref="A112:E113"/>
    <mergeCell ref="A151:E152"/>
    <mergeCell ref="B156:F156"/>
    <mergeCell ref="A10:E10"/>
    <mergeCell ref="A18:E20"/>
    <mergeCell ref="C36:E36"/>
    <mergeCell ref="B38:E41"/>
    <mergeCell ref="A49:E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supuestos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2018-06-03T14:09:03Z</dcterms:modified>
</cp:coreProperties>
</file>