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Emily\Documents\eass\EAFIT 20200728 Trabajo de grado\9_Version 20201128\"/>
    </mc:Choice>
  </mc:AlternateContent>
  <xr:revisionPtr revIDLastSave="0" documentId="13_ncr:1_{72ED6360-B9F0-4C2A-ADCE-4CE4D22CBCFE}" xr6:coauthVersionLast="45" xr6:coauthVersionMax="45" xr10:uidLastSave="{00000000-0000-0000-0000-000000000000}"/>
  <bookViews>
    <workbookView xWindow="-108" yWindow="-108" windowWidth="23256" windowHeight="12576" tabRatio="726" firstSheet="9" activeTab="14" xr2:uid="{00000000-000D-0000-FFFF-FFFF00000000}"/>
  </bookViews>
  <sheets>
    <sheet name="1 Financiacion" sheetId="3" r:id="rId1"/>
    <sheet name="2 EstudioTecnico I" sheetId="23" r:id="rId2"/>
    <sheet name="5 Costo Nomina" sheetId="7" r:id="rId3"/>
    <sheet name="3 Estudio Tecnico II" sheetId="22" r:id="rId4"/>
    <sheet name="4 Estudio tecnico III" sheetId="21" r:id="rId5"/>
    <sheet name="6 WACC" sheetId="8" r:id="rId6"/>
    <sheet name="7 Informacion Base" sheetId="1" r:id="rId7"/>
    <sheet name="5 Cash Flow Operativo" sheetId="9" r:id="rId8"/>
    <sheet name="6 Cash Flow Inversion" sheetId="10" r:id="rId9"/>
    <sheet name="6 Valor de Salvamento" sheetId="25" r:id="rId10"/>
    <sheet name="7 Cash Flow Proyecto" sheetId="11" r:id="rId11"/>
    <sheet name="8 Cash Flow Financiacion" sheetId="12" r:id="rId12"/>
    <sheet name="9 Cash Flow Inversionista" sheetId="13" r:id="rId13"/>
    <sheet name="8 PYG" sheetId="15" r:id="rId14"/>
    <sheet name="9 INDICADORES" sheetId="14" r:id="rId1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3" i="15" l="1"/>
  <c r="L13" i="15"/>
  <c r="M13" i="15"/>
  <c r="N13" i="15"/>
  <c r="O13" i="15"/>
  <c r="P13" i="15"/>
  <c r="K30" i="15"/>
  <c r="L30" i="15"/>
  <c r="M30" i="15"/>
  <c r="N30" i="15"/>
  <c r="O30" i="15"/>
  <c r="T10" i="1" l="1"/>
  <c r="O35" i="15"/>
  <c r="N35" i="15"/>
  <c r="M35" i="15"/>
  <c r="L35" i="15"/>
  <c r="K35" i="15"/>
  <c r="O29" i="15"/>
  <c r="O25" i="15"/>
  <c r="N25" i="15"/>
  <c r="M25" i="15"/>
  <c r="L25" i="15"/>
  <c r="K25" i="15"/>
  <c r="P18" i="15"/>
  <c r="P8" i="15"/>
  <c r="O18" i="15"/>
  <c r="N18" i="15"/>
  <c r="M18" i="15"/>
  <c r="L18" i="15"/>
  <c r="K18" i="15"/>
  <c r="O8" i="15"/>
  <c r="N8" i="15"/>
  <c r="M8" i="15"/>
  <c r="L8" i="15"/>
  <c r="K8" i="15"/>
  <c r="ED4" i="10"/>
  <c r="D39" i="9"/>
  <c r="H2" i="3"/>
  <c r="AB16" i="9"/>
  <c r="X16" i="9"/>
  <c r="T16" i="9"/>
  <c r="G55" i="1"/>
  <c r="H55" i="1" s="1"/>
  <c r="I55" i="1" s="1"/>
  <c r="J55" i="1" s="1"/>
  <c r="K55" i="1" s="1"/>
  <c r="L55" i="1" s="1"/>
  <c r="M55" i="1" s="1"/>
  <c r="N55" i="1" s="1"/>
  <c r="G54" i="1"/>
  <c r="H54" i="1" s="1"/>
  <c r="I54" i="1" s="1"/>
  <c r="J54" i="1" s="1"/>
  <c r="K54" i="1" s="1"/>
  <c r="L54" i="1" s="1"/>
  <c r="M54" i="1" s="1"/>
  <c r="N54" i="1" s="1"/>
  <c r="G52" i="1"/>
  <c r="H52" i="1" s="1"/>
  <c r="I52" i="1" s="1"/>
  <c r="J52" i="1" s="1"/>
  <c r="K52" i="1" s="1"/>
  <c r="L52" i="1" s="1"/>
  <c r="M52" i="1" s="1"/>
  <c r="N52" i="1" s="1"/>
  <c r="F55" i="1"/>
  <c r="F54" i="1"/>
  <c r="F52" i="1"/>
  <c r="E55" i="1"/>
  <c r="E54" i="1"/>
  <c r="E52" i="1"/>
  <c r="F82" i="7"/>
  <c r="G82" i="7" s="1"/>
  <c r="F63" i="7"/>
  <c r="G63" i="7" s="1"/>
  <c r="F24" i="7"/>
  <c r="G24" i="7" s="1"/>
  <c r="F44" i="7"/>
  <c r="D5" i="7"/>
  <c r="F93" i="7"/>
  <c r="F92" i="7"/>
  <c r="F91" i="7"/>
  <c r="F90" i="7"/>
  <c r="F89" i="7"/>
  <c r="F88" i="7"/>
  <c r="D87" i="7"/>
  <c r="F87" i="7" s="1"/>
  <c r="F86" i="7"/>
  <c r="F85" i="7"/>
  <c r="F84" i="7"/>
  <c r="F83" i="7"/>
  <c r="G83" i="7" s="1"/>
  <c r="E83" i="7"/>
  <c r="E84" i="7" s="1"/>
  <c r="E85" i="7" s="1"/>
  <c r="E86" i="7" s="1"/>
  <c r="F25" i="7"/>
  <c r="F74" i="7"/>
  <c r="F73" i="7"/>
  <c r="F72" i="7"/>
  <c r="F71" i="7"/>
  <c r="F70" i="7"/>
  <c r="F69" i="7"/>
  <c r="D68" i="7"/>
  <c r="F68" i="7" s="1"/>
  <c r="F67" i="7"/>
  <c r="F66" i="7"/>
  <c r="F65" i="7"/>
  <c r="E65" i="7"/>
  <c r="E66" i="7" s="1"/>
  <c r="E67" i="7" s="1"/>
  <c r="F64" i="7"/>
  <c r="E64" i="7"/>
  <c r="F35" i="7"/>
  <c r="F34" i="7"/>
  <c r="F33" i="7"/>
  <c r="F32" i="7"/>
  <c r="F31" i="7"/>
  <c r="F30" i="7"/>
  <c r="D29" i="7"/>
  <c r="F29" i="7" s="1"/>
  <c r="F28" i="7"/>
  <c r="F27" i="7"/>
  <c r="F26" i="7"/>
  <c r="E26" i="7"/>
  <c r="E27" i="7" s="1"/>
  <c r="E28" i="7" s="1"/>
  <c r="E25" i="7"/>
  <c r="F55" i="7"/>
  <c r="F54" i="7"/>
  <c r="F53" i="7"/>
  <c r="F52" i="7"/>
  <c r="F51" i="7"/>
  <c r="F50" i="7"/>
  <c r="F49" i="7"/>
  <c r="F48" i="7"/>
  <c r="F47" i="7"/>
  <c r="F46" i="7"/>
  <c r="D49" i="7"/>
  <c r="F45" i="7"/>
  <c r="E45" i="7"/>
  <c r="E46" i="7" s="1"/>
  <c r="E47" i="7" s="1"/>
  <c r="E48" i="7" s="1"/>
  <c r="G44" i="7"/>
  <c r="G5" i="7" l="1"/>
  <c r="F10" i="7"/>
  <c r="F14" i="7"/>
  <c r="F8" i="7"/>
  <c r="F12" i="7"/>
  <c r="G84" i="7"/>
  <c r="F9" i="7"/>
  <c r="F13" i="7"/>
  <c r="G65" i="7"/>
  <c r="G85" i="7"/>
  <c r="F16" i="7"/>
  <c r="F7" i="7"/>
  <c r="F11" i="7"/>
  <c r="F15" i="7"/>
  <c r="G64" i="7"/>
  <c r="G25" i="7"/>
  <c r="F6" i="7"/>
  <c r="F5" i="7"/>
  <c r="R16" i="9"/>
  <c r="V16" i="9"/>
  <c r="Z16" i="9"/>
  <c r="Q16" i="9"/>
  <c r="U16" i="9"/>
  <c r="Y16" i="9"/>
  <c r="S16" i="9"/>
  <c r="W16" i="9"/>
  <c r="AA16" i="9"/>
  <c r="AL16" i="9"/>
  <c r="AH16" i="9"/>
  <c r="AD16" i="9"/>
  <c r="AM16" i="9"/>
  <c r="AK16" i="9"/>
  <c r="AG16" i="9"/>
  <c r="AC16" i="9"/>
  <c r="AE16" i="9"/>
  <c r="AN16" i="9"/>
  <c r="AJ16" i="9"/>
  <c r="AF16" i="9"/>
  <c r="AI16" i="9"/>
  <c r="G26" i="7"/>
  <c r="E87" i="7"/>
  <c r="E88" i="7" s="1"/>
  <c r="E89" i="7" s="1"/>
  <c r="E90" i="7" s="1"/>
  <c r="E91" i="7" s="1"/>
  <c r="G86" i="7"/>
  <c r="E68" i="7"/>
  <c r="E69" i="7" s="1"/>
  <c r="E70" i="7" s="1"/>
  <c r="E71" i="7" s="1"/>
  <c r="E72" i="7" s="1"/>
  <c r="G67" i="7"/>
  <c r="G66" i="7"/>
  <c r="E29" i="7"/>
  <c r="E30" i="7" s="1"/>
  <c r="E31" i="7" s="1"/>
  <c r="E32" i="7" s="1"/>
  <c r="E33" i="7" s="1"/>
  <c r="G28" i="7"/>
  <c r="G27" i="7"/>
  <c r="G46" i="7"/>
  <c r="G45" i="7"/>
  <c r="G48" i="7"/>
  <c r="E49" i="7"/>
  <c r="E50" i="7" s="1"/>
  <c r="E51" i="7" s="1"/>
  <c r="E52" i="7" s="1"/>
  <c r="E53" i="7" s="1"/>
  <c r="G49" i="7"/>
  <c r="G47" i="7"/>
  <c r="G9" i="7" l="1"/>
  <c r="G8" i="7"/>
  <c r="G7" i="7"/>
  <c r="G6" i="7"/>
  <c r="G39" i="9"/>
  <c r="F39" i="9"/>
  <c r="AX16" i="9"/>
  <c r="AT16" i="9"/>
  <c r="AP16" i="9"/>
  <c r="AY16" i="9"/>
  <c r="AW16" i="9"/>
  <c r="AS16" i="9"/>
  <c r="AO16" i="9"/>
  <c r="AQ16" i="9"/>
  <c r="AZ16" i="9"/>
  <c r="AV16" i="9"/>
  <c r="AR16" i="9"/>
  <c r="AU16" i="9"/>
  <c r="G31" i="7"/>
  <c r="G30" i="7"/>
  <c r="G29" i="7"/>
  <c r="G89" i="7"/>
  <c r="G90" i="7"/>
  <c r="G88" i="7"/>
  <c r="G91" i="7"/>
  <c r="E92" i="7"/>
  <c r="G87" i="7"/>
  <c r="E73" i="7"/>
  <c r="G72" i="7"/>
  <c r="G71" i="7"/>
  <c r="G68" i="7"/>
  <c r="G70" i="7"/>
  <c r="G69" i="7"/>
  <c r="E34" i="7"/>
  <c r="G33" i="7"/>
  <c r="G32" i="7"/>
  <c r="E54" i="7"/>
  <c r="G53" i="7"/>
  <c r="G50" i="7"/>
  <c r="G51" i="7"/>
  <c r="G52" i="7"/>
  <c r="G13" i="7" l="1"/>
  <c r="G14" i="7"/>
  <c r="G11" i="7"/>
  <c r="G12" i="7"/>
  <c r="G10" i="7"/>
  <c r="H39" i="9"/>
  <c r="BJ16" i="9"/>
  <c r="BF16" i="9"/>
  <c r="BB16" i="9"/>
  <c r="BK16" i="9"/>
  <c r="BI16" i="9"/>
  <c r="BE16" i="9"/>
  <c r="BA16" i="9"/>
  <c r="BC16" i="9"/>
  <c r="BL16" i="9"/>
  <c r="BH16" i="9"/>
  <c r="BD16" i="9"/>
  <c r="BG16" i="9"/>
  <c r="E93" i="7"/>
  <c r="G93" i="7" s="1"/>
  <c r="G92" i="7"/>
  <c r="E74" i="7"/>
  <c r="G74" i="7" s="1"/>
  <c r="G73" i="7"/>
  <c r="E35" i="7"/>
  <c r="G35" i="7" s="1"/>
  <c r="G34" i="7"/>
  <c r="E55" i="7"/>
  <c r="G55" i="7" s="1"/>
  <c r="G54" i="7"/>
  <c r="I39" i="9" l="1"/>
  <c r="G16" i="7"/>
  <c r="G36" i="7"/>
  <c r="G38" i="7" s="1"/>
  <c r="G39" i="7" s="1"/>
  <c r="G15" i="7"/>
  <c r="BV16" i="9"/>
  <c r="BR16" i="9"/>
  <c r="BN16" i="9"/>
  <c r="BW16" i="9"/>
  <c r="BU16" i="9"/>
  <c r="BQ16" i="9"/>
  <c r="BM16" i="9"/>
  <c r="BS16" i="9"/>
  <c r="BX16" i="9"/>
  <c r="BT16" i="9"/>
  <c r="BP16" i="9"/>
  <c r="BO16" i="9"/>
  <c r="G94" i="7"/>
  <c r="G75" i="7"/>
  <c r="G56" i="7"/>
  <c r="G58" i="7" s="1"/>
  <c r="G59" i="7" s="1"/>
  <c r="G16" i="23" l="1"/>
  <c r="G15" i="23"/>
  <c r="G96" i="7"/>
  <c r="G97" i="7" s="1"/>
  <c r="G17" i="23"/>
  <c r="G77" i="7"/>
  <c r="G78" i="7" s="1"/>
  <c r="J39" i="9"/>
  <c r="CH16" i="9"/>
  <c r="CD16" i="9"/>
  <c r="BZ16" i="9"/>
  <c r="CI16" i="9"/>
  <c r="CG16" i="9"/>
  <c r="CC16" i="9"/>
  <c r="BY16" i="9"/>
  <c r="CA16" i="9"/>
  <c r="CJ16" i="9"/>
  <c r="CF16" i="9"/>
  <c r="CB16" i="9"/>
  <c r="CE16" i="9"/>
  <c r="K39" i="9" l="1"/>
  <c r="CT16" i="9"/>
  <c r="CP16" i="9"/>
  <c r="CL16" i="9"/>
  <c r="CU16" i="9"/>
  <c r="CS16" i="9"/>
  <c r="CO16" i="9"/>
  <c r="CK16" i="9"/>
  <c r="CM16" i="9"/>
  <c r="CV16" i="9"/>
  <c r="CR16" i="9"/>
  <c r="CN16" i="9"/>
  <c r="CQ16" i="9"/>
  <c r="L39" i="9" l="1"/>
  <c r="DF16" i="9"/>
  <c r="DB16" i="9"/>
  <c r="CX16" i="9"/>
  <c r="DE16" i="9"/>
  <c r="DA16" i="9"/>
  <c r="CW16" i="9"/>
  <c r="DG16" i="9"/>
  <c r="CY16" i="9"/>
  <c r="DH16" i="9"/>
  <c r="DD16" i="9"/>
  <c r="CZ16" i="9"/>
  <c r="DC16" i="9"/>
  <c r="M39" i="9" l="1"/>
  <c r="DR16" i="9"/>
  <c r="DN16" i="9"/>
  <c r="DJ16" i="9"/>
  <c r="DQ16" i="9"/>
  <c r="DM16" i="9"/>
  <c r="DI16" i="9"/>
  <c r="DO16" i="9"/>
  <c r="DT16" i="9"/>
  <c r="DP16" i="9"/>
  <c r="DL16" i="9"/>
  <c r="DS16" i="9"/>
  <c r="DK16" i="9"/>
  <c r="N39" i="9" l="1"/>
  <c r="ED16" i="9"/>
  <c r="DZ16" i="9"/>
  <c r="DV16" i="9"/>
  <c r="EE16" i="9"/>
  <c r="EC16" i="9"/>
  <c r="DY16" i="9"/>
  <c r="DU16" i="9"/>
  <c r="DW16" i="9"/>
  <c r="EF16" i="9"/>
  <c r="EB16" i="9"/>
  <c r="DX16" i="9"/>
  <c r="EA16" i="9"/>
  <c r="O39" i="9" l="1"/>
  <c r="G3" i="1" l="1"/>
  <c r="H3" i="1" s="1"/>
  <c r="I3" i="1" s="1"/>
  <c r="J3" i="1" s="1"/>
  <c r="K3" i="1" s="1"/>
  <c r="L3" i="1" s="1"/>
  <c r="M3" i="1" s="1"/>
  <c r="N3" i="1" s="1"/>
  <c r="F3" i="1"/>
  <c r="P16" i="9" l="1"/>
  <c r="O16" i="9"/>
  <c r="N16" i="9"/>
  <c r="M16" i="9"/>
  <c r="L16" i="9"/>
  <c r="K16" i="9"/>
  <c r="J16" i="9"/>
  <c r="I16" i="9"/>
  <c r="H16" i="9"/>
  <c r="G16" i="9"/>
  <c r="F16" i="9"/>
  <c r="E16" i="9"/>
  <c r="C12" i="1"/>
  <c r="H13" i="23"/>
  <c r="I13" i="23" s="1"/>
  <c r="H34" i="23"/>
  <c r="H17" i="23"/>
  <c r="I17" i="23" s="1"/>
  <c r="H16" i="23"/>
  <c r="H14" i="23"/>
  <c r="I14" i="23" s="1"/>
  <c r="H15" i="23"/>
  <c r="I15" i="23" s="1"/>
  <c r="G10" i="23"/>
  <c r="F10" i="23"/>
  <c r="E10" i="23"/>
  <c r="D10" i="23"/>
  <c r="E39" i="9" l="1"/>
  <c r="H10" i="23"/>
  <c r="H28" i="23"/>
  <c r="I28" i="23" s="1"/>
  <c r="C39" i="1"/>
  <c r="G26" i="23"/>
  <c r="N19" i="1"/>
  <c r="N4" i="1" s="1"/>
  <c r="M19" i="1"/>
  <c r="M4" i="1" s="1"/>
  <c r="L19" i="1"/>
  <c r="L4" i="1" s="1"/>
  <c r="K19" i="1"/>
  <c r="K4" i="1" s="1"/>
  <c r="J19" i="1"/>
  <c r="J4" i="1" s="1"/>
  <c r="I19" i="1"/>
  <c r="I4" i="1" s="1"/>
  <c r="H19" i="1"/>
  <c r="H4" i="1" s="1"/>
  <c r="G19" i="1"/>
  <c r="G4" i="1" s="1"/>
  <c r="F19" i="1"/>
  <c r="F4" i="1" s="1"/>
  <c r="E19" i="1"/>
  <c r="E4" i="1" s="1"/>
  <c r="M30" i="10"/>
  <c r="L30" i="10"/>
  <c r="K30" i="10"/>
  <c r="J30" i="10"/>
  <c r="I30" i="10"/>
  <c r="H30" i="10"/>
  <c r="G30" i="10"/>
  <c r="F30" i="10"/>
  <c r="E30" i="10"/>
  <c r="D30" i="10"/>
  <c r="B9" i="10"/>
  <c r="B30" i="10" s="1"/>
  <c r="C31" i="1"/>
  <c r="C9" i="10" s="1"/>
  <c r="C30" i="10" s="1"/>
  <c r="E15" i="13"/>
  <c r="F15" i="13" s="1"/>
  <c r="G15" i="13" s="1"/>
  <c r="H15" i="13" s="1"/>
  <c r="I15" i="13" s="1"/>
  <c r="J15" i="13" s="1"/>
  <c r="K15" i="13" s="1"/>
  <c r="L15" i="13" s="1"/>
  <c r="M15" i="13" s="1"/>
  <c r="D15" i="13"/>
  <c r="E18" i="11"/>
  <c r="F18" i="11" s="1"/>
  <c r="G18" i="11" s="1"/>
  <c r="H18" i="11" s="1"/>
  <c r="I18" i="11" s="1"/>
  <c r="J18" i="11" s="1"/>
  <c r="K18" i="11" s="1"/>
  <c r="L18" i="11" s="1"/>
  <c r="M18" i="11" s="1"/>
  <c r="N18" i="11" s="1"/>
  <c r="D15" i="12"/>
  <c r="E15" i="12" s="1"/>
  <c r="F15" i="12" s="1"/>
  <c r="G15" i="12" s="1"/>
  <c r="H15" i="12" s="1"/>
  <c r="I15" i="12" s="1"/>
  <c r="J15" i="12" s="1"/>
  <c r="K15" i="12" s="1"/>
  <c r="L15" i="12" s="1"/>
  <c r="M15" i="12" s="1"/>
  <c r="M33" i="10"/>
  <c r="L33" i="10"/>
  <c r="K33" i="10"/>
  <c r="J33" i="10"/>
  <c r="I33" i="10"/>
  <c r="H33" i="10"/>
  <c r="G33" i="10"/>
  <c r="F33" i="10"/>
  <c r="E33" i="10"/>
  <c r="D33" i="10"/>
  <c r="B33" i="10"/>
  <c r="M32" i="10"/>
  <c r="L32" i="10"/>
  <c r="K32" i="10"/>
  <c r="J32" i="10"/>
  <c r="I32" i="10"/>
  <c r="H32" i="10"/>
  <c r="G32" i="10"/>
  <c r="F32" i="10"/>
  <c r="E32" i="10"/>
  <c r="D32" i="10"/>
  <c r="B32" i="10"/>
  <c r="F14" i="9"/>
  <c r="E7" i="3"/>
  <c r="D13" i="21" l="1"/>
  <c r="C11" i="1" l="1"/>
  <c r="E6" i="7"/>
  <c r="E7" i="7" s="1"/>
  <c r="E8" i="7" s="1"/>
  <c r="E9" i="7" s="1"/>
  <c r="E10" i="7" s="1"/>
  <c r="E11" i="7" s="1"/>
  <c r="E12" i="7" s="1"/>
  <c r="E13" i="7" s="1"/>
  <c r="E14" i="7" s="1"/>
  <c r="E15" i="7" s="1"/>
  <c r="E16" i="7" s="1"/>
  <c r="I16" i="23"/>
  <c r="I18" i="23"/>
  <c r="H27" i="23"/>
  <c r="I27" i="23" s="1"/>
  <c r="H36" i="23"/>
  <c r="H35" i="23"/>
  <c r="H42" i="23" s="1"/>
  <c r="D26" i="1" s="1"/>
  <c r="H24" i="23"/>
  <c r="H25" i="23"/>
  <c r="I25" i="23" s="1"/>
  <c r="H30" i="23"/>
  <c r="I30" i="23" s="1"/>
  <c r="H33" i="23"/>
  <c r="H43" i="23"/>
  <c r="H31" i="23"/>
  <c r="I31" i="23" s="1"/>
  <c r="H29" i="23"/>
  <c r="I29" i="23" s="1"/>
  <c r="H26" i="23"/>
  <c r="I26" i="23" s="1"/>
  <c r="G12" i="23"/>
  <c r="F12" i="23"/>
  <c r="E12" i="23"/>
  <c r="D12" i="23"/>
  <c r="H4" i="23"/>
  <c r="I4" i="23" s="1"/>
  <c r="G9" i="23"/>
  <c r="F9" i="23"/>
  <c r="E9" i="23"/>
  <c r="D9" i="23"/>
  <c r="G8" i="23"/>
  <c r="F8" i="23"/>
  <c r="E8" i="23"/>
  <c r="D8" i="23"/>
  <c r="H3" i="23"/>
  <c r="I3" i="23" s="1"/>
  <c r="H5" i="23"/>
  <c r="I5" i="23" s="1"/>
  <c r="H6" i="23"/>
  <c r="I6" i="23" s="1"/>
  <c r="H7" i="23"/>
  <c r="I7" i="23" s="1"/>
  <c r="I10" i="23"/>
  <c r="H11" i="23"/>
  <c r="I11" i="23" s="1"/>
  <c r="C35" i="1"/>
  <c r="C12" i="10" s="1"/>
  <c r="C33" i="10" s="1"/>
  <c r="C34" i="1"/>
  <c r="C11" i="10" s="1"/>
  <c r="C32" i="10" s="1"/>
  <c r="C33" i="1"/>
  <c r="C46" i="1" s="1"/>
  <c r="G19" i="22"/>
  <c r="G18" i="22"/>
  <c r="G17" i="22"/>
  <c r="G16" i="22"/>
  <c r="G15" i="22"/>
  <c r="G14" i="22"/>
  <c r="G13" i="22"/>
  <c r="B13" i="22"/>
  <c r="B14" i="22" s="1"/>
  <c r="B15" i="22" s="1"/>
  <c r="B16" i="22" s="1"/>
  <c r="B17" i="22" s="1"/>
  <c r="B18" i="22" s="1"/>
  <c r="B19" i="22" s="1"/>
  <c r="G30" i="22"/>
  <c r="G29" i="22"/>
  <c r="G28" i="22"/>
  <c r="G12" i="22"/>
  <c r="G11" i="22"/>
  <c r="G10" i="22"/>
  <c r="G9" i="22"/>
  <c r="G8" i="22"/>
  <c r="G27" i="22"/>
  <c r="G7" i="22"/>
  <c r="G6" i="22"/>
  <c r="G5" i="22"/>
  <c r="G4" i="22"/>
  <c r="G3" i="22"/>
  <c r="G22" i="22" s="1"/>
  <c r="J25" i="23" l="1"/>
  <c r="H32" i="23"/>
  <c r="H44" i="23" s="1"/>
  <c r="H12" i="23"/>
  <c r="I12" i="23" s="1"/>
  <c r="H8" i="23"/>
  <c r="H9" i="23"/>
  <c r="I9" i="23" s="1"/>
  <c r="D6" i="21"/>
  <c r="C32" i="1" s="1"/>
  <c r="C45" i="1" s="1"/>
  <c r="G32" i="22"/>
  <c r="D5" i="21" s="1"/>
  <c r="C30" i="1" s="1"/>
  <c r="C4" i="25" l="1"/>
  <c r="C10" i="25"/>
  <c r="D10" i="25" s="1"/>
  <c r="D11" i="25" s="1"/>
  <c r="C43" i="1"/>
  <c r="D61" i="1"/>
  <c r="H19" i="23"/>
  <c r="I8" i="23"/>
  <c r="D11" i="21"/>
  <c r="D15" i="21" s="1"/>
  <c r="E10" i="25" l="1"/>
  <c r="E11" i="25"/>
  <c r="L4" i="25"/>
  <c r="H4" i="25"/>
  <c r="D4" i="25"/>
  <c r="K4" i="25"/>
  <c r="G4" i="25"/>
  <c r="I4" i="25"/>
  <c r="J4" i="25"/>
  <c r="F4" i="25"/>
  <c r="E4" i="25"/>
  <c r="M4" i="25"/>
  <c r="I19" i="23"/>
  <c r="J19" i="23" s="1"/>
  <c r="F10" i="25" l="1"/>
  <c r="F11" i="25" s="1"/>
  <c r="D17" i="1"/>
  <c r="K19" i="23"/>
  <c r="D23" i="1"/>
  <c r="F7" i="9" s="1"/>
  <c r="F12" i="14"/>
  <c r="G12" i="14" s="1"/>
  <c r="H12" i="14" s="1"/>
  <c r="I12" i="14" s="1"/>
  <c r="J12" i="14" s="1"/>
  <c r="E23" i="14" s="1"/>
  <c r="F23" i="14" s="1"/>
  <c r="G23" i="14" s="1"/>
  <c r="H23" i="14" s="1"/>
  <c r="I23" i="14" s="1"/>
  <c r="F10" i="9"/>
  <c r="F9" i="9"/>
  <c r="C10" i="1"/>
  <c r="C44" i="1" s="1"/>
  <c r="C47" i="1" s="1"/>
  <c r="D9" i="15" s="1"/>
  <c r="E4" i="15"/>
  <c r="F4" i="15" s="1"/>
  <c r="G4" i="15" s="1"/>
  <c r="H4" i="15" s="1"/>
  <c r="I4" i="15" s="1"/>
  <c r="D21" i="15" s="1"/>
  <c r="E21" i="15" s="1"/>
  <c r="F21" i="15" s="1"/>
  <c r="G21" i="15" s="1"/>
  <c r="H21" i="15" s="1"/>
  <c r="F26" i="9"/>
  <c r="G26" i="9" s="1"/>
  <c r="H26" i="9" s="1"/>
  <c r="I26" i="9" s="1"/>
  <c r="J26" i="9" s="1"/>
  <c r="K26" i="9" s="1"/>
  <c r="L26" i="9" s="1"/>
  <c r="M26" i="9" s="1"/>
  <c r="N26" i="9" s="1"/>
  <c r="O26" i="9" s="1"/>
  <c r="Q2" i="9"/>
  <c r="AC2" i="9" s="1"/>
  <c r="G10" i="25" l="1"/>
  <c r="G11" i="25"/>
  <c r="G7" i="9"/>
  <c r="H7" i="9" s="1"/>
  <c r="I7" i="9" s="1"/>
  <c r="J7" i="9" s="1"/>
  <c r="K7" i="9" s="1"/>
  <c r="L7" i="9" s="1"/>
  <c r="M7" i="9" s="1"/>
  <c r="N7" i="9" s="1"/>
  <c r="O7" i="9" s="1"/>
  <c r="P7" i="9" s="1"/>
  <c r="D16" i="1"/>
  <c r="D15" i="1" s="1"/>
  <c r="L19" i="23"/>
  <c r="E17" i="1"/>
  <c r="F5" i="9"/>
  <c r="F11" i="9" s="1"/>
  <c r="H10" i="25" l="1"/>
  <c r="H11" i="25"/>
  <c r="M19" i="23"/>
  <c r="F17" i="1"/>
  <c r="C12" i="8"/>
  <c r="AB10" i="3"/>
  <c r="AN10" i="3" s="1"/>
  <c r="AZ10" i="3" s="1"/>
  <c r="BL10" i="3" s="1"/>
  <c r="BX10" i="3" s="1"/>
  <c r="CJ10" i="3" s="1"/>
  <c r="CV10" i="3" s="1"/>
  <c r="DH10" i="3" s="1"/>
  <c r="P10" i="3"/>
  <c r="I2" i="3"/>
  <c r="I10" i="25" l="1"/>
  <c r="I11" i="25"/>
  <c r="C4" i="3"/>
  <c r="C9" i="3" s="1"/>
  <c r="J2" i="3"/>
  <c r="N19" i="23"/>
  <c r="G17" i="1"/>
  <c r="G16" i="1" s="1"/>
  <c r="G23" i="1"/>
  <c r="AO7" i="9" s="1"/>
  <c r="F1" i="1"/>
  <c r="G1" i="1" s="1"/>
  <c r="H1" i="1" s="1"/>
  <c r="I1" i="1" s="1"/>
  <c r="J1" i="1" s="1"/>
  <c r="K1" i="1" s="1"/>
  <c r="L1" i="1" s="1"/>
  <c r="M1" i="1" s="1"/>
  <c r="N1" i="1" s="1"/>
  <c r="J10" i="25" l="1"/>
  <c r="J11" i="25" s="1"/>
  <c r="G15" i="1"/>
  <c r="AP7" i="9"/>
  <c r="AQ7" i="9" s="1"/>
  <c r="AR7" i="9" s="1"/>
  <c r="AS7" i="9" s="1"/>
  <c r="AT7" i="9" s="1"/>
  <c r="AU7" i="9" s="1"/>
  <c r="AV7" i="9" s="1"/>
  <c r="AW7" i="9" s="1"/>
  <c r="AX7" i="9" s="1"/>
  <c r="AY7" i="9" s="1"/>
  <c r="AZ7" i="9" s="1"/>
  <c r="O19" i="23"/>
  <c r="H23" i="1"/>
  <c r="BA7" i="9" s="1"/>
  <c r="H17" i="1"/>
  <c r="H16" i="1" s="1"/>
  <c r="K10" i="25" l="1"/>
  <c r="K11" i="25"/>
  <c r="H15" i="1"/>
  <c r="BB7" i="9"/>
  <c r="BC7" i="9" s="1"/>
  <c r="BD7" i="9" s="1"/>
  <c r="BE7" i="9" s="1"/>
  <c r="BF7" i="9" s="1"/>
  <c r="BG7" i="9" s="1"/>
  <c r="BH7" i="9" s="1"/>
  <c r="BI7" i="9" s="1"/>
  <c r="BJ7" i="9" s="1"/>
  <c r="BK7" i="9" s="1"/>
  <c r="BL7" i="9" s="1"/>
  <c r="P19" i="23"/>
  <c r="I23" i="1"/>
  <c r="BM7" i="9" s="1"/>
  <c r="I17" i="1"/>
  <c r="I16" i="1" s="1"/>
  <c r="L10" i="25" l="1"/>
  <c r="L11" i="25" s="1"/>
  <c r="M10" i="25" s="1"/>
  <c r="M11" i="25" s="1"/>
  <c r="I15" i="1"/>
  <c r="BN7" i="9"/>
  <c r="BO7" i="9" s="1"/>
  <c r="BP7" i="9" s="1"/>
  <c r="BQ7" i="9" s="1"/>
  <c r="BR7" i="9" s="1"/>
  <c r="BS7" i="9" s="1"/>
  <c r="BT7" i="9" s="1"/>
  <c r="BU7" i="9" s="1"/>
  <c r="BV7" i="9" s="1"/>
  <c r="BW7" i="9" s="1"/>
  <c r="BX7" i="9" s="1"/>
  <c r="Q19" i="23"/>
  <c r="J17" i="1"/>
  <c r="J16" i="1" s="1"/>
  <c r="J23" i="1"/>
  <c r="BY7" i="9" s="1"/>
  <c r="BZ7" i="9" s="1"/>
  <c r="CA7" i="9" s="1"/>
  <c r="J15" i="1" l="1"/>
  <c r="CB7" i="9"/>
  <c r="CC7" i="9" s="1"/>
  <c r="CD7" i="9" s="1"/>
  <c r="CE7" i="9" s="1"/>
  <c r="CF7" i="9" s="1"/>
  <c r="CG7" i="9" s="1"/>
  <c r="CH7" i="9" s="1"/>
  <c r="CI7" i="9" s="1"/>
  <c r="CJ7" i="9" s="1"/>
  <c r="R19" i="23"/>
  <c r="K17" i="1"/>
  <c r="K16" i="1" s="1"/>
  <c r="K23" i="1"/>
  <c r="CK7" i="9" s="1"/>
  <c r="K15" i="1" l="1"/>
  <c r="CL7" i="9"/>
  <c r="CM7" i="9" s="1"/>
  <c r="CN7" i="9" s="1"/>
  <c r="CO7" i="9" s="1"/>
  <c r="CP7" i="9" s="1"/>
  <c r="CQ7" i="9" s="1"/>
  <c r="CR7" i="9" s="1"/>
  <c r="CS7" i="9" s="1"/>
  <c r="CT7" i="9" s="1"/>
  <c r="CU7" i="9" s="1"/>
  <c r="CV7" i="9" s="1"/>
  <c r="S19" i="23"/>
  <c r="L23" i="1"/>
  <c r="CW7" i="9" s="1"/>
  <c r="L17" i="1"/>
  <c r="L16" i="1" s="1"/>
  <c r="L15" i="1" l="1"/>
  <c r="CX7" i="9"/>
  <c r="CY7" i="9" s="1"/>
  <c r="CZ7" i="9" s="1"/>
  <c r="DA7" i="9" s="1"/>
  <c r="DB7" i="9" s="1"/>
  <c r="DC7" i="9" s="1"/>
  <c r="DD7" i="9" s="1"/>
  <c r="DE7" i="9" s="1"/>
  <c r="DF7" i="9" s="1"/>
  <c r="DG7" i="9" s="1"/>
  <c r="DH7" i="9" s="1"/>
  <c r="T19" i="23"/>
  <c r="M23" i="1"/>
  <c r="M17" i="1"/>
  <c r="M16" i="1" s="1"/>
  <c r="M15" i="1" l="1"/>
  <c r="N23" i="1"/>
  <c r="N17" i="1"/>
  <c r="N16" i="1" s="1"/>
  <c r="N15" i="1" l="1"/>
  <c r="B28" i="10"/>
  <c r="D32" i="9"/>
  <c r="E23" i="1" l="1"/>
  <c r="Q7" i="9" s="1"/>
  <c r="E16" i="1"/>
  <c r="C26" i="10"/>
  <c r="E15" i="1" l="1"/>
  <c r="F23" i="1"/>
  <c r="AC7" i="9" s="1"/>
  <c r="F16" i="1"/>
  <c r="R7" i="9"/>
  <c r="S7" i="9" s="1"/>
  <c r="T7" i="9" s="1"/>
  <c r="U7" i="9" s="1"/>
  <c r="V7" i="9" s="1"/>
  <c r="W7" i="9" s="1"/>
  <c r="X7" i="9" s="1"/>
  <c r="Y7" i="9" s="1"/>
  <c r="Z7" i="9" s="1"/>
  <c r="AA7" i="9" s="1"/>
  <c r="AB7" i="9" s="1"/>
  <c r="F15" i="1" l="1"/>
  <c r="AD7" i="9"/>
  <c r="AE7" i="9" s="1"/>
  <c r="AF7" i="9" s="1"/>
  <c r="AG7" i="9" s="1"/>
  <c r="AH7" i="9" s="1"/>
  <c r="AI7" i="9" s="1"/>
  <c r="AJ7" i="9" s="1"/>
  <c r="AK7" i="9" s="1"/>
  <c r="AL7" i="9" s="1"/>
  <c r="AM7" i="9" s="1"/>
  <c r="AN7" i="9" s="1"/>
  <c r="B20" i="13" l="1"/>
  <c r="B21" i="12"/>
  <c r="C23" i="11"/>
  <c r="C25" i="11"/>
  <c r="C26" i="11"/>
  <c r="E3" i="10"/>
  <c r="B36" i="10"/>
  <c r="M31" i="10"/>
  <c r="L31" i="10"/>
  <c r="K31" i="10"/>
  <c r="J31" i="10"/>
  <c r="I31" i="10"/>
  <c r="H31" i="10"/>
  <c r="G31" i="10"/>
  <c r="F31" i="10"/>
  <c r="E31" i="10"/>
  <c r="D31" i="10"/>
  <c r="M29" i="10"/>
  <c r="L29" i="10"/>
  <c r="K29" i="10"/>
  <c r="J29" i="10"/>
  <c r="I29" i="10"/>
  <c r="H29" i="10"/>
  <c r="G29" i="10"/>
  <c r="F29" i="10"/>
  <c r="E29" i="10"/>
  <c r="D29" i="10"/>
  <c r="L26" i="10"/>
  <c r="K26" i="10"/>
  <c r="J26" i="10"/>
  <c r="I26" i="10"/>
  <c r="H26" i="10"/>
  <c r="G26" i="10"/>
  <c r="F26" i="10"/>
  <c r="E26" i="10"/>
  <c r="D26" i="10"/>
  <c r="L25" i="10"/>
  <c r="K25" i="10"/>
  <c r="J25" i="10"/>
  <c r="I25" i="10"/>
  <c r="H25" i="10"/>
  <c r="G25" i="10"/>
  <c r="F25" i="10"/>
  <c r="E25" i="10"/>
  <c r="D25" i="10"/>
  <c r="C25" i="10"/>
  <c r="B25" i="10"/>
  <c r="B24" i="10"/>
  <c r="M22" i="10"/>
  <c r="L22" i="10"/>
  <c r="K22" i="10"/>
  <c r="J22" i="10"/>
  <c r="I22" i="10"/>
  <c r="H22" i="10"/>
  <c r="G22" i="10"/>
  <c r="F22" i="10"/>
  <c r="E22" i="10"/>
  <c r="D22" i="10"/>
  <c r="C22" i="10"/>
  <c r="E40" i="9"/>
  <c r="D42" i="9"/>
  <c r="D40" i="9"/>
  <c r="D29" i="9"/>
  <c r="D30" i="9"/>
  <c r="D31" i="9"/>
  <c r="D33" i="9"/>
  <c r="D34" i="9"/>
  <c r="D35" i="9"/>
  <c r="D36" i="9"/>
  <c r="D37" i="9"/>
  <c r="D38" i="9"/>
  <c r="D28" i="9"/>
  <c r="B5" i="13" l="1"/>
  <c r="B18" i="13" s="1"/>
  <c r="B4" i="13"/>
  <c r="B17" i="13" s="1"/>
  <c r="DS4" i="12"/>
  <c r="DT4" i="12"/>
  <c r="DU4" i="12"/>
  <c r="DV4" i="12"/>
  <c r="DW4" i="12"/>
  <c r="DX4" i="12"/>
  <c r="DY4" i="12"/>
  <c r="DZ4" i="12"/>
  <c r="EA4" i="12"/>
  <c r="EB4" i="12"/>
  <c r="EC4" i="12"/>
  <c r="ED4" i="12"/>
  <c r="DS5" i="12"/>
  <c r="DT5" i="12"/>
  <c r="DT6" i="12" s="1"/>
  <c r="DT8" i="12" s="1"/>
  <c r="DT5" i="13" s="1"/>
  <c r="DU5" i="12"/>
  <c r="DV5" i="12"/>
  <c r="DW5" i="12"/>
  <c r="DX5" i="12"/>
  <c r="DY5" i="12"/>
  <c r="DZ5" i="12"/>
  <c r="EA5" i="12"/>
  <c r="EB5" i="12"/>
  <c r="EC5" i="12"/>
  <c r="ED5" i="12"/>
  <c r="B6" i="12"/>
  <c r="B19" i="12" s="1"/>
  <c r="B5" i="12"/>
  <c r="B18" i="12" s="1"/>
  <c r="B4" i="12"/>
  <c r="C5" i="11"/>
  <c r="C21" i="11" s="1"/>
  <c r="C4" i="11"/>
  <c r="C20" i="11" s="1"/>
  <c r="D7" i="10"/>
  <c r="E7" i="10"/>
  <c r="F7" i="10"/>
  <c r="G7" i="10"/>
  <c r="H7" i="10"/>
  <c r="I7" i="10"/>
  <c r="J7" i="10"/>
  <c r="K7" i="10"/>
  <c r="L7" i="10"/>
  <c r="M7" i="10"/>
  <c r="N7" i="10"/>
  <c r="O7" i="10"/>
  <c r="P7" i="10"/>
  <c r="Q7" i="10"/>
  <c r="R7" i="10"/>
  <c r="S7" i="10"/>
  <c r="T7" i="10"/>
  <c r="U7" i="10"/>
  <c r="V7" i="10"/>
  <c r="W7" i="10"/>
  <c r="X7" i="10"/>
  <c r="Y7" i="10"/>
  <c r="Z7" i="10"/>
  <c r="AA7" i="10"/>
  <c r="AB7" i="10"/>
  <c r="AC7" i="10"/>
  <c r="AD7" i="10"/>
  <c r="AE7" i="10"/>
  <c r="AF7" i="10"/>
  <c r="AG7" i="10"/>
  <c r="AH7" i="10"/>
  <c r="AI7" i="10"/>
  <c r="AJ7" i="10"/>
  <c r="AK7" i="10"/>
  <c r="AL7" i="10"/>
  <c r="AM7" i="10"/>
  <c r="AN7" i="10"/>
  <c r="AO7" i="10"/>
  <c r="AP7" i="10"/>
  <c r="AQ7" i="10"/>
  <c r="AR7" i="10"/>
  <c r="AS7" i="10"/>
  <c r="AT7" i="10"/>
  <c r="AU7" i="10"/>
  <c r="AV7" i="10"/>
  <c r="AW7" i="10"/>
  <c r="AX7" i="10"/>
  <c r="AY7" i="10"/>
  <c r="AZ7" i="10"/>
  <c r="BA7" i="10"/>
  <c r="BB7" i="10"/>
  <c r="BC7" i="10"/>
  <c r="BD7" i="10"/>
  <c r="BE7" i="10"/>
  <c r="BF7" i="10"/>
  <c r="BG7" i="10"/>
  <c r="BH7" i="10"/>
  <c r="BI7" i="10"/>
  <c r="BJ7" i="10"/>
  <c r="BK7" i="10"/>
  <c r="BL7" i="10"/>
  <c r="BM7" i="10"/>
  <c r="BN7" i="10"/>
  <c r="BO7" i="10"/>
  <c r="BP7" i="10"/>
  <c r="BQ7" i="10"/>
  <c r="BR7" i="10"/>
  <c r="BS7" i="10"/>
  <c r="BT7" i="10"/>
  <c r="BU7" i="10"/>
  <c r="BV7" i="10"/>
  <c r="BW7" i="10"/>
  <c r="BX7" i="10"/>
  <c r="BY7" i="10"/>
  <c r="BZ7" i="10"/>
  <c r="CA7" i="10"/>
  <c r="CB7" i="10"/>
  <c r="CC7" i="10"/>
  <c r="CD7" i="10"/>
  <c r="CE7" i="10"/>
  <c r="CF7" i="10"/>
  <c r="CG7" i="10"/>
  <c r="CH7" i="10"/>
  <c r="CI7" i="10"/>
  <c r="CJ7" i="10"/>
  <c r="CK7" i="10"/>
  <c r="CL7" i="10"/>
  <c r="CM7" i="10"/>
  <c r="CN7" i="10"/>
  <c r="CO7" i="10"/>
  <c r="CP7" i="10"/>
  <c r="CQ7" i="10"/>
  <c r="CR7" i="10"/>
  <c r="CS7" i="10"/>
  <c r="CT7" i="10"/>
  <c r="CU7" i="10"/>
  <c r="CV7" i="10"/>
  <c r="CW7" i="10"/>
  <c r="CX7" i="10"/>
  <c r="CY7" i="10"/>
  <c r="CZ7" i="10"/>
  <c r="DA7" i="10"/>
  <c r="DB7" i="10"/>
  <c r="DC7" i="10"/>
  <c r="DD7" i="10"/>
  <c r="DE7" i="10"/>
  <c r="DF7" i="10"/>
  <c r="DG7" i="10"/>
  <c r="DH7" i="10"/>
  <c r="DI7" i="10"/>
  <c r="DJ7" i="10"/>
  <c r="DK7" i="10"/>
  <c r="DL7" i="10"/>
  <c r="DM7" i="10"/>
  <c r="DN7" i="10"/>
  <c r="DO7" i="10"/>
  <c r="DP7" i="10"/>
  <c r="DQ7" i="10"/>
  <c r="DR7" i="10"/>
  <c r="DS7" i="10"/>
  <c r="DT7" i="10"/>
  <c r="DU7" i="10"/>
  <c r="DV7" i="10"/>
  <c r="DW7" i="10"/>
  <c r="DX7" i="10"/>
  <c r="DY7" i="10"/>
  <c r="DZ7" i="10"/>
  <c r="EA7" i="10"/>
  <c r="EB7" i="10"/>
  <c r="EC7" i="10"/>
  <c r="ED7" i="10"/>
  <c r="B10" i="10"/>
  <c r="B31" i="10" s="1"/>
  <c r="B13" i="10"/>
  <c r="B34" i="10" s="1"/>
  <c r="B8" i="10"/>
  <c r="B29" i="10" s="1"/>
  <c r="D3" i="10"/>
  <c r="E15" i="10"/>
  <c r="F4" i="11" s="1"/>
  <c r="F3" i="10"/>
  <c r="G3" i="10"/>
  <c r="H3" i="10"/>
  <c r="I3" i="10"/>
  <c r="J3" i="10"/>
  <c r="K3" i="10"/>
  <c r="L3" i="10"/>
  <c r="M3" i="10"/>
  <c r="M15" i="10" s="1"/>
  <c r="N4" i="11" s="1"/>
  <c r="N3" i="10"/>
  <c r="O3" i="10"/>
  <c r="P3" i="10"/>
  <c r="Q3" i="10"/>
  <c r="Q15" i="10" s="1"/>
  <c r="R4" i="11" s="1"/>
  <c r="R3" i="10"/>
  <c r="S3" i="10"/>
  <c r="T3" i="10"/>
  <c r="U3" i="10"/>
  <c r="U15" i="10" s="1"/>
  <c r="V4" i="11" s="1"/>
  <c r="V3" i="10"/>
  <c r="W3" i="10"/>
  <c r="X3" i="10"/>
  <c r="Y3" i="10"/>
  <c r="Z3" i="10"/>
  <c r="AA3" i="10"/>
  <c r="AB3" i="10"/>
  <c r="AC3" i="10"/>
  <c r="AC15" i="10" s="1"/>
  <c r="AD4" i="11" s="1"/>
  <c r="AD3" i="10"/>
  <c r="AE3" i="10"/>
  <c r="AF3" i="10"/>
  <c r="AG3" i="10"/>
  <c r="AG15" i="10" s="1"/>
  <c r="AH4" i="11" s="1"/>
  <c r="AH3" i="10"/>
  <c r="AI3" i="10"/>
  <c r="AJ3" i="10"/>
  <c r="AK3" i="10"/>
  <c r="AK15" i="10" s="1"/>
  <c r="AL4" i="11" s="1"/>
  <c r="AL3" i="10"/>
  <c r="AM3" i="10"/>
  <c r="AN3" i="10"/>
  <c r="AO3" i="10"/>
  <c r="AP3" i="10"/>
  <c r="AQ3" i="10"/>
  <c r="AR3" i="10"/>
  <c r="AS3" i="10"/>
  <c r="AS15" i="10" s="1"/>
  <c r="AT4" i="11" s="1"/>
  <c r="AT3" i="10"/>
  <c r="AU3" i="10"/>
  <c r="AV3" i="10"/>
  <c r="AW3" i="10"/>
  <c r="AW15" i="10" s="1"/>
  <c r="AX4" i="11" s="1"/>
  <c r="AX3" i="10"/>
  <c r="AY3" i="10"/>
  <c r="AZ3" i="10"/>
  <c r="BA3" i="10"/>
  <c r="BA15" i="10" s="1"/>
  <c r="BB4" i="11" s="1"/>
  <c r="BB3" i="10"/>
  <c r="BC3" i="10"/>
  <c r="BD3" i="10"/>
  <c r="BE3" i="10"/>
  <c r="BF3" i="10"/>
  <c r="BG3" i="10"/>
  <c r="BH3" i="10"/>
  <c r="BI3" i="10"/>
  <c r="BI15" i="10" s="1"/>
  <c r="BJ4" i="11" s="1"/>
  <c r="BJ3" i="10"/>
  <c r="BK3" i="10"/>
  <c r="BL3" i="10"/>
  <c r="BM3" i="10"/>
  <c r="BM15" i="10" s="1"/>
  <c r="BN4" i="11" s="1"/>
  <c r="BN3" i="10"/>
  <c r="BO3" i="10"/>
  <c r="BP3" i="10"/>
  <c r="BQ3" i="10"/>
  <c r="BQ15" i="10" s="1"/>
  <c r="BR4" i="11" s="1"/>
  <c r="BR3" i="10"/>
  <c r="BS3" i="10"/>
  <c r="BT3" i="10"/>
  <c r="BU3" i="10"/>
  <c r="BV3" i="10"/>
  <c r="BW3" i="10"/>
  <c r="BX3" i="10"/>
  <c r="BY3" i="10"/>
  <c r="BY15" i="10" s="1"/>
  <c r="BZ4" i="11" s="1"/>
  <c r="BZ3" i="10"/>
  <c r="CA3" i="10"/>
  <c r="CB3" i="10"/>
  <c r="CC3" i="10"/>
  <c r="CD3" i="10"/>
  <c r="CE3" i="10"/>
  <c r="CF3" i="10"/>
  <c r="CG3" i="10"/>
  <c r="CG15" i="10" s="1"/>
  <c r="CH4" i="11" s="1"/>
  <c r="CH3" i="10"/>
  <c r="CI3" i="10"/>
  <c r="CJ3" i="10"/>
  <c r="CK3" i="10"/>
  <c r="CL3" i="10"/>
  <c r="CM3" i="10"/>
  <c r="CN3" i="10"/>
  <c r="CO3" i="10"/>
  <c r="CO15" i="10" s="1"/>
  <c r="CP4" i="11" s="1"/>
  <c r="CP3" i="10"/>
  <c r="CQ3" i="10"/>
  <c r="CR3" i="10"/>
  <c r="CS3" i="10"/>
  <c r="CT3" i="10"/>
  <c r="CU3" i="10"/>
  <c r="CV3" i="10"/>
  <c r="CW3" i="10"/>
  <c r="CW15" i="10" s="1"/>
  <c r="CX4" i="11" s="1"/>
  <c r="CX3" i="10"/>
  <c r="CY3" i="10"/>
  <c r="CZ3" i="10"/>
  <c r="DA3" i="10"/>
  <c r="DB3" i="10"/>
  <c r="DC3" i="10"/>
  <c r="DD3" i="10"/>
  <c r="DE3" i="10"/>
  <c r="DE15" i="10" s="1"/>
  <c r="DF4" i="11" s="1"/>
  <c r="DF3" i="10"/>
  <c r="DG3" i="10"/>
  <c r="DH3" i="10"/>
  <c r="DI3" i="10"/>
  <c r="DJ3" i="10"/>
  <c r="DK3" i="10"/>
  <c r="DL3" i="10"/>
  <c r="DM3" i="10"/>
  <c r="DM15" i="10" s="1"/>
  <c r="DN4" i="11" s="1"/>
  <c r="DN3" i="10"/>
  <c r="DO3" i="10"/>
  <c r="DP3" i="10"/>
  <c r="DQ3" i="10"/>
  <c r="DR3" i="10"/>
  <c r="DS3" i="10"/>
  <c r="DT3" i="10"/>
  <c r="DU3" i="10"/>
  <c r="DU15" i="10" s="1"/>
  <c r="DV4" i="11" s="1"/>
  <c r="DV3" i="10"/>
  <c r="DW3" i="10"/>
  <c r="DX3" i="10"/>
  <c r="DY3" i="10"/>
  <c r="DZ3" i="10"/>
  <c r="EA3" i="10"/>
  <c r="EB3" i="10"/>
  <c r="EC3" i="10"/>
  <c r="EC15" i="10" s="1"/>
  <c r="ED4" i="11" s="1"/>
  <c r="C3" i="10"/>
  <c r="B2" i="10" s="1"/>
  <c r="G9" i="9"/>
  <c r="H9" i="9"/>
  <c r="I9" i="9"/>
  <c r="J9" i="9"/>
  <c r="K9" i="9"/>
  <c r="L9" i="9"/>
  <c r="M9" i="9"/>
  <c r="N9" i="9"/>
  <c r="O9" i="9"/>
  <c r="P9" i="9"/>
  <c r="E9" i="9"/>
  <c r="E26" i="1"/>
  <c r="S9" i="9" l="1"/>
  <c r="R9" i="9"/>
  <c r="T9" i="9"/>
  <c r="U9" i="9"/>
  <c r="V9" i="9"/>
  <c r="X9" i="9"/>
  <c r="Y9" i="9"/>
  <c r="Z9" i="9"/>
  <c r="AB9" i="9"/>
  <c r="Q9" i="9"/>
  <c r="F26" i="1"/>
  <c r="AJ9" i="9" s="1"/>
  <c r="DX15" i="10"/>
  <c r="DY4" i="11" s="1"/>
  <c r="DP15" i="10"/>
  <c r="DQ4" i="11" s="1"/>
  <c r="DH15" i="10"/>
  <c r="DI4" i="11" s="1"/>
  <c r="CZ15" i="10"/>
  <c r="DA4" i="11" s="1"/>
  <c r="CR15" i="10"/>
  <c r="CS4" i="11" s="1"/>
  <c r="CJ15" i="10"/>
  <c r="CK4" i="11" s="1"/>
  <c r="CB15" i="10"/>
  <c r="CC4" i="11" s="1"/>
  <c r="B17" i="12"/>
  <c r="AA9" i="9"/>
  <c r="W9" i="9"/>
  <c r="E32" i="9"/>
  <c r="EB6" i="12"/>
  <c r="EB8" i="12" s="1"/>
  <c r="EB5" i="13" s="1"/>
  <c r="DX6" i="12"/>
  <c r="DX8" i="12" s="1"/>
  <c r="DX5" i="13" s="1"/>
  <c r="M17" i="12"/>
  <c r="EA6" i="12"/>
  <c r="EA8" i="12" s="1"/>
  <c r="EA5" i="13" s="1"/>
  <c r="DW6" i="12"/>
  <c r="DW8" i="12" s="1"/>
  <c r="DW5" i="13" s="1"/>
  <c r="DS6" i="12"/>
  <c r="M18" i="12"/>
  <c r="ED6" i="12"/>
  <c r="ED8" i="12" s="1"/>
  <c r="ED5" i="13" s="1"/>
  <c r="DZ6" i="12"/>
  <c r="DZ8" i="12" s="1"/>
  <c r="DZ5" i="13" s="1"/>
  <c r="DV6" i="12"/>
  <c r="DV8" i="12" s="1"/>
  <c r="DV5" i="13" s="1"/>
  <c r="EC6" i="12"/>
  <c r="EC8" i="12" s="1"/>
  <c r="EC5" i="13" s="1"/>
  <c r="DY6" i="12"/>
  <c r="DY8" i="12" s="1"/>
  <c r="DY5" i="13" s="1"/>
  <c r="DU6" i="12"/>
  <c r="DU8" i="12" s="1"/>
  <c r="DU5" i="13" s="1"/>
  <c r="EB15" i="10"/>
  <c r="EC4" i="11" s="1"/>
  <c r="DT15" i="10"/>
  <c r="DU4" i="11" s="1"/>
  <c r="DL15" i="10"/>
  <c r="DM4" i="11" s="1"/>
  <c r="DD15" i="10"/>
  <c r="DE4" i="11" s="1"/>
  <c r="CV15" i="10"/>
  <c r="CW4" i="11" s="1"/>
  <c r="CN15" i="10"/>
  <c r="CO4" i="11" s="1"/>
  <c r="CF15" i="10"/>
  <c r="CG4" i="11" s="1"/>
  <c r="BX15" i="10"/>
  <c r="BY4" i="11" s="1"/>
  <c r="EA15" i="10"/>
  <c r="EB4" i="11" s="1"/>
  <c r="DW15" i="10"/>
  <c r="DX4" i="11" s="1"/>
  <c r="DS15" i="10"/>
  <c r="DT4" i="11" s="1"/>
  <c r="DO15" i="10"/>
  <c r="DP4" i="11" s="1"/>
  <c r="DK15" i="10"/>
  <c r="DL4" i="11" s="1"/>
  <c r="DG15" i="10"/>
  <c r="DH4" i="11" s="1"/>
  <c r="L24" i="10"/>
  <c r="DC15" i="10"/>
  <c r="DD4" i="11" s="1"/>
  <c r="CY15" i="10"/>
  <c r="CZ4" i="11" s="1"/>
  <c r="CU15" i="10"/>
  <c r="CV4" i="11" s="1"/>
  <c r="K24" i="10"/>
  <c r="CQ15" i="10"/>
  <c r="CR4" i="11" s="1"/>
  <c r="CM15" i="10"/>
  <c r="CN4" i="11" s="1"/>
  <c r="CI15" i="10"/>
  <c r="CJ4" i="11" s="1"/>
  <c r="J24" i="10"/>
  <c r="CE15" i="10"/>
  <c r="CF4" i="11" s="1"/>
  <c r="CA15" i="10"/>
  <c r="CB4" i="11" s="1"/>
  <c r="BW15" i="10"/>
  <c r="BX4" i="11" s="1"/>
  <c r="I24" i="10"/>
  <c r="BS15" i="10"/>
  <c r="BT4" i="11" s="1"/>
  <c r="BO15" i="10"/>
  <c r="BP4" i="11" s="1"/>
  <c r="BK15" i="10"/>
  <c r="BL4" i="11" s="1"/>
  <c r="H24" i="10"/>
  <c r="BG15" i="10"/>
  <c r="BH4" i="11" s="1"/>
  <c r="BC15" i="10"/>
  <c r="BD4" i="11" s="1"/>
  <c r="AY15" i="10"/>
  <c r="AZ4" i="11" s="1"/>
  <c r="G24" i="10"/>
  <c r="AU15" i="10"/>
  <c r="AV4" i="11" s="1"/>
  <c r="AQ15" i="10"/>
  <c r="AR4" i="11" s="1"/>
  <c r="AM15" i="10"/>
  <c r="AN4" i="11" s="1"/>
  <c r="F24" i="10"/>
  <c r="AI15" i="10"/>
  <c r="AJ4" i="11" s="1"/>
  <c r="AE15" i="10"/>
  <c r="AF4" i="11" s="1"/>
  <c r="AA15" i="10"/>
  <c r="AB4" i="11" s="1"/>
  <c r="E24" i="10"/>
  <c r="W15" i="10"/>
  <c r="X4" i="11" s="1"/>
  <c r="S15" i="10"/>
  <c r="T4" i="11" s="1"/>
  <c r="O15" i="10"/>
  <c r="P4" i="11" s="1"/>
  <c r="D24" i="10"/>
  <c r="K15" i="10"/>
  <c r="L4" i="11" s="1"/>
  <c r="G15" i="10"/>
  <c r="H4" i="11" s="1"/>
  <c r="C24" i="10"/>
  <c r="DZ15" i="10"/>
  <c r="EA4" i="11" s="1"/>
  <c r="DV15" i="10"/>
  <c r="DW4" i="11" s="1"/>
  <c r="DR15" i="10"/>
  <c r="DS4" i="11" s="1"/>
  <c r="DN15" i="10"/>
  <c r="DO4" i="11" s="1"/>
  <c r="DJ15" i="10"/>
  <c r="DK4" i="11" s="1"/>
  <c r="DF15" i="10"/>
  <c r="DG4" i="11" s="1"/>
  <c r="DB15" i="10"/>
  <c r="DC4" i="11" s="1"/>
  <c r="CX15" i="10"/>
  <c r="CY4" i="11" s="1"/>
  <c r="CT15" i="10"/>
  <c r="CU4" i="11" s="1"/>
  <c r="CP15" i="10"/>
  <c r="CQ4" i="11" s="1"/>
  <c r="CL15" i="10"/>
  <c r="CM4" i="11" s="1"/>
  <c r="CH15" i="10"/>
  <c r="CI4" i="11" s="1"/>
  <c r="CD15" i="10"/>
  <c r="CE4" i="11" s="1"/>
  <c r="BZ15" i="10"/>
  <c r="CA4" i="11" s="1"/>
  <c r="BV15" i="10"/>
  <c r="BW4" i="11" s="1"/>
  <c r="BR15" i="10"/>
  <c r="BS4" i="11" s="1"/>
  <c r="BN15" i="10"/>
  <c r="BO4" i="11" s="1"/>
  <c r="BJ15" i="10"/>
  <c r="BK4" i="11" s="1"/>
  <c r="BF15" i="10"/>
  <c r="BG4" i="11" s="1"/>
  <c r="BB15" i="10"/>
  <c r="BC4" i="11" s="1"/>
  <c r="AX15" i="10"/>
  <c r="AY4" i="11" s="1"/>
  <c r="AT15" i="10"/>
  <c r="AU4" i="11" s="1"/>
  <c r="AP15" i="10"/>
  <c r="AQ4" i="11" s="1"/>
  <c r="AL15" i="10"/>
  <c r="AM4" i="11" s="1"/>
  <c r="AH15" i="10"/>
  <c r="AI4" i="11" s="1"/>
  <c r="AD15" i="10"/>
  <c r="AE4" i="11" s="1"/>
  <c r="Z15" i="10"/>
  <c r="AA4" i="11" s="1"/>
  <c r="V15" i="10"/>
  <c r="W4" i="11" s="1"/>
  <c r="R15" i="10"/>
  <c r="S4" i="11" s="1"/>
  <c r="N15" i="10"/>
  <c r="O4" i="11" s="1"/>
  <c r="J15" i="10"/>
  <c r="K4" i="11" s="1"/>
  <c r="F15" i="10"/>
  <c r="G4" i="11" s="1"/>
  <c r="DY15" i="10"/>
  <c r="DZ4" i="11" s="1"/>
  <c r="DQ15" i="10"/>
  <c r="DR4" i="11" s="1"/>
  <c r="DI15" i="10"/>
  <c r="DJ4" i="11" s="1"/>
  <c r="DA15" i="10"/>
  <c r="DB4" i="11" s="1"/>
  <c r="CS15" i="10"/>
  <c r="CT4" i="11" s="1"/>
  <c r="CK15" i="10"/>
  <c r="CL4" i="11" s="1"/>
  <c r="CC15" i="10"/>
  <c r="CD4" i="11" s="1"/>
  <c r="BU15" i="10"/>
  <c r="BV4" i="11" s="1"/>
  <c r="BE15" i="10"/>
  <c r="BF4" i="11" s="1"/>
  <c r="AO15" i="10"/>
  <c r="AP4" i="11" s="1"/>
  <c r="Y15" i="10"/>
  <c r="Z4" i="11" s="1"/>
  <c r="I15" i="10"/>
  <c r="J4" i="11" s="1"/>
  <c r="DS8" i="12"/>
  <c r="DS5" i="13" s="1"/>
  <c r="BT15" i="10"/>
  <c r="BU4" i="11" s="1"/>
  <c r="BP15" i="10"/>
  <c r="BQ4" i="11" s="1"/>
  <c r="BL15" i="10"/>
  <c r="BM4" i="11" s="1"/>
  <c r="BH15" i="10"/>
  <c r="BI4" i="11" s="1"/>
  <c r="BD15" i="10"/>
  <c r="BE4" i="11" s="1"/>
  <c r="AZ15" i="10"/>
  <c r="BA4" i="11" s="1"/>
  <c r="AV15" i="10"/>
  <c r="AW4" i="11" s="1"/>
  <c r="AR15" i="10"/>
  <c r="AS4" i="11" s="1"/>
  <c r="AN15" i="10"/>
  <c r="AO4" i="11" s="1"/>
  <c r="AJ15" i="10"/>
  <c r="AK4" i="11" s="1"/>
  <c r="AF15" i="10"/>
  <c r="AG4" i="11" s="1"/>
  <c r="AB15" i="10"/>
  <c r="AC4" i="11" s="1"/>
  <c r="X15" i="10"/>
  <c r="Y4" i="11" s="1"/>
  <c r="T15" i="10"/>
  <c r="U4" i="11" s="1"/>
  <c r="P15" i="10"/>
  <c r="Q4" i="11" s="1"/>
  <c r="L15" i="10"/>
  <c r="M4" i="11" s="1"/>
  <c r="H15" i="10"/>
  <c r="I4" i="11" s="1"/>
  <c r="D15" i="10"/>
  <c r="E4" i="11" s="1"/>
  <c r="AL9" i="9" l="1"/>
  <c r="AN9" i="9"/>
  <c r="AE9" i="9"/>
  <c r="AD9" i="9"/>
  <c r="AF9" i="9"/>
  <c r="AI9" i="9"/>
  <c r="AH9" i="9"/>
  <c r="AM9" i="9"/>
  <c r="F32" i="9"/>
  <c r="G26" i="1"/>
  <c r="AG9" i="9"/>
  <c r="AK9" i="9"/>
  <c r="AC9" i="9"/>
  <c r="M19" i="12"/>
  <c r="M21" i="12" s="1"/>
  <c r="M18" i="13" s="1"/>
  <c r="E21" i="1"/>
  <c r="F21" i="1" l="1"/>
  <c r="AI5" i="9" s="1"/>
  <c r="AI11" i="9" s="1"/>
  <c r="G32" i="9"/>
  <c r="H26" i="1"/>
  <c r="AS9" i="9"/>
  <c r="AW9" i="9"/>
  <c r="AO9" i="9"/>
  <c r="AZ9" i="9"/>
  <c r="AV9" i="9"/>
  <c r="AR9" i="9"/>
  <c r="AY9" i="9"/>
  <c r="AU9" i="9"/>
  <c r="AQ9" i="9"/>
  <c r="AX9" i="9"/>
  <c r="AT9" i="9"/>
  <c r="AP9" i="9"/>
  <c r="I5" i="9"/>
  <c r="I11" i="9" s="1"/>
  <c r="M5" i="9"/>
  <c r="M11" i="9" s="1"/>
  <c r="J5" i="9"/>
  <c r="J11" i="9" s="1"/>
  <c r="N5" i="9"/>
  <c r="N11" i="9" s="1"/>
  <c r="K5" i="9"/>
  <c r="K11" i="9" s="1"/>
  <c r="O5" i="9"/>
  <c r="O11" i="9" s="1"/>
  <c r="G5" i="9"/>
  <c r="H5" i="9"/>
  <c r="H11" i="9" s="1"/>
  <c r="L5" i="9"/>
  <c r="L11" i="9" s="1"/>
  <c r="P5" i="9"/>
  <c r="P11" i="9" s="1"/>
  <c r="C13" i="10"/>
  <c r="C34" i="10" s="1"/>
  <c r="AC5" i="9"/>
  <c r="R5" i="9"/>
  <c r="R11" i="9" s="1"/>
  <c r="V5" i="9"/>
  <c r="V11" i="9" s="1"/>
  <c r="Z5" i="9"/>
  <c r="Z11" i="9" s="1"/>
  <c r="S5" i="9"/>
  <c r="S11" i="9" s="1"/>
  <c r="W5" i="9"/>
  <c r="W11" i="9" s="1"/>
  <c r="AA5" i="9"/>
  <c r="AA11" i="9" s="1"/>
  <c r="T5" i="9"/>
  <c r="T11" i="9" s="1"/>
  <c r="X5" i="9"/>
  <c r="X11" i="9" s="1"/>
  <c r="AB5" i="9"/>
  <c r="AB11" i="9" s="1"/>
  <c r="U5" i="9"/>
  <c r="U11" i="9" s="1"/>
  <c r="Y5" i="9"/>
  <c r="Y11" i="9" s="1"/>
  <c r="Q5" i="9"/>
  <c r="D4" i="8"/>
  <c r="D9" i="8" s="1"/>
  <c r="D10" i="8" s="1"/>
  <c r="E4" i="8"/>
  <c r="E9" i="8" s="1"/>
  <c r="E10" i="8" s="1"/>
  <c r="F4" i="8"/>
  <c r="F9" i="8" s="1"/>
  <c r="F10" i="8" s="1"/>
  <c r="G4" i="8"/>
  <c r="G9" i="8" s="1"/>
  <c r="G10" i="8" s="1"/>
  <c r="H4" i="8"/>
  <c r="H9" i="8" s="1"/>
  <c r="H10" i="8" s="1"/>
  <c r="I4" i="8"/>
  <c r="I9" i="8" s="1"/>
  <c r="I10" i="8" s="1"/>
  <c r="J4" i="8"/>
  <c r="J9" i="8" s="1"/>
  <c r="J10" i="8" s="1"/>
  <c r="K4" i="8"/>
  <c r="K9" i="8" s="1"/>
  <c r="K10" i="8" s="1"/>
  <c r="L4" i="8"/>
  <c r="L9" i="8" s="1"/>
  <c r="L10" i="8" s="1"/>
  <c r="M4" i="8"/>
  <c r="M9" i="8" s="1"/>
  <c r="M10" i="8" s="1"/>
  <c r="C4" i="8"/>
  <c r="C9" i="8" s="1"/>
  <c r="C10" i="8" s="1"/>
  <c r="D2" i="8"/>
  <c r="E2" i="8"/>
  <c r="F2" i="8"/>
  <c r="G2" i="8"/>
  <c r="H2" i="8"/>
  <c r="I2" i="8"/>
  <c r="J2" i="8"/>
  <c r="K2" i="8"/>
  <c r="L2" i="8"/>
  <c r="M2" i="8"/>
  <c r="C2" i="8"/>
  <c r="AJ5" i="9" l="1"/>
  <c r="AJ11" i="9" s="1"/>
  <c r="AE5" i="9"/>
  <c r="AE11" i="9" s="1"/>
  <c r="AK5" i="9"/>
  <c r="AK11" i="9" s="1"/>
  <c r="AL5" i="9"/>
  <c r="AL11" i="9" s="1"/>
  <c r="G21" i="1"/>
  <c r="AZ5" i="9" s="1"/>
  <c r="AZ11" i="9" s="1"/>
  <c r="AH5" i="9"/>
  <c r="AH11" i="9" s="1"/>
  <c r="AG5" i="9"/>
  <c r="AG11" i="9" s="1"/>
  <c r="AM5" i="9"/>
  <c r="AM11" i="9" s="1"/>
  <c r="AF5" i="9"/>
  <c r="AF11" i="9" s="1"/>
  <c r="AD5" i="9"/>
  <c r="AD11" i="9" s="1"/>
  <c r="AN5" i="9"/>
  <c r="AN11" i="9" s="1"/>
  <c r="D18" i="8"/>
  <c r="E18" i="8"/>
  <c r="F18" i="8"/>
  <c r="I18" i="8"/>
  <c r="J18" i="8"/>
  <c r="K18" i="8"/>
  <c r="L18" i="8"/>
  <c r="M18" i="8"/>
  <c r="C18" i="8"/>
  <c r="G18" i="8"/>
  <c r="H18" i="8"/>
  <c r="H32" i="9"/>
  <c r="I26" i="1"/>
  <c r="BE9" i="9"/>
  <c r="BI9" i="9"/>
  <c r="BA9" i="9"/>
  <c r="BL9" i="9"/>
  <c r="BH9" i="9"/>
  <c r="BD9" i="9"/>
  <c r="BK9" i="9"/>
  <c r="BG9" i="9"/>
  <c r="BC9" i="9"/>
  <c r="BJ9" i="9"/>
  <c r="BF9" i="9"/>
  <c r="BB9" i="9"/>
  <c r="G13" i="9"/>
  <c r="E36" i="9" s="1"/>
  <c r="E49" i="1"/>
  <c r="E62" i="1"/>
  <c r="I14" i="9"/>
  <c r="E14" i="9"/>
  <c r="N14" i="9"/>
  <c r="M14" i="9"/>
  <c r="J14" i="9"/>
  <c r="P14" i="9"/>
  <c r="L14" i="9"/>
  <c r="H14" i="9"/>
  <c r="O14" i="9"/>
  <c r="K14" i="9"/>
  <c r="G14" i="9"/>
  <c r="G11" i="9"/>
  <c r="E34" i="9" s="1"/>
  <c r="D5" i="15"/>
  <c r="D19" i="15" s="1"/>
  <c r="E28" i="9"/>
  <c r="C8" i="8"/>
  <c r="C19" i="8" s="1"/>
  <c r="E5" i="15"/>
  <c r="Q11" i="9"/>
  <c r="F34" i="9" s="1"/>
  <c r="F28" i="9"/>
  <c r="AC11" i="9"/>
  <c r="H8" i="8"/>
  <c r="D8" i="8"/>
  <c r="D19" i="8" s="1"/>
  <c r="K8" i="8"/>
  <c r="K19" i="8" s="1"/>
  <c r="G8" i="8"/>
  <c r="G19" i="8" s="1"/>
  <c r="L8" i="8"/>
  <c r="L19" i="8" s="1"/>
  <c r="J8" i="8"/>
  <c r="J19" i="8" s="1"/>
  <c r="F8" i="8"/>
  <c r="F19" i="8" s="1"/>
  <c r="M8" i="8"/>
  <c r="M19" i="8" s="1"/>
  <c r="I8" i="8"/>
  <c r="I19" i="8" s="1"/>
  <c r="E8" i="8"/>
  <c r="E19" i="8" s="1"/>
  <c r="D10" i="7"/>
  <c r="E19" i="15" l="1"/>
  <c r="K19" i="15" s="1"/>
  <c r="K5" i="15"/>
  <c r="H21" i="1"/>
  <c r="AX5" i="9"/>
  <c r="AX11" i="9" s="1"/>
  <c r="AW5" i="9"/>
  <c r="AW11" i="9" s="1"/>
  <c r="J15" i="9"/>
  <c r="M15" i="9"/>
  <c r="I15" i="9"/>
  <c r="E15" i="9"/>
  <c r="O15" i="9"/>
  <c r="G15" i="9"/>
  <c r="F15" i="9"/>
  <c r="P15" i="9"/>
  <c r="L15" i="9"/>
  <c r="H15" i="9"/>
  <c r="K15" i="9"/>
  <c r="N15" i="9"/>
  <c r="AY5" i="9"/>
  <c r="AY11" i="9" s="1"/>
  <c r="AT5" i="9"/>
  <c r="AT11" i="9" s="1"/>
  <c r="AS5" i="9"/>
  <c r="AS11" i="9" s="1"/>
  <c r="AU5" i="9"/>
  <c r="AU11" i="9" s="1"/>
  <c r="AV5" i="9"/>
  <c r="AV11" i="9" s="1"/>
  <c r="AQ5" i="9"/>
  <c r="AQ11" i="9" s="1"/>
  <c r="AO5" i="9"/>
  <c r="AO11" i="9" s="1"/>
  <c r="AR5" i="9"/>
  <c r="AR11" i="9" s="1"/>
  <c r="AP5" i="9"/>
  <c r="AP11" i="9" s="1"/>
  <c r="G34" i="9"/>
  <c r="G28" i="9"/>
  <c r="F5" i="15"/>
  <c r="L5" i="15" s="1"/>
  <c r="G17" i="7"/>
  <c r="H17" i="7" s="1"/>
  <c r="C21" i="8"/>
  <c r="E37" i="9"/>
  <c r="F62" i="1"/>
  <c r="Y14" i="9"/>
  <c r="V14" i="9"/>
  <c r="Q14" i="9"/>
  <c r="U14" i="9"/>
  <c r="Z14" i="9"/>
  <c r="R14" i="9"/>
  <c r="AB14" i="9"/>
  <c r="X14" i="9"/>
  <c r="T14" i="9"/>
  <c r="AA14" i="9"/>
  <c r="W14" i="9"/>
  <c r="S14" i="9"/>
  <c r="F49" i="1"/>
  <c r="S13" i="9"/>
  <c r="F36" i="9" s="1"/>
  <c r="I32" i="9"/>
  <c r="J26" i="1"/>
  <c r="BQ9" i="9"/>
  <c r="BU9" i="9"/>
  <c r="BM9" i="9"/>
  <c r="BX9" i="9"/>
  <c r="BT9" i="9"/>
  <c r="BP9" i="9"/>
  <c r="BW9" i="9"/>
  <c r="BS9" i="9"/>
  <c r="BO9" i="9"/>
  <c r="BV9" i="9"/>
  <c r="BR9" i="9"/>
  <c r="BN9" i="9"/>
  <c r="E14" i="14"/>
  <c r="F14" i="14"/>
  <c r="I21" i="1"/>
  <c r="BE5" i="9"/>
  <c r="BE11" i="9" s="1"/>
  <c r="BI5" i="9"/>
  <c r="BI11" i="9" s="1"/>
  <c r="BA5" i="9"/>
  <c r="BB5" i="9"/>
  <c r="BB11" i="9" s="1"/>
  <c r="BF5" i="9"/>
  <c r="BF11" i="9" s="1"/>
  <c r="BJ5" i="9"/>
  <c r="BJ11" i="9" s="1"/>
  <c r="BC5" i="9"/>
  <c r="BC11" i="9" s="1"/>
  <c r="BG5" i="9"/>
  <c r="BG11" i="9" s="1"/>
  <c r="BK5" i="9"/>
  <c r="BK11" i="9" s="1"/>
  <c r="BD5" i="9"/>
  <c r="BD11" i="9" s="1"/>
  <c r="BH5" i="9"/>
  <c r="BH11" i="9" s="1"/>
  <c r="BL5" i="9"/>
  <c r="BL11" i="9" s="1"/>
  <c r="H19" i="8"/>
  <c r="C22" i="8" s="1"/>
  <c r="I7" i="8"/>
  <c r="AA15" i="9" l="1"/>
  <c r="T15" i="9"/>
  <c r="V15" i="9"/>
  <c r="Z15" i="9"/>
  <c r="W15" i="9"/>
  <c r="R15" i="9"/>
  <c r="X15" i="9"/>
  <c r="Q15" i="9"/>
  <c r="S15" i="9"/>
  <c r="AB15" i="9"/>
  <c r="U15" i="9"/>
  <c r="Y15" i="9"/>
  <c r="G19" i="7"/>
  <c r="G20" i="7" s="1"/>
  <c r="D25" i="1"/>
  <c r="E38" i="9"/>
  <c r="G14" i="14"/>
  <c r="F19" i="15"/>
  <c r="L19" i="15" s="1"/>
  <c r="G5" i="15"/>
  <c r="H34" i="9"/>
  <c r="H28" i="9"/>
  <c r="J32" i="9"/>
  <c r="K26" i="1"/>
  <c r="CC9" i="9"/>
  <c r="CG9" i="9"/>
  <c r="BY9" i="9"/>
  <c r="CJ9" i="9"/>
  <c r="CF9" i="9"/>
  <c r="CB9" i="9"/>
  <c r="CI9" i="9"/>
  <c r="CE9" i="9"/>
  <c r="CA9" i="9"/>
  <c r="CH9" i="9"/>
  <c r="CD9" i="9"/>
  <c r="BZ9" i="9"/>
  <c r="G49" i="1"/>
  <c r="AE13" i="9"/>
  <c r="G36" i="9" s="1"/>
  <c r="F37" i="9"/>
  <c r="G62" i="1"/>
  <c r="AC14" i="9"/>
  <c r="AG14" i="9"/>
  <c r="AL14" i="9"/>
  <c r="AD14" i="9"/>
  <c r="AK14" i="9"/>
  <c r="AH14" i="9"/>
  <c r="AN14" i="9"/>
  <c r="AJ14" i="9"/>
  <c r="AF14" i="9"/>
  <c r="AM14" i="9"/>
  <c r="AI14" i="9"/>
  <c r="AE14" i="9"/>
  <c r="J21" i="1"/>
  <c r="BN5" i="9"/>
  <c r="BN11" i="9" s="1"/>
  <c r="BR5" i="9"/>
  <c r="BR11" i="9" s="1"/>
  <c r="BV5" i="9"/>
  <c r="BV11" i="9" s="1"/>
  <c r="BO5" i="9"/>
  <c r="BO11" i="9" s="1"/>
  <c r="BS5" i="9"/>
  <c r="BS11" i="9" s="1"/>
  <c r="BW5" i="9"/>
  <c r="BW11" i="9" s="1"/>
  <c r="BP5" i="9"/>
  <c r="BP11" i="9" s="1"/>
  <c r="BT5" i="9"/>
  <c r="BT11" i="9" s="1"/>
  <c r="BX5" i="9"/>
  <c r="BX11" i="9" s="1"/>
  <c r="BQ5" i="9"/>
  <c r="BQ11" i="9" s="1"/>
  <c r="BU5" i="9"/>
  <c r="BU11" i="9" s="1"/>
  <c r="BM5" i="9"/>
  <c r="BA11" i="9"/>
  <c r="I34" i="9" s="1"/>
  <c r="H5" i="15"/>
  <c r="I28" i="9"/>
  <c r="H19" i="15" l="1"/>
  <c r="BF15" i="9" s="1"/>
  <c r="N5" i="15"/>
  <c r="G19" i="15"/>
  <c r="M19" i="15" s="1"/>
  <c r="M5" i="15"/>
  <c r="O8" i="9"/>
  <c r="H14" i="14"/>
  <c r="AH15" i="9"/>
  <c r="AK15" i="9"/>
  <c r="AG15" i="9"/>
  <c r="AC15" i="9"/>
  <c r="AM15" i="9"/>
  <c r="AI15" i="9"/>
  <c r="AL15" i="9"/>
  <c r="AD15" i="9"/>
  <c r="AN15" i="9"/>
  <c r="AJ15" i="9"/>
  <c r="AF15" i="9"/>
  <c r="AE15" i="9"/>
  <c r="E44" i="9"/>
  <c r="AX15" i="9"/>
  <c r="BI15" i="9"/>
  <c r="BG15" i="9"/>
  <c r="K8" i="9"/>
  <c r="G37" i="9"/>
  <c r="H62" i="1"/>
  <c r="AW14" i="9"/>
  <c r="AT14" i="9"/>
  <c r="AO14" i="9"/>
  <c r="AS14" i="9"/>
  <c r="AX14" i="9"/>
  <c r="AP14" i="9"/>
  <c r="AZ14" i="9"/>
  <c r="AV14" i="9"/>
  <c r="AR14" i="9"/>
  <c r="AY14" i="9"/>
  <c r="AU14" i="9"/>
  <c r="AQ14" i="9"/>
  <c r="H49" i="1"/>
  <c r="AQ13" i="9"/>
  <c r="H36" i="9" s="1"/>
  <c r="K32" i="9"/>
  <c r="L26" i="1"/>
  <c r="CO9" i="9"/>
  <c r="CS9" i="9"/>
  <c r="CK9" i="9"/>
  <c r="CV9" i="9"/>
  <c r="CR9" i="9"/>
  <c r="CN9" i="9"/>
  <c r="CU9" i="9"/>
  <c r="CQ9" i="9"/>
  <c r="CM9" i="9"/>
  <c r="CT9" i="9"/>
  <c r="CP9" i="9"/>
  <c r="CL9" i="9"/>
  <c r="C10" i="10"/>
  <c r="C31" i="10" s="1"/>
  <c r="F38" i="9"/>
  <c r="I14" i="14"/>
  <c r="BM11" i="9"/>
  <c r="J34" i="9" s="1"/>
  <c r="I5" i="15"/>
  <c r="J28" i="9"/>
  <c r="K21" i="1"/>
  <c r="CA5" i="9"/>
  <c r="CE5" i="9"/>
  <c r="CE11" i="9" s="1"/>
  <c r="CI5" i="9"/>
  <c r="CI11" i="9" s="1"/>
  <c r="CB5" i="9"/>
  <c r="CB11" i="9" s="1"/>
  <c r="CF5" i="9"/>
  <c r="CF11" i="9" s="1"/>
  <c r="CJ5" i="9"/>
  <c r="CJ11" i="9" s="1"/>
  <c r="CC5" i="9"/>
  <c r="CC11" i="9" s="1"/>
  <c r="CG5" i="9"/>
  <c r="CG11" i="9" s="1"/>
  <c r="BY5" i="9"/>
  <c r="BZ5" i="9"/>
  <c r="BZ11" i="9" s="1"/>
  <c r="CD5" i="9"/>
  <c r="CD11" i="9" s="1"/>
  <c r="CH5" i="9"/>
  <c r="CH11" i="9" s="1"/>
  <c r="BD15" i="9" l="1"/>
  <c r="AO15" i="9"/>
  <c r="BK15" i="9"/>
  <c r="BB15" i="9"/>
  <c r="AV15" i="9"/>
  <c r="AZ15" i="9"/>
  <c r="AP15" i="9"/>
  <c r="AU15" i="9"/>
  <c r="BH15" i="9"/>
  <c r="BL15" i="9"/>
  <c r="BJ15" i="9"/>
  <c r="BE15" i="9"/>
  <c r="BA15" i="9"/>
  <c r="BC15" i="9"/>
  <c r="AY15" i="9"/>
  <c r="AT15" i="9"/>
  <c r="AS15" i="9"/>
  <c r="AR15" i="9"/>
  <c r="AQ15" i="9"/>
  <c r="AW15" i="9"/>
  <c r="I19" i="15"/>
  <c r="O19" i="15" s="1"/>
  <c r="O5" i="15"/>
  <c r="N19" i="15"/>
  <c r="G8" i="9"/>
  <c r="L8" i="9"/>
  <c r="I8" i="9"/>
  <c r="J8" i="9"/>
  <c r="H8" i="9"/>
  <c r="N8" i="9"/>
  <c r="P8" i="9"/>
  <c r="E25" i="1"/>
  <c r="V8" i="9" s="1"/>
  <c r="M8" i="9"/>
  <c r="F8" i="9"/>
  <c r="F6" i="9" s="1"/>
  <c r="F19" i="9" s="1"/>
  <c r="E5" i="11" s="1"/>
  <c r="E7" i="11" s="1"/>
  <c r="G38" i="9"/>
  <c r="F44" i="9"/>
  <c r="L32" i="9"/>
  <c r="M26" i="1"/>
  <c r="DA9" i="9"/>
  <c r="DE9" i="9"/>
  <c r="CW9" i="9"/>
  <c r="DH9" i="9"/>
  <c r="DD9" i="9"/>
  <c r="CZ9" i="9"/>
  <c r="DG9" i="9"/>
  <c r="DC9" i="9"/>
  <c r="CY9" i="9"/>
  <c r="DF9" i="9"/>
  <c r="DB9" i="9"/>
  <c r="CX9" i="9"/>
  <c r="I49" i="1"/>
  <c r="BC13" i="9"/>
  <c r="I36" i="9" s="1"/>
  <c r="H37" i="9"/>
  <c r="I62" i="1"/>
  <c r="BA14" i="9"/>
  <c r="BE14" i="9"/>
  <c r="BJ14" i="9"/>
  <c r="BB14" i="9"/>
  <c r="BI14" i="9"/>
  <c r="BF14" i="9"/>
  <c r="BL14" i="9"/>
  <c r="BH14" i="9"/>
  <c r="BD14" i="9"/>
  <c r="BK14" i="9"/>
  <c r="BG14" i="9"/>
  <c r="BC14" i="9"/>
  <c r="J14" i="14"/>
  <c r="K28" i="9"/>
  <c r="BY11" i="9"/>
  <c r="CA11" i="9"/>
  <c r="D22" i="15"/>
  <c r="L21" i="1"/>
  <c r="CO5" i="9"/>
  <c r="CO11" i="9" s="1"/>
  <c r="CS5" i="9"/>
  <c r="CS11" i="9" s="1"/>
  <c r="CL5" i="9"/>
  <c r="CL11" i="9" s="1"/>
  <c r="CP5" i="9"/>
  <c r="CP11" i="9" s="1"/>
  <c r="CT5" i="9"/>
  <c r="CT11" i="9" s="1"/>
  <c r="CK5" i="9"/>
  <c r="CM5" i="9"/>
  <c r="CM11" i="9" s="1"/>
  <c r="CQ5" i="9"/>
  <c r="CQ11" i="9" s="1"/>
  <c r="CU5" i="9"/>
  <c r="CU11" i="9" s="1"/>
  <c r="CN5" i="9"/>
  <c r="CN11" i="9" s="1"/>
  <c r="CR5" i="9"/>
  <c r="CR11" i="9" s="1"/>
  <c r="CV5" i="9"/>
  <c r="CV11" i="9" s="1"/>
  <c r="BV15" i="9" l="1"/>
  <c r="H38" i="9"/>
  <c r="H44" i="9" s="1"/>
  <c r="I38" i="9"/>
  <c r="I44" i="9" s="1"/>
  <c r="BS15" i="9"/>
  <c r="BR15" i="9"/>
  <c r="BU15" i="9"/>
  <c r="BW15" i="9"/>
  <c r="BM15" i="9"/>
  <c r="BP15" i="9"/>
  <c r="BQ15" i="9"/>
  <c r="BT15" i="9"/>
  <c r="BX15" i="9"/>
  <c r="BO15" i="9"/>
  <c r="BN15" i="9"/>
  <c r="D36" i="15"/>
  <c r="P19" i="15" s="1"/>
  <c r="P5" i="15"/>
  <c r="R8" i="9"/>
  <c r="Q8" i="9"/>
  <c r="Y8" i="9"/>
  <c r="Z8" i="9"/>
  <c r="X8" i="9"/>
  <c r="D4" i="13"/>
  <c r="W8" i="9"/>
  <c r="AB8" i="9"/>
  <c r="AA8" i="9"/>
  <c r="F25" i="1"/>
  <c r="AH8" i="9" s="1"/>
  <c r="S8" i="9"/>
  <c r="U8" i="9"/>
  <c r="E31" i="9"/>
  <c r="T8" i="9"/>
  <c r="D6" i="15"/>
  <c r="G44" i="9"/>
  <c r="H34" i="10"/>
  <c r="I37" i="9"/>
  <c r="J62" i="1"/>
  <c r="BU14" i="9"/>
  <c r="BR14" i="9"/>
  <c r="BM14" i="9"/>
  <c r="BQ14" i="9"/>
  <c r="BV14" i="9"/>
  <c r="BN14" i="9"/>
  <c r="BX14" i="9"/>
  <c r="BT14" i="9"/>
  <c r="BP14" i="9"/>
  <c r="BW14" i="9"/>
  <c r="BS14" i="9"/>
  <c r="BO14" i="9"/>
  <c r="J49" i="1"/>
  <c r="BO13" i="9"/>
  <c r="J36" i="9" s="1"/>
  <c r="M32" i="9"/>
  <c r="N26" i="1"/>
  <c r="DM9" i="9"/>
  <c r="DQ9" i="9"/>
  <c r="DI9" i="9"/>
  <c r="DT9" i="9"/>
  <c r="DP9" i="9"/>
  <c r="DL9" i="9"/>
  <c r="DS9" i="9"/>
  <c r="DO9" i="9"/>
  <c r="DK9" i="9"/>
  <c r="DR9" i="9"/>
  <c r="DN9" i="9"/>
  <c r="DJ9" i="9"/>
  <c r="C8" i="10"/>
  <c r="C38" i="1"/>
  <c r="C40" i="1" s="1"/>
  <c r="K34" i="9"/>
  <c r="M21" i="1"/>
  <c r="DI7" i="9" s="1"/>
  <c r="CZ5" i="9"/>
  <c r="CZ11" i="9" s="1"/>
  <c r="DD5" i="9"/>
  <c r="DD11" i="9" s="1"/>
  <c r="DH5" i="9"/>
  <c r="DH11" i="9" s="1"/>
  <c r="CW5" i="9"/>
  <c r="DA5" i="9"/>
  <c r="DA11" i="9" s="1"/>
  <c r="DE5" i="9"/>
  <c r="DE11" i="9" s="1"/>
  <c r="CX5" i="9"/>
  <c r="CX11" i="9" s="1"/>
  <c r="DB5" i="9"/>
  <c r="DB11" i="9" s="1"/>
  <c r="DF5" i="9"/>
  <c r="DF11" i="9" s="1"/>
  <c r="CY5" i="9"/>
  <c r="CY11" i="9" s="1"/>
  <c r="DC5" i="9"/>
  <c r="DC11" i="9" s="1"/>
  <c r="DG5" i="9"/>
  <c r="DG11" i="9" s="1"/>
  <c r="CK11" i="9"/>
  <c r="L34" i="9" s="1"/>
  <c r="L28" i="9"/>
  <c r="E22" i="15"/>
  <c r="E25" i="14"/>
  <c r="J38" i="9" l="1"/>
  <c r="J44" i="9" s="1"/>
  <c r="CA15" i="9"/>
  <c r="CD15" i="9"/>
  <c r="CJ15" i="9"/>
  <c r="CC15" i="9"/>
  <c r="CE15" i="9"/>
  <c r="CH15" i="9"/>
  <c r="BZ15" i="9"/>
  <c r="BY15" i="9"/>
  <c r="CF15" i="9"/>
  <c r="CG15" i="9"/>
  <c r="CI15" i="9"/>
  <c r="CB15" i="9"/>
  <c r="E36" i="15"/>
  <c r="K36" i="15" s="1"/>
  <c r="K22" i="15"/>
  <c r="AI8" i="9"/>
  <c r="AM8" i="9"/>
  <c r="G25" i="1"/>
  <c r="H25" i="1" s="1"/>
  <c r="I25" i="1" s="1"/>
  <c r="AK8" i="9"/>
  <c r="AL8" i="9"/>
  <c r="AE8" i="9"/>
  <c r="AN8" i="9"/>
  <c r="AJ8" i="9"/>
  <c r="E6" i="15"/>
  <c r="K6" i="15" s="1"/>
  <c r="AG8" i="9"/>
  <c r="AF8" i="9"/>
  <c r="AC8" i="9"/>
  <c r="AD8" i="9"/>
  <c r="F31" i="9"/>
  <c r="DJ7" i="9"/>
  <c r="DK7" i="9" s="1"/>
  <c r="DL7" i="9" s="1"/>
  <c r="DM7" i="9" s="1"/>
  <c r="DN7" i="9" s="1"/>
  <c r="DO7" i="9" s="1"/>
  <c r="DP7" i="9" s="1"/>
  <c r="DQ7" i="9" s="1"/>
  <c r="DR7" i="9" s="1"/>
  <c r="DS7" i="9" s="1"/>
  <c r="DT7" i="9" s="1"/>
  <c r="N32" i="9"/>
  <c r="H10" i="9"/>
  <c r="L10" i="9"/>
  <c r="L6" i="9" s="1"/>
  <c r="L19" i="9" s="1"/>
  <c r="K5" i="11" s="1"/>
  <c r="K7" i="11" s="1"/>
  <c r="J4" i="13" s="1"/>
  <c r="P10" i="9"/>
  <c r="P6" i="9" s="1"/>
  <c r="P19" i="9" s="1"/>
  <c r="O5" i="11" s="1"/>
  <c r="O7" i="11" s="1"/>
  <c r="N4" i="13" s="1"/>
  <c r="I10" i="9"/>
  <c r="I6" i="9" s="1"/>
  <c r="I19" i="9" s="1"/>
  <c r="H5" i="11" s="1"/>
  <c r="H7" i="11" s="1"/>
  <c r="G4" i="13" s="1"/>
  <c r="M10" i="9"/>
  <c r="M6" i="9" s="1"/>
  <c r="M19" i="9" s="1"/>
  <c r="L5" i="11" s="1"/>
  <c r="L7" i="11" s="1"/>
  <c r="K4" i="13" s="1"/>
  <c r="G10" i="9"/>
  <c r="K10" i="9"/>
  <c r="J10" i="9"/>
  <c r="J6" i="9" s="1"/>
  <c r="J19" i="9" s="1"/>
  <c r="I5" i="11" s="1"/>
  <c r="I7" i="11" s="1"/>
  <c r="H4" i="13" s="1"/>
  <c r="N10" i="9"/>
  <c r="O10" i="9"/>
  <c r="O6" i="9" s="1"/>
  <c r="O19" i="9" s="1"/>
  <c r="N5" i="11" s="1"/>
  <c r="N7" i="11" s="1"/>
  <c r="M4" i="13" s="1"/>
  <c r="K12" i="9"/>
  <c r="H12" i="9"/>
  <c r="N12" i="9"/>
  <c r="E61" i="1"/>
  <c r="E12" i="9"/>
  <c r="ED3" i="10"/>
  <c r="ED15" i="10" s="1"/>
  <c r="EE4" i="11" s="1"/>
  <c r="M25" i="10"/>
  <c r="C29" i="10"/>
  <c r="C28" i="10" s="1"/>
  <c r="C36" i="10" s="1"/>
  <c r="C7" i="10"/>
  <c r="C15" i="10" s="1"/>
  <c r="H9" i="15"/>
  <c r="F26" i="15"/>
  <c r="F9" i="15"/>
  <c r="D26" i="15"/>
  <c r="E9" i="15"/>
  <c r="K9" i="15" s="1"/>
  <c r="I9" i="15"/>
  <c r="G26" i="15"/>
  <c r="H26" i="15"/>
  <c r="E26" i="15"/>
  <c r="G9" i="15"/>
  <c r="DV9" i="9"/>
  <c r="DY9" i="9"/>
  <c r="EC9" i="9"/>
  <c r="DU9" i="9"/>
  <c r="EF9" i="9"/>
  <c r="EB9" i="9"/>
  <c r="DX9" i="9"/>
  <c r="EE9" i="9"/>
  <c r="EA9" i="9"/>
  <c r="DW9" i="9"/>
  <c r="ED9" i="9"/>
  <c r="DZ9" i="9"/>
  <c r="K49" i="1"/>
  <c r="CA13" i="9"/>
  <c r="K36" i="9" s="1"/>
  <c r="J37" i="9"/>
  <c r="K62" i="1"/>
  <c r="BY14" i="9"/>
  <c r="CC14" i="9"/>
  <c r="CH14" i="9"/>
  <c r="BZ14" i="9"/>
  <c r="CG14" i="9"/>
  <c r="CD14" i="9"/>
  <c r="CJ14" i="9"/>
  <c r="CF14" i="9"/>
  <c r="CB14" i="9"/>
  <c r="CI14" i="9"/>
  <c r="CE14" i="9"/>
  <c r="CA14" i="9"/>
  <c r="F30" i="9"/>
  <c r="F25" i="14"/>
  <c r="CW11" i="9"/>
  <c r="M34" i="9" s="1"/>
  <c r="M28" i="9"/>
  <c r="F22" i="15"/>
  <c r="N21" i="1"/>
  <c r="DU7" i="9" s="1"/>
  <c r="DJ5" i="9"/>
  <c r="DJ11" i="9" s="1"/>
  <c r="DN5" i="9"/>
  <c r="DN11" i="9" s="1"/>
  <c r="DR5" i="9"/>
  <c r="DR11" i="9" s="1"/>
  <c r="DK5" i="9"/>
  <c r="DK11" i="9" s="1"/>
  <c r="DO5" i="9"/>
  <c r="DO11" i="9" s="1"/>
  <c r="DS5" i="9"/>
  <c r="DS11" i="9" s="1"/>
  <c r="DL5" i="9"/>
  <c r="DL11" i="9" s="1"/>
  <c r="DP5" i="9"/>
  <c r="DP11" i="9" s="1"/>
  <c r="DT5" i="9"/>
  <c r="DT11" i="9" s="1"/>
  <c r="DM5" i="9"/>
  <c r="DM11" i="9" s="1"/>
  <c r="DQ5" i="9"/>
  <c r="DQ11" i="9" s="1"/>
  <c r="DI5" i="9"/>
  <c r="G30" i="9"/>
  <c r="K30" i="9"/>
  <c r="J30" i="9"/>
  <c r="H30" i="9"/>
  <c r="L30" i="9"/>
  <c r="E30" i="9"/>
  <c r="I30" i="9"/>
  <c r="M30" i="9"/>
  <c r="M26" i="15" l="1"/>
  <c r="CN15" i="9"/>
  <c r="K26" i="15"/>
  <c r="K38" i="9"/>
  <c r="K44" i="9" s="1"/>
  <c r="L9" i="15"/>
  <c r="CQ15" i="9"/>
  <c r="O9" i="15"/>
  <c r="CO15" i="9"/>
  <c r="L26" i="15"/>
  <c r="M9" i="15"/>
  <c r="CS15" i="9"/>
  <c r="F36" i="15"/>
  <c r="L36" i="15" s="1"/>
  <c r="L22" i="15"/>
  <c r="N9" i="15"/>
  <c r="CV15" i="9"/>
  <c r="CM15" i="9"/>
  <c r="CP15" i="9"/>
  <c r="CR15" i="9"/>
  <c r="CL15" i="9"/>
  <c r="O26" i="15"/>
  <c r="N26" i="15"/>
  <c r="P9" i="15"/>
  <c r="CK15" i="9"/>
  <c r="CU15" i="9"/>
  <c r="CT15" i="9"/>
  <c r="AP8" i="9"/>
  <c r="BA8" i="9"/>
  <c r="BK8" i="9"/>
  <c r="AT8" i="9"/>
  <c r="AQ8" i="9"/>
  <c r="D20" i="11"/>
  <c r="D4" i="11"/>
  <c r="C38" i="10"/>
  <c r="BJ8" i="9"/>
  <c r="AO8" i="9"/>
  <c r="G31" i="9"/>
  <c r="BB8" i="9"/>
  <c r="BL8" i="9"/>
  <c r="BG8" i="9"/>
  <c r="AY8" i="9"/>
  <c r="AW8" i="9"/>
  <c r="BF8" i="9"/>
  <c r="BH8" i="9"/>
  <c r="BC8" i="9"/>
  <c r="AR8" i="9"/>
  <c r="AZ8" i="9"/>
  <c r="AS8" i="9"/>
  <c r="BI8" i="9"/>
  <c r="BE8" i="9"/>
  <c r="BD8" i="9"/>
  <c r="AV8" i="9"/>
  <c r="AX8" i="9"/>
  <c r="AU8" i="9"/>
  <c r="F6" i="15"/>
  <c r="E35" i="9"/>
  <c r="DV7" i="9"/>
  <c r="DW7" i="9" s="1"/>
  <c r="DX7" i="9" s="1"/>
  <c r="DY7" i="9" s="1"/>
  <c r="DZ7" i="9" s="1"/>
  <c r="EA7" i="9" s="1"/>
  <c r="EB7" i="9" s="1"/>
  <c r="EC7" i="9" s="1"/>
  <c r="ED7" i="9" s="1"/>
  <c r="EE7" i="9" s="1"/>
  <c r="EF7" i="9" s="1"/>
  <c r="G6" i="9"/>
  <c r="G19" i="9" s="1"/>
  <c r="F5" i="11" s="1"/>
  <c r="F7" i="11" s="1"/>
  <c r="D10" i="15"/>
  <c r="D7" i="15"/>
  <c r="E17" i="14" s="1"/>
  <c r="E20" i="14" s="1"/>
  <c r="E7" i="15"/>
  <c r="K37" i="9"/>
  <c r="L62" i="1"/>
  <c r="CS14" i="9"/>
  <c r="CP14" i="9"/>
  <c r="CK14" i="9"/>
  <c r="CO14" i="9"/>
  <c r="CT14" i="9"/>
  <c r="CL14" i="9"/>
  <c r="CV14" i="9"/>
  <c r="CR14" i="9"/>
  <c r="CN14" i="9"/>
  <c r="CU14" i="9"/>
  <c r="CQ14" i="9"/>
  <c r="CM14" i="9"/>
  <c r="L49" i="1"/>
  <c r="CM13" i="9"/>
  <c r="L36" i="9" s="1"/>
  <c r="O32" i="9"/>
  <c r="J25" i="1"/>
  <c r="BN8" i="9"/>
  <c r="BR8" i="9"/>
  <c r="BV8" i="9"/>
  <c r="BM8" i="9"/>
  <c r="BO8" i="9"/>
  <c r="BS8" i="9"/>
  <c r="BW8" i="9"/>
  <c r="BP8" i="9"/>
  <c r="BX8" i="9"/>
  <c r="BU8" i="9"/>
  <c r="BQ8" i="9"/>
  <c r="BT8" i="9"/>
  <c r="E6" i="9"/>
  <c r="F61" i="1"/>
  <c r="W12" i="9"/>
  <c r="T12" i="9"/>
  <c r="Q12" i="9"/>
  <c r="Z12" i="9"/>
  <c r="R10" i="9"/>
  <c r="R6" i="9" s="1"/>
  <c r="R19" i="9" s="1"/>
  <c r="Q5" i="11" s="1"/>
  <c r="Q7" i="11" s="1"/>
  <c r="P4" i="13" s="1"/>
  <c r="V10" i="9"/>
  <c r="V6" i="9" s="1"/>
  <c r="V19" i="9" s="1"/>
  <c r="U5" i="11" s="1"/>
  <c r="U7" i="11" s="1"/>
  <c r="T4" i="13" s="1"/>
  <c r="Z10" i="9"/>
  <c r="S10" i="9"/>
  <c r="S6" i="9" s="1"/>
  <c r="S19" i="9" s="1"/>
  <c r="R5" i="11" s="1"/>
  <c r="R7" i="11" s="1"/>
  <c r="Q4" i="13" s="1"/>
  <c r="W10" i="9"/>
  <c r="AA10" i="9"/>
  <c r="AA6" i="9" s="1"/>
  <c r="AA19" i="9" s="1"/>
  <c r="Z5" i="11" s="1"/>
  <c r="Z7" i="11" s="1"/>
  <c r="Y4" i="13" s="1"/>
  <c r="Y10" i="9"/>
  <c r="Y6" i="9" s="1"/>
  <c r="Y19" i="9" s="1"/>
  <c r="X5" i="11" s="1"/>
  <c r="X7" i="11" s="1"/>
  <c r="W4" i="13" s="1"/>
  <c r="Q10" i="9"/>
  <c r="X10" i="9"/>
  <c r="X6" i="9" s="1"/>
  <c r="X19" i="9" s="1"/>
  <c r="W5" i="11" s="1"/>
  <c r="W7" i="11" s="1"/>
  <c r="V4" i="13" s="1"/>
  <c r="T10" i="9"/>
  <c r="AB10" i="9"/>
  <c r="AB6" i="9" s="1"/>
  <c r="AB19" i="9" s="1"/>
  <c r="AA5" i="11" s="1"/>
  <c r="AA7" i="11" s="1"/>
  <c r="Z4" i="13" s="1"/>
  <c r="U10" i="9"/>
  <c r="U6" i="9" s="1"/>
  <c r="U19" i="9" s="1"/>
  <c r="T5" i="11" s="1"/>
  <c r="T7" i="11" s="1"/>
  <c r="S4" i="13" s="1"/>
  <c r="N6" i="9"/>
  <c r="N19" i="9" s="1"/>
  <c r="M5" i="11" s="1"/>
  <c r="M7" i="11" s="1"/>
  <c r="L4" i="13" s="1"/>
  <c r="K6" i="9"/>
  <c r="K19" i="9" s="1"/>
  <c r="J5" i="11" s="1"/>
  <c r="J7" i="11" s="1"/>
  <c r="I4" i="13" s="1"/>
  <c r="E33" i="9"/>
  <c r="H6" i="9"/>
  <c r="H19" i="9" s="1"/>
  <c r="G5" i="11" s="1"/>
  <c r="G7" i="11" s="1"/>
  <c r="F4" i="13" s="1"/>
  <c r="DI11" i="9"/>
  <c r="N34" i="9" s="1"/>
  <c r="N28" i="9"/>
  <c r="G22" i="15"/>
  <c r="DW5" i="9"/>
  <c r="DW11" i="9" s="1"/>
  <c r="EA5" i="9"/>
  <c r="EA11" i="9" s="1"/>
  <c r="EE5" i="9"/>
  <c r="EE11" i="9" s="1"/>
  <c r="DX5" i="9"/>
  <c r="DX11" i="9" s="1"/>
  <c r="EB5" i="9"/>
  <c r="EB11" i="9" s="1"/>
  <c r="EF5" i="9"/>
  <c r="EF11" i="9" s="1"/>
  <c r="DY5" i="9"/>
  <c r="DY11" i="9" s="1"/>
  <c r="EC5" i="9"/>
  <c r="EC11" i="9" s="1"/>
  <c r="DU5" i="9"/>
  <c r="DV5" i="9"/>
  <c r="DV11" i="9" s="1"/>
  <c r="DZ5" i="9"/>
  <c r="DZ11" i="9" s="1"/>
  <c r="ED5" i="9"/>
  <c r="ED11" i="9" s="1"/>
  <c r="G25" i="14"/>
  <c r="DG15" i="9" l="1"/>
  <c r="CX15" i="9"/>
  <c r="DD15" i="9"/>
  <c r="DB15" i="9"/>
  <c r="DE15" i="9"/>
  <c r="DC15" i="9"/>
  <c r="L38" i="9"/>
  <c r="L44" i="9" s="1"/>
  <c r="CW15" i="9"/>
  <c r="DF15" i="9"/>
  <c r="F17" i="14"/>
  <c r="F20" i="14" s="1"/>
  <c r="K7" i="15"/>
  <c r="CZ15" i="9"/>
  <c r="G36" i="15"/>
  <c r="M36" i="15" s="1"/>
  <c r="M22" i="15"/>
  <c r="CY15" i="9"/>
  <c r="DA15" i="9"/>
  <c r="DH15" i="9"/>
  <c r="F7" i="15"/>
  <c r="L6" i="15"/>
  <c r="Z6" i="9"/>
  <c r="Z19" i="9" s="1"/>
  <c r="Y5" i="11" s="1"/>
  <c r="Y7" i="11" s="1"/>
  <c r="X4" i="13" s="1"/>
  <c r="G6" i="15"/>
  <c r="I31" i="9"/>
  <c r="H31" i="9"/>
  <c r="H6" i="15"/>
  <c r="E4" i="13"/>
  <c r="E10" i="15"/>
  <c r="I6" i="15"/>
  <c r="D11" i="15"/>
  <c r="E16" i="14" s="1"/>
  <c r="E19" i="14" s="1"/>
  <c r="W6" i="9"/>
  <c r="W19" i="9" s="1"/>
  <c r="V5" i="11" s="1"/>
  <c r="V7" i="11" s="1"/>
  <c r="U4" i="13" s="1"/>
  <c r="F33" i="9"/>
  <c r="Q6" i="9"/>
  <c r="Q19" i="9" s="1"/>
  <c r="P5" i="11" s="1"/>
  <c r="P7" i="11" s="1"/>
  <c r="O4" i="13" s="1"/>
  <c r="AD10" i="9"/>
  <c r="AD6" i="9" s="1"/>
  <c r="AD19" i="9" s="1"/>
  <c r="AC5" i="11" s="1"/>
  <c r="AC7" i="11" s="1"/>
  <c r="AB4" i="13" s="1"/>
  <c r="AH10" i="9"/>
  <c r="AH6" i="9" s="1"/>
  <c r="AH19" i="9" s="1"/>
  <c r="AG5" i="11" s="1"/>
  <c r="AG7" i="11" s="1"/>
  <c r="AF4" i="13" s="1"/>
  <c r="AL10" i="9"/>
  <c r="AE10" i="9"/>
  <c r="AE6" i="9" s="1"/>
  <c r="AE19" i="9" s="1"/>
  <c r="AD5" i="11" s="1"/>
  <c r="AD7" i="11" s="1"/>
  <c r="AC4" i="13" s="1"/>
  <c r="AI10" i="9"/>
  <c r="AM10" i="9"/>
  <c r="AM6" i="9" s="1"/>
  <c r="AM19" i="9" s="1"/>
  <c r="AL5" i="11" s="1"/>
  <c r="AL7" i="11" s="1"/>
  <c r="AK4" i="13" s="1"/>
  <c r="AG10" i="9"/>
  <c r="AG6" i="9" s="1"/>
  <c r="AG19" i="9" s="1"/>
  <c r="AF5" i="11" s="1"/>
  <c r="AF7" i="11" s="1"/>
  <c r="AE4" i="13" s="1"/>
  <c r="AC10" i="9"/>
  <c r="AK10" i="9"/>
  <c r="AK6" i="9" s="1"/>
  <c r="AK19" i="9" s="1"/>
  <c r="AJ5" i="11" s="1"/>
  <c r="AJ7" i="11" s="1"/>
  <c r="AI4" i="13" s="1"/>
  <c r="AF10" i="9"/>
  <c r="AN10" i="9"/>
  <c r="AN6" i="9" s="1"/>
  <c r="AN19" i="9" s="1"/>
  <c r="AM5" i="11" s="1"/>
  <c r="AM7" i="11" s="1"/>
  <c r="AL4" i="13" s="1"/>
  <c r="AJ10" i="9"/>
  <c r="AJ6" i="9" s="1"/>
  <c r="AJ19" i="9" s="1"/>
  <c r="AI5" i="11" s="1"/>
  <c r="AI7" i="11" s="1"/>
  <c r="AH4" i="13" s="1"/>
  <c r="F35" i="9"/>
  <c r="G61" i="1"/>
  <c r="AI12" i="9"/>
  <c r="AF12" i="9"/>
  <c r="AL12" i="9"/>
  <c r="AC12" i="9"/>
  <c r="E19" i="9"/>
  <c r="E29" i="9"/>
  <c r="E42" i="9" s="1"/>
  <c r="J31" i="9"/>
  <c r="K25" i="1"/>
  <c r="CC8" i="9"/>
  <c r="CG8" i="9"/>
  <c r="BZ8" i="9"/>
  <c r="CD8" i="9"/>
  <c r="CH8" i="9"/>
  <c r="CE8" i="9"/>
  <c r="CF8" i="9"/>
  <c r="CB8" i="9"/>
  <c r="CJ8" i="9"/>
  <c r="BY8" i="9"/>
  <c r="CI8" i="9"/>
  <c r="CA8" i="9"/>
  <c r="M49" i="1"/>
  <c r="CY13" i="9"/>
  <c r="M36" i="9" s="1"/>
  <c r="L37" i="9"/>
  <c r="M62" i="1"/>
  <c r="DA14" i="9"/>
  <c r="CW14" i="9"/>
  <c r="DF14" i="9"/>
  <c r="CX14" i="9"/>
  <c r="DE14" i="9"/>
  <c r="DB14" i="9"/>
  <c r="DH14" i="9"/>
  <c r="DD14" i="9"/>
  <c r="CZ14" i="9"/>
  <c r="DG14" i="9"/>
  <c r="DC14" i="9"/>
  <c r="CY14" i="9"/>
  <c r="H22" i="15"/>
  <c r="DU11" i="9"/>
  <c r="O34" i="9" s="1"/>
  <c r="O28" i="9"/>
  <c r="N30" i="9"/>
  <c r="H25" i="14"/>
  <c r="DM15" i="9" l="1"/>
  <c r="DO15" i="9"/>
  <c r="DL15" i="9"/>
  <c r="DS15" i="9"/>
  <c r="DP15" i="9"/>
  <c r="DJ15" i="9"/>
  <c r="DI15" i="9"/>
  <c r="DN15" i="9"/>
  <c r="DR15" i="9"/>
  <c r="M38" i="9"/>
  <c r="M44" i="9" s="1"/>
  <c r="I7" i="15"/>
  <c r="O6" i="15"/>
  <c r="E11" i="15"/>
  <c r="E17" i="15" s="1"/>
  <c r="K10" i="15"/>
  <c r="G17" i="14"/>
  <c r="G20" i="14" s="1"/>
  <c r="L7" i="15"/>
  <c r="G7" i="15"/>
  <c r="M6" i="15"/>
  <c r="H36" i="15"/>
  <c r="DV15" i="9" s="1"/>
  <c r="O22" i="15"/>
  <c r="N22" i="15"/>
  <c r="DK15" i="9"/>
  <c r="DQ15" i="9"/>
  <c r="DT15" i="9"/>
  <c r="H7" i="15"/>
  <c r="N6" i="15"/>
  <c r="D21" i="11"/>
  <c r="D23" i="11" s="1"/>
  <c r="C17" i="13" s="1"/>
  <c r="D5" i="11"/>
  <c r="D7" i="11" s="1"/>
  <c r="D23" i="15"/>
  <c r="F10" i="15"/>
  <c r="ED15" i="9"/>
  <c r="EF15" i="9"/>
  <c r="D17" i="15"/>
  <c r="E13" i="14" s="1"/>
  <c r="E15" i="14" s="1"/>
  <c r="G35" i="9"/>
  <c r="M37" i="9"/>
  <c r="N62" i="1"/>
  <c r="DQ14" i="9"/>
  <c r="DN14" i="9"/>
  <c r="DI14" i="9"/>
  <c r="DM14" i="9"/>
  <c r="DR14" i="9"/>
  <c r="DJ14" i="9"/>
  <c r="DT14" i="9"/>
  <c r="DP14" i="9"/>
  <c r="DL14" i="9"/>
  <c r="DS14" i="9"/>
  <c r="DO14" i="9"/>
  <c r="DK14" i="9"/>
  <c r="N49" i="1"/>
  <c r="DW13" i="9" s="1"/>
  <c r="O36" i="9" s="1"/>
  <c r="DK13" i="9"/>
  <c r="N36" i="9" s="1"/>
  <c r="K31" i="9"/>
  <c r="L25" i="1"/>
  <c r="CN8" i="9"/>
  <c r="CR8" i="9"/>
  <c r="CV8" i="9"/>
  <c r="CO8" i="9"/>
  <c r="CS8" i="9"/>
  <c r="CP8" i="9"/>
  <c r="CK8" i="9"/>
  <c r="CM8" i="9"/>
  <c r="CU8" i="9"/>
  <c r="CQ8" i="9"/>
  <c r="CT8" i="9"/>
  <c r="CL8" i="9"/>
  <c r="H61" i="1"/>
  <c r="AU12" i="9"/>
  <c r="AR12" i="9"/>
  <c r="AO12" i="9"/>
  <c r="AX12" i="9"/>
  <c r="G33" i="9"/>
  <c r="AC6" i="9"/>
  <c r="AC19" i="9" s="1"/>
  <c r="AB5" i="11" s="1"/>
  <c r="AB7" i="11" s="1"/>
  <c r="AA4" i="13" s="1"/>
  <c r="AI6" i="9"/>
  <c r="AI19" i="9" s="1"/>
  <c r="AH5" i="11" s="1"/>
  <c r="AH7" i="11" s="1"/>
  <c r="AG4" i="13" s="1"/>
  <c r="AL6" i="9"/>
  <c r="AL19" i="9" s="1"/>
  <c r="AK5" i="11" s="1"/>
  <c r="AK7" i="11" s="1"/>
  <c r="AJ4" i="13" s="1"/>
  <c r="AP10" i="9"/>
  <c r="AP6" i="9" s="1"/>
  <c r="AP19" i="9" s="1"/>
  <c r="AO5" i="11" s="1"/>
  <c r="AO7" i="11" s="1"/>
  <c r="AN4" i="13" s="1"/>
  <c r="AT10" i="9"/>
  <c r="AT6" i="9" s="1"/>
  <c r="AT19" i="9" s="1"/>
  <c r="AS5" i="11" s="1"/>
  <c r="AS7" i="11" s="1"/>
  <c r="AR4" i="13" s="1"/>
  <c r="AX10" i="9"/>
  <c r="AQ10" i="9"/>
  <c r="AQ6" i="9" s="1"/>
  <c r="AQ19" i="9" s="1"/>
  <c r="AP5" i="11" s="1"/>
  <c r="AP7" i="11" s="1"/>
  <c r="AO4" i="13" s="1"/>
  <c r="AU10" i="9"/>
  <c r="AY10" i="9"/>
  <c r="AY6" i="9" s="1"/>
  <c r="AY19" i="9" s="1"/>
  <c r="AX5" i="11" s="1"/>
  <c r="AX7" i="11" s="1"/>
  <c r="AW4" i="13" s="1"/>
  <c r="AW10" i="9"/>
  <c r="AW6" i="9" s="1"/>
  <c r="AW19" i="9" s="1"/>
  <c r="AV5" i="11" s="1"/>
  <c r="AV7" i="11" s="1"/>
  <c r="AU4" i="13" s="1"/>
  <c r="AS10" i="9"/>
  <c r="AS6" i="9" s="1"/>
  <c r="AS19" i="9" s="1"/>
  <c r="AR5" i="11" s="1"/>
  <c r="AR7" i="11" s="1"/>
  <c r="AQ4" i="13" s="1"/>
  <c r="AV10" i="9"/>
  <c r="AV6" i="9" s="1"/>
  <c r="AV19" i="9" s="1"/>
  <c r="AU5" i="11" s="1"/>
  <c r="AU7" i="11" s="1"/>
  <c r="AT4" i="13" s="1"/>
  <c r="AR10" i="9"/>
  <c r="AZ10" i="9"/>
  <c r="AZ6" i="9" s="1"/>
  <c r="AZ19" i="9" s="1"/>
  <c r="AY5" i="11" s="1"/>
  <c r="AY7" i="11" s="1"/>
  <c r="AX4" i="13" s="1"/>
  <c r="AO10" i="9"/>
  <c r="O30" i="9"/>
  <c r="I25" i="14"/>
  <c r="EC15" i="9" l="1"/>
  <c r="DW15" i="9"/>
  <c r="N38" i="9"/>
  <c r="N44" i="9" s="1"/>
  <c r="DX15" i="9"/>
  <c r="DZ15" i="9"/>
  <c r="EA15" i="9"/>
  <c r="DU15" i="9"/>
  <c r="EB15" i="9"/>
  <c r="EE15" i="9"/>
  <c r="DY15" i="9"/>
  <c r="F13" i="14"/>
  <c r="F15" i="14" s="1"/>
  <c r="K17" i="15"/>
  <c r="D24" i="15"/>
  <c r="P6" i="15"/>
  <c r="F16" i="14"/>
  <c r="F19" i="14" s="1"/>
  <c r="K11" i="15"/>
  <c r="F11" i="15"/>
  <c r="L11" i="15" s="1"/>
  <c r="L10" i="15"/>
  <c r="I17" i="14"/>
  <c r="I20" i="14" s="1"/>
  <c r="N7" i="15"/>
  <c r="H17" i="14"/>
  <c r="H20" i="14" s="1"/>
  <c r="M7" i="15"/>
  <c r="O36" i="15"/>
  <c r="N36" i="15"/>
  <c r="J17" i="14"/>
  <c r="J20" i="14" s="1"/>
  <c r="O7" i="15"/>
  <c r="C4" i="13"/>
  <c r="G10" i="15"/>
  <c r="E23" i="15"/>
  <c r="AX6" i="9"/>
  <c r="AX19" i="9" s="1"/>
  <c r="AW5" i="11" s="1"/>
  <c r="AW7" i="11" s="1"/>
  <c r="AV4" i="13" s="1"/>
  <c r="AU6" i="9"/>
  <c r="AU19" i="9" s="1"/>
  <c r="AT5" i="11" s="1"/>
  <c r="AT7" i="11" s="1"/>
  <c r="AS4" i="13" s="1"/>
  <c r="H33" i="9"/>
  <c r="AO6" i="9"/>
  <c r="AO19" i="9" s="1"/>
  <c r="AN5" i="11" s="1"/>
  <c r="AN7" i="11" s="1"/>
  <c r="AM4" i="13" s="1"/>
  <c r="BB10" i="9"/>
  <c r="BB6" i="9" s="1"/>
  <c r="BB19" i="9" s="1"/>
  <c r="BA5" i="11" s="1"/>
  <c r="BA7" i="11" s="1"/>
  <c r="AZ4" i="13" s="1"/>
  <c r="BF10" i="9"/>
  <c r="BF6" i="9" s="1"/>
  <c r="BF19" i="9" s="1"/>
  <c r="BE5" i="11" s="1"/>
  <c r="BE7" i="11" s="1"/>
  <c r="BD4" i="13" s="1"/>
  <c r="BJ10" i="9"/>
  <c r="BH10" i="9"/>
  <c r="BH6" i="9" s="1"/>
  <c r="BH19" i="9" s="1"/>
  <c r="BG5" i="11" s="1"/>
  <c r="BG7" i="11" s="1"/>
  <c r="BF4" i="13" s="1"/>
  <c r="BC10" i="9"/>
  <c r="BC6" i="9" s="1"/>
  <c r="BC19" i="9" s="1"/>
  <c r="BB5" i="11" s="1"/>
  <c r="BB7" i="11" s="1"/>
  <c r="BA4" i="13" s="1"/>
  <c r="BG10" i="9"/>
  <c r="BK10" i="9"/>
  <c r="BK6" i="9" s="1"/>
  <c r="BK19" i="9" s="1"/>
  <c r="BJ5" i="11" s="1"/>
  <c r="BJ7" i="11" s="1"/>
  <c r="BI4" i="13" s="1"/>
  <c r="BD10" i="9"/>
  <c r="BL10" i="9"/>
  <c r="BL6" i="9" s="1"/>
  <c r="BL19" i="9" s="1"/>
  <c r="BK5" i="11" s="1"/>
  <c r="BK7" i="11" s="1"/>
  <c r="BJ4" i="13" s="1"/>
  <c r="BA10" i="9"/>
  <c r="BI10" i="9"/>
  <c r="BI6" i="9" s="1"/>
  <c r="BI19" i="9" s="1"/>
  <c r="BH5" i="11" s="1"/>
  <c r="BH7" i="11" s="1"/>
  <c r="BG4" i="13" s="1"/>
  <c r="BE10" i="9"/>
  <c r="BE6" i="9" s="1"/>
  <c r="BE19" i="9" s="1"/>
  <c r="BD5" i="11" s="1"/>
  <c r="BD7" i="11" s="1"/>
  <c r="BC4" i="13" s="1"/>
  <c r="H35" i="9"/>
  <c r="I61" i="1"/>
  <c r="BG12" i="9"/>
  <c r="BD12" i="9"/>
  <c r="BJ12" i="9"/>
  <c r="BA12" i="9"/>
  <c r="L31" i="9"/>
  <c r="M25" i="1"/>
  <c r="CY8" i="9"/>
  <c r="DC8" i="9"/>
  <c r="DG8" i="9"/>
  <c r="CZ8" i="9"/>
  <c r="DD8" i="9"/>
  <c r="DH8" i="9"/>
  <c r="CW8" i="9"/>
  <c r="DE8" i="9"/>
  <c r="DF8" i="9"/>
  <c r="DB8" i="9"/>
  <c r="CX8" i="9"/>
  <c r="DA8" i="9"/>
  <c r="N37" i="9"/>
  <c r="DW14" i="9"/>
  <c r="DU14" i="9"/>
  <c r="DY14" i="9"/>
  <c r="ED14" i="9"/>
  <c r="DV14" i="9"/>
  <c r="EC14" i="9"/>
  <c r="DZ14" i="9"/>
  <c r="EF14" i="9"/>
  <c r="EB14" i="9"/>
  <c r="DX14" i="9"/>
  <c r="EE14" i="9"/>
  <c r="EA14" i="9"/>
  <c r="O38" i="9" l="1"/>
  <c r="O44" i="9" s="1"/>
  <c r="E24" i="15"/>
  <c r="K23" i="15"/>
  <c r="E28" i="14"/>
  <c r="E31" i="14" s="1"/>
  <c r="P7" i="15"/>
  <c r="G11" i="15"/>
  <c r="M11" i="15" s="1"/>
  <c r="M10" i="15"/>
  <c r="F17" i="15"/>
  <c r="G16" i="14"/>
  <c r="G19" i="14" s="1"/>
  <c r="H10" i="15"/>
  <c r="F23" i="15"/>
  <c r="I35" i="9"/>
  <c r="O37" i="9"/>
  <c r="M31" i="9"/>
  <c r="N25" i="1"/>
  <c r="DJ8" i="9"/>
  <c r="DN8" i="9"/>
  <c r="DR8" i="9"/>
  <c r="DI8" i="9"/>
  <c r="DK8" i="9"/>
  <c r="DO8" i="9"/>
  <c r="DS8" i="9"/>
  <c r="DP8" i="9"/>
  <c r="DM8" i="9"/>
  <c r="DQ8" i="9"/>
  <c r="DL8" i="9"/>
  <c r="DT8" i="9"/>
  <c r="J61" i="1"/>
  <c r="BS12" i="9"/>
  <c r="BP12" i="9"/>
  <c r="BM12" i="9"/>
  <c r="BV12" i="9"/>
  <c r="I33" i="9"/>
  <c r="BA6" i="9"/>
  <c r="BA19" i="9" s="1"/>
  <c r="AZ5" i="11" s="1"/>
  <c r="AZ7" i="11" s="1"/>
  <c r="AY4" i="13" s="1"/>
  <c r="BG6" i="9"/>
  <c r="BG19" i="9" s="1"/>
  <c r="BF5" i="11" s="1"/>
  <c r="BF7" i="11" s="1"/>
  <c r="BE4" i="13" s="1"/>
  <c r="BJ6" i="9"/>
  <c r="BJ19" i="9" s="1"/>
  <c r="BI5" i="11" s="1"/>
  <c r="BI7" i="11" s="1"/>
  <c r="BH4" i="13" s="1"/>
  <c r="BN10" i="9"/>
  <c r="BN6" i="9" s="1"/>
  <c r="BN19" i="9" s="1"/>
  <c r="BM5" i="11" s="1"/>
  <c r="BM7" i="11" s="1"/>
  <c r="BL4" i="13" s="1"/>
  <c r="BR10" i="9"/>
  <c r="BR6" i="9" s="1"/>
  <c r="BR19" i="9" s="1"/>
  <c r="BQ5" i="11" s="1"/>
  <c r="BQ7" i="11" s="1"/>
  <c r="BP4" i="13" s="1"/>
  <c r="BV10" i="9"/>
  <c r="BP10" i="9"/>
  <c r="BX10" i="9"/>
  <c r="BX6" i="9" s="1"/>
  <c r="BX19" i="9" s="1"/>
  <c r="BW5" i="11" s="1"/>
  <c r="BW7" i="11" s="1"/>
  <c r="BV4" i="13" s="1"/>
  <c r="BO10" i="9"/>
  <c r="BO6" i="9" s="1"/>
  <c r="BO19" i="9" s="1"/>
  <c r="BN5" i="11" s="1"/>
  <c r="BN7" i="11" s="1"/>
  <c r="BM4" i="13" s="1"/>
  <c r="BS10" i="9"/>
  <c r="BW10" i="9"/>
  <c r="BW6" i="9" s="1"/>
  <c r="BW19" i="9" s="1"/>
  <c r="BV5" i="11" s="1"/>
  <c r="BV7" i="11" s="1"/>
  <c r="BU4" i="13" s="1"/>
  <c r="BT10" i="9"/>
  <c r="BT6" i="9" s="1"/>
  <c r="BT19" i="9" s="1"/>
  <c r="BS5" i="11" s="1"/>
  <c r="BS7" i="11" s="1"/>
  <c r="BR4" i="13" s="1"/>
  <c r="BU10" i="9"/>
  <c r="BU6" i="9" s="1"/>
  <c r="BU19" i="9" s="1"/>
  <c r="BT5" i="11" s="1"/>
  <c r="BT7" i="11" s="1"/>
  <c r="BS4" i="13" s="1"/>
  <c r="BQ10" i="9"/>
  <c r="BQ6" i="9" s="1"/>
  <c r="BQ19" i="9" s="1"/>
  <c r="BP5" i="11" s="1"/>
  <c r="BP7" i="11" s="1"/>
  <c r="BO4" i="13" s="1"/>
  <c r="BM10" i="9"/>
  <c r="G17" i="15"/>
  <c r="H16" i="14" l="1"/>
  <c r="H19" i="14" s="1"/>
  <c r="F24" i="15"/>
  <c r="L23" i="15"/>
  <c r="G13" i="14"/>
  <c r="G15" i="14" s="1"/>
  <c r="L17" i="15"/>
  <c r="H13" i="14"/>
  <c r="H15" i="14" s="1"/>
  <c r="M17" i="15"/>
  <c r="H11" i="15"/>
  <c r="N11" i="15" s="1"/>
  <c r="N10" i="15"/>
  <c r="F28" i="14"/>
  <c r="F31" i="14" s="1"/>
  <c r="K24" i="15"/>
  <c r="BS6" i="9"/>
  <c r="BS19" i="9" s="1"/>
  <c r="BR5" i="11" s="1"/>
  <c r="BR7" i="11" s="1"/>
  <c r="BQ4" i="13" s="1"/>
  <c r="I10" i="15"/>
  <c r="G23" i="15"/>
  <c r="BV6" i="9"/>
  <c r="BV19" i="9" s="1"/>
  <c r="BU5" i="11" s="1"/>
  <c r="BU7" i="11" s="1"/>
  <c r="BT4" i="13" s="1"/>
  <c r="J33" i="9"/>
  <c r="BM6" i="9"/>
  <c r="BM19" i="9" s="1"/>
  <c r="BL5" i="11" s="1"/>
  <c r="BL7" i="11" s="1"/>
  <c r="BK4" i="13" s="1"/>
  <c r="BZ10" i="9"/>
  <c r="BZ6" i="9" s="1"/>
  <c r="BZ19" i="9" s="1"/>
  <c r="BY5" i="11" s="1"/>
  <c r="BY7" i="11" s="1"/>
  <c r="BX4" i="13" s="1"/>
  <c r="CD10" i="9"/>
  <c r="CD6" i="9" s="1"/>
  <c r="CD19" i="9" s="1"/>
  <c r="CC5" i="11" s="1"/>
  <c r="CC7" i="11" s="1"/>
  <c r="CB4" i="13" s="1"/>
  <c r="CH10" i="9"/>
  <c r="CF10" i="9"/>
  <c r="CF6" i="9" s="1"/>
  <c r="CF19" i="9" s="1"/>
  <c r="CE5" i="11" s="1"/>
  <c r="CE7" i="11" s="1"/>
  <c r="CD4" i="13" s="1"/>
  <c r="CA10" i="9"/>
  <c r="CA6" i="9" s="1"/>
  <c r="CA19" i="9" s="1"/>
  <c r="BZ5" i="11" s="1"/>
  <c r="BZ7" i="11" s="1"/>
  <c r="BY4" i="13" s="1"/>
  <c r="CE10" i="9"/>
  <c r="CI10" i="9"/>
  <c r="CI6" i="9" s="1"/>
  <c r="CI19" i="9" s="1"/>
  <c r="CH5" i="11" s="1"/>
  <c r="CH7" i="11" s="1"/>
  <c r="CG4" i="13" s="1"/>
  <c r="CB10" i="9"/>
  <c r="CJ10" i="9"/>
  <c r="CJ6" i="9" s="1"/>
  <c r="CJ19" i="9" s="1"/>
  <c r="CI5" i="11" s="1"/>
  <c r="CI7" i="11" s="1"/>
  <c r="CH4" i="13" s="1"/>
  <c r="CC10" i="9"/>
  <c r="CC6" i="9" s="1"/>
  <c r="CC19" i="9" s="1"/>
  <c r="CB5" i="11" s="1"/>
  <c r="CB7" i="11" s="1"/>
  <c r="CA4" i="13" s="1"/>
  <c r="BY10" i="9"/>
  <c r="CG10" i="9"/>
  <c r="CG6" i="9" s="1"/>
  <c r="CG19" i="9" s="1"/>
  <c r="CF5" i="11" s="1"/>
  <c r="CF7" i="11" s="1"/>
  <c r="CE4" i="13" s="1"/>
  <c r="J35" i="9"/>
  <c r="K61" i="1"/>
  <c r="CE12" i="9"/>
  <c r="CB12" i="9"/>
  <c r="CH12" i="9"/>
  <c r="BY12" i="9"/>
  <c r="N31" i="9"/>
  <c r="DY8" i="9"/>
  <c r="EC8" i="9"/>
  <c r="DV8" i="9"/>
  <c r="DZ8" i="9"/>
  <c r="ED8" i="9"/>
  <c r="DW8" i="9"/>
  <c r="EE8" i="9"/>
  <c r="EF8" i="9"/>
  <c r="EB8" i="9"/>
  <c r="DU8" i="9"/>
  <c r="DX8" i="9"/>
  <c r="EA8" i="9"/>
  <c r="H17" i="15" l="1"/>
  <c r="I11" i="15"/>
  <c r="O11" i="15" s="1"/>
  <c r="O10" i="15"/>
  <c r="I16" i="14"/>
  <c r="I19" i="14" s="1"/>
  <c r="G24" i="15"/>
  <c r="M23" i="15"/>
  <c r="G28" i="14"/>
  <c r="G31" i="14" s="1"/>
  <c r="L24" i="15"/>
  <c r="H23" i="15"/>
  <c r="D27" i="15"/>
  <c r="K35" i="9"/>
  <c r="CE6" i="9"/>
  <c r="CE19" i="9" s="1"/>
  <c r="CD5" i="11" s="1"/>
  <c r="CD7" i="11" s="1"/>
  <c r="CC4" i="13" s="1"/>
  <c r="O31" i="9"/>
  <c r="L61" i="1"/>
  <c r="CQ12" i="9"/>
  <c r="CN12" i="9"/>
  <c r="CK12" i="9"/>
  <c r="CT12" i="9"/>
  <c r="K33" i="9"/>
  <c r="BY6" i="9"/>
  <c r="BY19" i="9" s="1"/>
  <c r="BX5" i="11" s="1"/>
  <c r="BX7" i="11" s="1"/>
  <c r="BW4" i="13" s="1"/>
  <c r="CH6" i="9"/>
  <c r="CH19" i="9" s="1"/>
  <c r="CG5" i="11" s="1"/>
  <c r="CG7" i="11" s="1"/>
  <c r="CF4" i="13" s="1"/>
  <c r="CL10" i="9"/>
  <c r="CL6" i="9" s="1"/>
  <c r="CL19" i="9" s="1"/>
  <c r="CK5" i="11" s="1"/>
  <c r="CK7" i="11" s="1"/>
  <c r="CJ4" i="13" s="1"/>
  <c r="CP10" i="9"/>
  <c r="CP6" i="9" s="1"/>
  <c r="CP19" i="9" s="1"/>
  <c r="CO5" i="11" s="1"/>
  <c r="CO7" i="11" s="1"/>
  <c r="CN4" i="13" s="1"/>
  <c r="CT10" i="9"/>
  <c r="CN10" i="9"/>
  <c r="CV10" i="9"/>
  <c r="CV6" i="9" s="1"/>
  <c r="CV19" i="9" s="1"/>
  <c r="CU5" i="11" s="1"/>
  <c r="CU7" i="11" s="1"/>
  <c r="CT4" i="13" s="1"/>
  <c r="CM10" i="9"/>
  <c r="CM6" i="9" s="1"/>
  <c r="CM19" i="9" s="1"/>
  <c r="CL5" i="11" s="1"/>
  <c r="CL7" i="11" s="1"/>
  <c r="CK4" i="13" s="1"/>
  <c r="CQ10" i="9"/>
  <c r="CU10" i="9"/>
  <c r="CU6" i="9" s="1"/>
  <c r="CU19" i="9" s="1"/>
  <c r="CT5" i="11" s="1"/>
  <c r="CT7" i="11" s="1"/>
  <c r="CS4" i="13" s="1"/>
  <c r="CR10" i="9"/>
  <c r="CR6" i="9" s="1"/>
  <c r="CR19" i="9" s="1"/>
  <c r="CQ5" i="11" s="1"/>
  <c r="CQ7" i="11" s="1"/>
  <c r="CP4" i="13" s="1"/>
  <c r="CK10" i="9"/>
  <c r="CO10" i="9"/>
  <c r="CO6" i="9" s="1"/>
  <c r="CO19" i="9" s="1"/>
  <c r="CN5" i="11" s="1"/>
  <c r="CN7" i="11" s="1"/>
  <c r="CM4" i="13" s="1"/>
  <c r="CS10" i="9"/>
  <c r="CS6" i="9" s="1"/>
  <c r="CS19" i="9" s="1"/>
  <c r="CR5" i="11" s="1"/>
  <c r="CR7" i="11" s="1"/>
  <c r="CQ4" i="13" s="1"/>
  <c r="J16" i="14"/>
  <c r="J19" i="14" s="1"/>
  <c r="I17" i="15" l="1"/>
  <c r="J13" i="14" s="1"/>
  <c r="J15" i="14" s="1"/>
  <c r="O17" i="15"/>
  <c r="D28" i="15"/>
  <c r="P11" i="15" s="1"/>
  <c r="P10" i="15"/>
  <c r="H24" i="15"/>
  <c r="N23" i="15"/>
  <c r="O23" i="15"/>
  <c r="H28" i="14"/>
  <c r="H31" i="14" s="1"/>
  <c r="M24" i="15"/>
  <c r="I13" i="14"/>
  <c r="I15" i="14" s="1"/>
  <c r="N17" i="15"/>
  <c r="E27" i="15"/>
  <c r="K27" i="15" s="1"/>
  <c r="CT6" i="9"/>
  <c r="CT19" i="9" s="1"/>
  <c r="CS5" i="11" s="1"/>
  <c r="CS7" i="11" s="1"/>
  <c r="CR4" i="13" s="1"/>
  <c r="CQ6" i="9"/>
  <c r="CQ19" i="9" s="1"/>
  <c r="CP5" i="11" s="1"/>
  <c r="CP7" i="11" s="1"/>
  <c r="CO4" i="13" s="1"/>
  <c r="L33" i="9"/>
  <c r="CK6" i="9"/>
  <c r="CK19" i="9" s="1"/>
  <c r="CJ5" i="11" s="1"/>
  <c r="CJ7" i="11" s="1"/>
  <c r="CI4" i="13" s="1"/>
  <c r="CX10" i="9"/>
  <c r="CX6" i="9" s="1"/>
  <c r="CX19" i="9" s="1"/>
  <c r="CW5" i="11" s="1"/>
  <c r="CW7" i="11" s="1"/>
  <c r="CV4" i="13" s="1"/>
  <c r="DB10" i="9"/>
  <c r="DB6" i="9" s="1"/>
  <c r="DB19" i="9" s="1"/>
  <c r="DA5" i="11" s="1"/>
  <c r="DA7" i="11" s="1"/>
  <c r="CZ4" i="13" s="1"/>
  <c r="DF10" i="9"/>
  <c r="DD10" i="9"/>
  <c r="DD6" i="9" s="1"/>
  <c r="DD19" i="9" s="1"/>
  <c r="DC5" i="11" s="1"/>
  <c r="DC7" i="11" s="1"/>
  <c r="DB4" i="13" s="1"/>
  <c r="CY10" i="9"/>
  <c r="CY6" i="9" s="1"/>
  <c r="CY19" i="9" s="1"/>
  <c r="CX5" i="11" s="1"/>
  <c r="CX7" i="11" s="1"/>
  <c r="CW4" i="13" s="1"/>
  <c r="DC10" i="9"/>
  <c r="DG10" i="9"/>
  <c r="DG6" i="9" s="1"/>
  <c r="DG19" i="9" s="1"/>
  <c r="DF5" i="11" s="1"/>
  <c r="DF7" i="11" s="1"/>
  <c r="DE4" i="13" s="1"/>
  <c r="CZ10" i="9"/>
  <c r="DH10" i="9"/>
  <c r="DH6" i="9" s="1"/>
  <c r="DH19" i="9" s="1"/>
  <c r="DG5" i="11" s="1"/>
  <c r="DG7" i="11" s="1"/>
  <c r="DF4" i="13" s="1"/>
  <c r="CW10" i="9"/>
  <c r="DA10" i="9"/>
  <c r="DA6" i="9" s="1"/>
  <c r="DA19" i="9" s="1"/>
  <c r="CZ5" i="11" s="1"/>
  <c r="CZ7" i="11" s="1"/>
  <c r="CY4" i="13" s="1"/>
  <c r="DE10" i="9"/>
  <c r="DE6" i="9" s="1"/>
  <c r="DE19" i="9" s="1"/>
  <c r="DD5" i="11" s="1"/>
  <c r="DD7" i="11" s="1"/>
  <c r="DC4" i="13" s="1"/>
  <c r="L35" i="9"/>
  <c r="M61" i="1"/>
  <c r="DC12" i="9"/>
  <c r="CZ12" i="9"/>
  <c r="DF12" i="9"/>
  <c r="CW12" i="9"/>
  <c r="D34" i="15" l="1"/>
  <c r="E24" i="14" s="1"/>
  <c r="E26" i="14" s="1"/>
  <c r="E28" i="15"/>
  <c r="K28" i="15" s="1"/>
  <c r="E27" i="14"/>
  <c r="E30" i="14" s="1"/>
  <c r="I28" i="14"/>
  <c r="I31" i="14" s="1"/>
  <c r="O24" i="15"/>
  <c r="N24" i="15"/>
  <c r="F27" i="15"/>
  <c r="CW6" i="9"/>
  <c r="CW19" i="9" s="1"/>
  <c r="CV5" i="11" s="1"/>
  <c r="CV7" i="11" s="1"/>
  <c r="CU4" i="13" s="1"/>
  <c r="M35" i="9"/>
  <c r="N61" i="1"/>
  <c r="DO12" i="9"/>
  <c r="DL12" i="9"/>
  <c r="DI12" i="9"/>
  <c r="DR12" i="9"/>
  <c r="M33" i="9"/>
  <c r="DC6" i="9"/>
  <c r="DC19" i="9" s="1"/>
  <c r="DB5" i="11" s="1"/>
  <c r="DB7" i="11" s="1"/>
  <c r="DA4" i="13" s="1"/>
  <c r="DF6" i="9"/>
  <c r="DF19" i="9" s="1"/>
  <c r="DE5" i="11" s="1"/>
  <c r="DE7" i="11" s="1"/>
  <c r="DD4" i="13" s="1"/>
  <c r="DJ10" i="9"/>
  <c r="DJ6" i="9" s="1"/>
  <c r="DJ19" i="9" s="1"/>
  <c r="DI5" i="11" s="1"/>
  <c r="DI7" i="11" s="1"/>
  <c r="DH4" i="13" s="1"/>
  <c r="DN10" i="9"/>
  <c r="DN6" i="9" s="1"/>
  <c r="DN19" i="9" s="1"/>
  <c r="DM5" i="11" s="1"/>
  <c r="DM7" i="11" s="1"/>
  <c r="DL4" i="13" s="1"/>
  <c r="DR10" i="9"/>
  <c r="DP10" i="9"/>
  <c r="DP6" i="9" s="1"/>
  <c r="DP19" i="9" s="1"/>
  <c r="DO5" i="11" s="1"/>
  <c r="DO7" i="11" s="1"/>
  <c r="DN4" i="13" s="1"/>
  <c r="DT10" i="9"/>
  <c r="DT6" i="9" s="1"/>
  <c r="DT19" i="9" s="1"/>
  <c r="DS5" i="11" s="1"/>
  <c r="DS7" i="11" s="1"/>
  <c r="DR4" i="13" s="1"/>
  <c r="DK10" i="9"/>
  <c r="DK6" i="9" s="1"/>
  <c r="DK19" i="9" s="1"/>
  <c r="DJ5" i="11" s="1"/>
  <c r="DJ7" i="11" s="1"/>
  <c r="DI4" i="13" s="1"/>
  <c r="DO10" i="9"/>
  <c r="DS10" i="9"/>
  <c r="DS6" i="9" s="1"/>
  <c r="DS19" i="9" s="1"/>
  <c r="DR5" i="11" s="1"/>
  <c r="DR7" i="11" s="1"/>
  <c r="DQ4" i="13" s="1"/>
  <c r="DL10" i="9"/>
  <c r="DQ10" i="9"/>
  <c r="DQ6" i="9" s="1"/>
  <c r="DQ19" i="9" s="1"/>
  <c r="DP5" i="11" s="1"/>
  <c r="DP7" i="11" s="1"/>
  <c r="DO4" i="13" s="1"/>
  <c r="DM10" i="9"/>
  <c r="DM6" i="9" s="1"/>
  <c r="DM19" i="9" s="1"/>
  <c r="DL5" i="11" s="1"/>
  <c r="DL7" i="11" s="1"/>
  <c r="DK4" i="13" s="1"/>
  <c r="DI10" i="9"/>
  <c r="F27" i="14"/>
  <c r="F30" i="14" s="1"/>
  <c r="E34" i="15"/>
  <c r="P17" i="15" l="1"/>
  <c r="F24" i="14"/>
  <c r="F26" i="14" s="1"/>
  <c r="K34" i="15"/>
  <c r="F28" i="15"/>
  <c r="L28" i="15" s="1"/>
  <c r="L27" i="15"/>
  <c r="DR6" i="9"/>
  <c r="DR19" i="9" s="1"/>
  <c r="DQ5" i="11" s="1"/>
  <c r="DQ7" i="11" s="1"/>
  <c r="DP4" i="13" s="1"/>
  <c r="G27" i="15"/>
  <c r="M27" i="15" s="1"/>
  <c r="DO6" i="9"/>
  <c r="DO19" i="9" s="1"/>
  <c r="DN5" i="11" s="1"/>
  <c r="DN7" i="11" s="1"/>
  <c r="DM4" i="13" s="1"/>
  <c r="N33" i="9"/>
  <c r="DI6" i="9"/>
  <c r="DI19" i="9" s="1"/>
  <c r="DH5" i="11" s="1"/>
  <c r="DH7" i="11" s="1"/>
  <c r="DG4" i="13" s="1"/>
  <c r="G28" i="15"/>
  <c r="DV10" i="9"/>
  <c r="DV6" i="9" s="1"/>
  <c r="DV19" i="9" s="1"/>
  <c r="DU5" i="11" s="1"/>
  <c r="DU7" i="11" s="1"/>
  <c r="DT4" i="13" s="1"/>
  <c r="DT7" i="13" s="1"/>
  <c r="DZ10" i="9"/>
  <c r="DZ6" i="9" s="1"/>
  <c r="DZ19" i="9" s="1"/>
  <c r="DY5" i="11" s="1"/>
  <c r="DY7" i="11" s="1"/>
  <c r="DX4" i="13" s="1"/>
  <c r="DX7" i="13" s="1"/>
  <c r="ED10" i="9"/>
  <c r="DX10" i="9"/>
  <c r="EB10" i="9"/>
  <c r="EB6" i="9" s="1"/>
  <c r="EB19" i="9" s="1"/>
  <c r="EA5" i="11" s="1"/>
  <c r="EA7" i="11" s="1"/>
  <c r="DZ4" i="13" s="1"/>
  <c r="DZ7" i="13" s="1"/>
  <c r="EF10" i="9"/>
  <c r="DW10" i="9"/>
  <c r="DW6" i="9" s="1"/>
  <c r="DW19" i="9" s="1"/>
  <c r="DV5" i="11" s="1"/>
  <c r="DV7" i="11" s="1"/>
  <c r="DU4" i="13" s="1"/>
  <c r="DU7" i="13" s="1"/>
  <c r="EA10" i="9"/>
  <c r="EE10" i="9"/>
  <c r="EE6" i="9" s="1"/>
  <c r="EE19" i="9" s="1"/>
  <c r="ED5" i="11" s="1"/>
  <c r="ED7" i="11" s="1"/>
  <c r="EC4" i="13" s="1"/>
  <c r="EC7" i="13" s="1"/>
  <c r="DY10" i="9"/>
  <c r="DY6" i="9" s="1"/>
  <c r="DY19" i="9" s="1"/>
  <c r="DX5" i="11" s="1"/>
  <c r="DX7" i="11" s="1"/>
  <c r="DW4" i="13" s="1"/>
  <c r="DW7" i="13" s="1"/>
  <c r="EC10" i="9"/>
  <c r="EC6" i="9" s="1"/>
  <c r="EC19" i="9" s="1"/>
  <c r="EB5" i="11" s="1"/>
  <c r="EB7" i="11" s="1"/>
  <c r="EA4" i="13" s="1"/>
  <c r="EA7" i="13" s="1"/>
  <c r="DU10" i="9"/>
  <c r="G27" i="14"/>
  <c r="G30" i="14" s="1"/>
  <c r="N35" i="9"/>
  <c r="EA12" i="9"/>
  <c r="DX12" i="9"/>
  <c r="EF12" i="9"/>
  <c r="ED12" i="9"/>
  <c r="DU12" i="9"/>
  <c r="F34" i="15" l="1"/>
  <c r="G24" i="14"/>
  <c r="G26" i="14" s="1"/>
  <c r="L34" i="15"/>
  <c r="M28" i="15"/>
  <c r="H27" i="15"/>
  <c r="O35" i="9"/>
  <c r="O33" i="9"/>
  <c r="DU6" i="9"/>
  <c r="DU19" i="9" s="1"/>
  <c r="DT5" i="11" s="1"/>
  <c r="DT7" i="11" s="1"/>
  <c r="DS4" i="13" s="1"/>
  <c r="DS7" i="13" s="1"/>
  <c r="EA6" i="9"/>
  <c r="EA19" i="9" s="1"/>
  <c r="DZ5" i="11" s="1"/>
  <c r="DZ7" i="11" s="1"/>
  <c r="DY4" i="13" s="1"/>
  <c r="DY7" i="13" s="1"/>
  <c r="ED6" i="9"/>
  <c r="ED19" i="9" s="1"/>
  <c r="EC5" i="11" s="1"/>
  <c r="EC7" i="11" s="1"/>
  <c r="EB4" i="13" s="1"/>
  <c r="EB7" i="13" s="1"/>
  <c r="H27" i="14"/>
  <c r="H30" i="14" s="1"/>
  <c r="G34" i="15"/>
  <c r="H28" i="15" l="1"/>
  <c r="H34" i="15" s="1"/>
  <c r="N27" i="15"/>
  <c r="O27" i="15"/>
  <c r="H24" i="14"/>
  <c r="H26" i="14" s="1"/>
  <c r="M34" i="15"/>
  <c r="I27" i="14"/>
  <c r="I30" i="14" s="1"/>
  <c r="H31" i="15" l="1"/>
  <c r="H32" i="15" s="1"/>
  <c r="O31" i="15"/>
  <c r="I24" i="14"/>
  <c r="I26" i="14" s="1"/>
  <c r="N34" i="15"/>
  <c r="O34" i="15"/>
  <c r="O28" i="15"/>
  <c r="N28" i="15"/>
  <c r="O32" i="15" l="1"/>
  <c r="EF17" i="9"/>
  <c r="EF6" i="9" s="1"/>
  <c r="EF19" i="9" s="1"/>
  <c r="EE5" i="11" s="1"/>
  <c r="EE7" i="11" s="1"/>
  <c r="ED4" i="13" s="1"/>
  <c r="ED7" i="13" s="1"/>
  <c r="H33" i="15"/>
  <c r="I29" i="14" l="1"/>
  <c r="I32" i="14" s="1"/>
  <c r="O33" i="15"/>
  <c r="D12" i="8"/>
  <c r="F13" i="8" l="1"/>
  <c r="J13" i="8"/>
  <c r="C13" i="8"/>
  <c r="G13" i="8"/>
  <c r="K13" i="8"/>
  <c r="D13" i="8"/>
  <c r="D14" i="8" s="1"/>
  <c r="H13" i="8"/>
  <c r="L13" i="8"/>
  <c r="E13" i="8"/>
  <c r="I13" i="8"/>
  <c r="M13" i="8"/>
  <c r="C15" i="3"/>
  <c r="E12" i="8"/>
  <c r="E12" i="3" l="1"/>
  <c r="I12" i="3"/>
  <c r="M12" i="3"/>
  <c r="Q12" i="3"/>
  <c r="U12" i="3"/>
  <c r="Y12" i="3"/>
  <c r="AC12" i="3"/>
  <c r="AG12" i="3"/>
  <c r="AK12" i="3"/>
  <c r="AO12" i="3"/>
  <c r="AS12" i="3"/>
  <c r="AW12" i="3"/>
  <c r="BA12" i="3"/>
  <c r="BE12" i="3"/>
  <c r="BI12" i="3"/>
  <c r="BM12" i="3"/>
  <c r="BQ12" i="3"/>
  <c r="BU12" i="3"/>
  <c r="BY12" i="3"/>
  <c r="CC12" i="3"/>
  <c r="CG12" i="3"/>
  <c r="CK12" i="3"/>
  <c r="CO12" i="3"/>
  <c r="CS12" i="3"/>
  <c r="CW12" i="3"/>
  <c r="DA12" i="3"/>
  <c r="DE12" i="3"/>
  <c r="DI12" i="3"/>
  <c r="DM12" i="3"/>
  <c r="DQ12" i="3"/>
  <c r="F12" i="3"/>
  <c r="J12" i="3"/>
  <c r="N12" i="3"/>
  <c r="R12" i="3"/>
  <c r="V12" i="3"/>
  <c r="Z12" i="3"/>
  <c r="AD12" i="3"/>
  <c r="AH12" i="3"/>
  <c r="AL12" i="3"/>
  <c r="AP12" i="3"/>
  <c r="AT12" i="3"/>
  <c r="AX12" i="3"/>
  <c r="BB12" i="3"/>
  <c r="BF12" i="3"/>
  <c r="BJ12" i="3"/>
  <c r="BN12" i="3"/>
  <c r="BR12" i="3"/>
  <c r="BV12" i="3"/>
  <c r="BZ12" i="3"/>
  <c r="CD12" i="3"/>
  <c r="CH12" i="3"/>
  <c r="CL12" i="3"/>
  <c r="CP12" i="3"/>
  <c r="CT12" i="3"/>
  <c r="CX12" i="3"/>
  <c r="DB12" i="3"/>
  <c r="DF12" i="3"/>
  <c r="DJ12" i="3"/>
  <c r="DN12" i="3"/>
  <c r="DR12" i="3"/>
  <c r="G12" i="3"/>
  <c r="K12" i="3"/>
  <c r="O12" i="3"/>
  <c r="S12" i="3"/>
  <c r="W12" i="3"/>
  <c r="AA12" i="3"/>
  <c r="AE12" i="3"/>
  <c r="AI12" i="3"/>
  <c r="AM12" i="3"/>
  <c r="AQ12" i="3"/>
  <c r="AU12" i="3"/>
  <c r="AY12" i="3"/>
  <c r="BC12" i="3"/>
  <c r="BG12" i="3"/>
  <c r="BK12" i="3"/>
  <c r="BO12" i="3"/>
  <c r="BS12" i="3"/>
  <c r="T12" i="3"/>
  <c r="AJ12" i="3"/>
  <c r="AZ12" i="3"/>
  <c r="BP12" i="3"/>
  <c r="CA12" i="3"/>
  <c r="CI12" i="3"/>
  <c r="CQ12" i="3"/>
  <c r="CY12" i="3"/>
  <c r="DG12" i="3"/>
  <c r="DO12" i="3"/>
  <c r="H12" i="3"/>
  <c r="X12" i="3"/>
  <c r="AN12" i="3"/>
  <c r="BD12" i="3"/>
  <c r="BT12" i="3"/>
  <c r="CB12" i="3"/>
  <c r="CJ12" i="3"/>
  <c r="CR12" i="3"/>
  <c r="CZ12" i="3"/>
  <c r="DH12" i="3"/>
  <c r="DP12" i="3"/>
  <c r="L12" i="3"/>
  <c r="AB12" i="3"/>
  <c r="AR12" i="3"/>
  <c r="BH12" i="3"/>
  <c r="BW12" i="3"/>
  <c r="CE12" i="3"/>
  <c r="CM12" i="3"/>
  <c r="CU12" i="3"/>
  <c r="DC12" i="3"/>
  <c r="DK12" i="3"/>
  <c r="DS12" i="3"/>
  <c r="P12" i="3"/>
  <c r="AF12" i="3"/>
  <c r="AV12" i="3"/>
  <c r="BL12" i="3"/>
  <c r="BX12" i="3"/>
  <c r="CF12" i="3"/>
  <c r="CN12" i="3"/>
  <c r="CV12" i="3"/>
  <c r="DD12" i="3"/>
  <c r="DL12" i="3"/>
  <c r="D12" i="3"/>
  <c r="F12" i="8"/>
  <c r="E14" i="8"/>
  <c r="C14" i="8"/>
  <c r="C16" i="8" s="1"/>
  <c r="D13" i="3"/>
  <c r="C4" i="12" l="1"/>
  <c r="C17" i="8"/>
  <c r="C24" i="8" s="1"/>
  <c r="D14" i="3"/>
  <c r="G12" i="8"/>
  <c r="F14" i="8"/>
  <c r="C8" i="1" l="1"/>
  <c r="E8" i="1" s="1"/>
  <c r="E24" i="8"/>
  <c r="D15" i="3"/>
  <c r="E13" i="3" s="1"/>
  <c r="C5" i="12"/>
  <c r="C6" i="12" s="1"/>
  <c r="H12" i="8"/>
  <c r="G14" i="8"/>
  <c r="C8" i="12" l="1"/>
  <c r="C5" i="13" s="1"/>
  <c r="C7" i="13" s="1"/>
  <c r="E14" i="3"/>
  <c r="D4" i="12"/>
  <c r="I12" i="8"/>
  <c r="H14" i="8"/>
  <c r="D5" i="12" l="1"/>
  <c r="E15" i="3"/>
  <c r="F13" i="3" s="1"/>
  <c r="J12" i="8"/>
  <c r="I14" i="8"/>
  <c r="F14" i="3" l="1"/>
  <c r="E4" i="12"/>
  <c r="D6" i="12"/>
  <c r="K12" i="8"/>
  <c r="J14" i="8"/>
  <c r="F15" i="3" l="1"/>
  <c r="G13" i="3" s="1"/>
  <c r="E5" i="12"/>
  <c r="E6" i="12" s="1"/>
  <c r="D8" i="12"/>
  <c r="D5" i="13" s="1"/>
  <c r="D7" i="13" s="1"/>
  <c r="L12" i="8"/>
  <c r="K14" i="8"/>
  <c r="E8" i="12" l="1"/>
  <c r="E5" i="13" s="1"/>
  <c r="E7" i="13" s="1"/>
  <c r="G14" i="3"/>
  <c r="F4" i="12"/>
  <c r="M12" i="8"/>
  <c r="M14" i="8" s="1"/>
  <c r="L14" i="8"/>
  <c r="G15" i="3" l="1"/>
  <c r="H13" i="3" s="1"/>
  <c r="F5" i="12"/>
  <c r="F6" i="12" s="1"/>
  <c r="H14" i="3" l="1"/>
  <c r="G4" i="12"/>
  <c r="F8" i="12"/>
  <c r="F5" i="13" s="1"/>
  <c r="F7" i="13" s="1"/>
  <c r="H15" i="3" l="1"/>
  <c r="I13" i="3" s="1"/>
  <c r="G5" i="12"/>
  <c r="G6" i="12" s="1"/>
  <c r="I14" i="3" l="1"/>
  <c r="H4" i="12"/>
  <c r="G8" i="12"/>
  <c r="G5" i="13" s="1"/>
  <c r="G7" i="13" s="1"/>
  <c r="I15" i="3" l="1"/>
  <c r="J13" i="3" s="1"/>
  <c r="H5" i="12"/>
  <c r="H6" i="12" s="1"/>
  <c r="H8" i="12" s="1"/>
  <c r="H5" i="13" s="1"/>
  <c r="H7" i="13" s="1"/>
  <c r="J14" i="3" l="1"/>
  <c r="I4" i="12"/>
  <c r="J15" i="3" l="1"/>
  <c r="K13" i="3" s="1"/>
  <c r="I5" i="12"/>
  <c r="I6" i="12" s="1"/>
  <c r="I8" i="12" s="1"/>
  <c r="I5" i="13" s="1"/>
  <c r="I7" i="13" s="1"/>
  <c r="K14" i="3" l="1"/>
  <c r="J4" i="12"/>
  <c r="K15" i="3" l="1"/>
  <c r="L13" i="3" s="1"/>
  <c r="J5" i="12"/>
  <c r="J6" i="12" s="1"/>
  <c r="J8" i="12" s="1"/>
  <c r="J5" i="13" s="1"/>
  <c r="J7" i="13" s="1"/>
  <c r="L14" i="3" l="1"/>
  <c r="K4" i="12"/>
  <c r="L15" i="3" l="1"/>
  <c r="M13" i="3" s="1"/>
  <c r="K5" i="12"/>
  <c r="K6" i="12" s="1"/>
  <c r="K8" i="12" s="1"/>
  <c r="K5" i="13" s="1"/>
  <c r="K7" i="13" s="1"/>
  <c r="M14" i="3" l="1"/>
  <c r="L4" i="12"/>
  <c r="M15" i="3" l="1"/>
  <c r="L5" i="12"/>
  <c r="L6" i="12" s="1"/>
  <c r="L8" i="12" s="1"/>
  <c r="L5" i="13" s="1"/>
  <c r="L7" i="13" s="1"/>
  <c r="N13" i="3" l="1"/>
  <c r="N14" i="3" l="1"/>
  <c r="M4" i="12"/>
  <c r="M5" i="12" l="1"/>
  <c r="M6" i="12" s="1"/>
  <c r="M8" i="12" s="1"/>
  <c r="M5" i="13" s="1"/>
  <c r="M7" i="13" s="1"/>
  <c r="N15" i="3"/>
  <c r="O13" i="3" s="1"/>
  <c r="O14" i="3" l="1"/>
  <c r="N4" i="12"/>
  <c r="D12" i="15"/>
  <c r="D14" i="15" s="1"/>
  <c r="D15" i="15" s="1"/>
  <c r="T17" i="9" s="1"/>
  <c r="C17" i="12" l="1"/>
  <c r="O15" i="3"/>
  <c r="P13" i="3" s="1"/>
  <c r="N5" i="12"/>
  <c r="C18" i="12" s="1"/>
  <c r="D16" i="15" l="1"/>
  <c r="E18" i="14" s="1"/>
  <c r="E21" i="14" s="1"/>
  <c r="T6" i="9"/>
  <c r="F40" i="9"/>
  <c r="P14" i="3"/>
  <c r="O4" i="12"/>
  <c r="N6" i="12"/>
  <c r="P15" i="3" l="1"/>
  <c r="O5" i="12"/>
  <c r="N8" i="12"/>
  <c r="N5" i="13" s="1"/>
  <c r="N7" i="13" s="1"/>
  <c r="C19" i="12"/>
  <c r="C21" i="12" s="1"/>
  <c r="C18" i="13" s="1"/>
  <c r="C20" i="13" s="1"/>
  <c r="T19" i="9"/>
  <c r="F29" i="9"/>
  <c r="F42" i="9" s="1"/>
  <c r="E21" i="11" l="1"/>
  <c r="S5" i="11"/>
  <c r="S7" i="11" s="1"/>
  <c r="R4" i="13" s="1"/>
  <c r="O6" i="12"/>
  <c r="Q13" i="3"/>
  <c r="O8" i="12" l="1"/>
  <c r="O5" i="13" s="1"/>
  <c r="O7" i="13" s="1"/>
  <c r="Q14" i="3"/>
  <c r="P4" i="12"/>
  <c r="P5" i="12" l="1"/>
  <c r="P6" i="12" s="1"/>
  <c r="Q15" i="3"/>
  <c r="R13" i="3" s="1"/>
  <c r="P8" i="12" l="1"/>
  <c r="P5" i="13" s="1"/>
  <c r="P7" i="13" s="1"/>
  <c r="R14" i="3"/>
  <c r="Q4" i="12"/>
  <c r="R15" i="3" l="1"/>
  <c r="Q5" i="12"/>
  <c r="S13" i="3" l="1"/>
  <c r="Q6" i="12"/>
  <c r="Q8" i="12" l="1"/>
  <c r="Q5" i="13" s="1"/>
  <c r="Q7" i="13" s="1"/>
  <c r="S14" i="3"/>
  <c r="R4" i="12"/>
  <c r="R5" i="12" l="1"/>
  <c r="R6" i="12" s="1"/>
  <c r="S15" i="3"/>
  <c r="T13" i="3" s="1"/>
  <c r="R8" i="12" l="1"/>
  <c r="R5" i="13" s="1"/>
  <c r="R7" i="13" s="1"/>
  <c r="T14" i="3"/>
  <c r="S4" i="12"/>
  <c r="T15" i="3" l="1"/>
  <c r="U13" i="3" s="1"/>
  <c r="S5" i="12"/>
  <c r="S6" i="12" s="1"/>
  <c r="S8" i="12" l="1"/>
  <c r="S5" i="13" s="1"/>
  <c r="S7" i="13" s="1"/>
  <c r="U14" i="3"/>
  <c r="T4" i="12"/>
  <c r="U15" i="3" l="1"/>
  <c r="T5" i="12"/>
  <c r="T6" i="12" s="1"/>
  <c r="T8" i="12" s="1"/>
  <c r="T5" i="13" s="1"/>
  <c r="T7" i="13" s="1"/>
  <c r="V13" i="3" l="1"/>
  <c r="V14" i="3" l="1"/>
  <c r="U4" i="12"/>
  <c r="U5" i="12" l="1"/>
  <c r="U6" i="12" s="1"/>
  <c r="U8" i="12" s="1"/>
  <c r="U5" i="13" s="1"/>
  <c r="U7" i="13" s="1"/>
  <c r="V15" i="3"/>
  <c r="W13" i="3" l="1"/>
  <c r="W14" i="3" l="1"/>
  <c r="V4" i="12"/>
  <c r="V5" i="12" l="1"/>
  <c r="V6" i="12" s="1"/>
  <c r="V8" i="12" s="1"/>
  <c r="V5" i="13" s="1"/>
  <c r="V7" i="13" s="1"/>
  <c r="W15" i="3"/>
  <c r="X13" i="3" s="1"/>
  <c r="X14" i="3" l="1"/>
  <c r="W4" i="12"/>
  <c r="X15" i="3" l="1"/>
  <c r="Y13" i="3" s="1"/>
  <c r="W5" i="12"/>
  <c r="W6" i="12" s="1"/>
  <c r="W8" i="12" s="1"/>
  <c r="W5" i="13" s="1"/>
  <c r="W7" i="13" s="1"/>
  <c r="Y14" i="3" l="1"/>
  <c r="X4" i="12"/>
  <c r="Y15" i="3" l="1"/>
  <c r="X5" i="12"/>
  <c r="X6" i="12" s="1"/>
  <c r="X8" i="12" s="1"/>
  <c r="X5" i="13" s="1"/>
  <c r="X7" i="13" s="1"/>
  <c r="Z13" i="3" l="1"/>
  <c r="Z14" i="3" l="1"/>
  <c r="Y4" i="12"/>
  <c r="Y5" i="12" l="1"/>
  <c r="Y6" i="12" s="1"/>
  <c r="Y8" i="12" s="1"/>
  <c r="Y5" i="13" s="1"/>
  <c r="Y7" i="13" s="1"/>
  <c r="Z15" i="3"/>
  <c r="AA13" i="3" l="1"/>
  <c r="AA14" i="3" l="1"/>
  <c r="Z4" i="12"/>
  <c r="E12" i="15"/>
  <c r="E14" i="15" l="1"/>
  <c r="K12" i="15"/>
  <c r="D17" i="12"/>
  <c r="Z5" i="12"/>
  <c r="D18" i="12" s="1"/>
  <c r="AA15" i="3"/>
  <c r="E15" i="15" l="1"/>
  <c r="E16" i="15" s="1"/>
  <c r="K14" i="15"/>
  <c r="AB13" i="3"/>
  <c r="Z6" i="12"/>
  <c r="F18" i="14" l="1"/>
  <c r="F21" i="14" s="1"/>
  <c r="K16" i="15"/>
  <c r="AF17" i="9"/>
  <c r="K15" i="15"/>
  <c r="Z8" i="12"/>
  <c r="Z5" i="13" s="1"/>
  <c r="Z7" i="13" s="1"/>
  <c r="D19" i="12"/>
  <c r="D21" i="12" s="1"/>
  <c r="D18" i="13" s="1"/>
  <c r="AB14" i="3"/>
  <c r="AA4" i="12"/>
  <c r="AF6" i="9" l="1"/>
  <c r="G40" i="9"/>
  <c r="AA5" i="12"/>
  <c r="AB15" i="3"/>
  <c r="G29" i="9" l="1"/>
  <c r="G42" i="9" s="1"/>
  <c r="F21" i="11" s="1"/>
  <c r="AF19" i="9"/>
  <c r="AE5" i="11" s="1"/>
  <c r="AE7" i="11" s="1"/>
  <c r="AD4" i="13" s="1"/>
  <c r="AC13" i="3"/>
  <c r="AA6" i="12"/>
  <c r="AC14" i="3" l="1"/>
  <c r="AB4" i="12"/>
  <c r="AA8" i="12"/>
  <c r="AA5" i="13" s="1"/>
  <c r="AA7" i="13" s="1"/>
  <c r="AB5" i="12" l="1"/>
  <c r="AC15" i="3"/>
  <c r="AD13" i="3" s="1"/>
  <c r="AD14" i="3" l="1"/>
  <c r="AC4" i="12"/>
  <c r="AB6" i="12"/>
  <c r="AD15" i="3" l="1"/>
  <c r="AC5" i="12"/>
  <c r="AB8" i="12"/>
  <c r="AB5" i="13" s="1"/>
  <c r="AB7" i="13" s="1"/>
  <c r="AE13" i="3" l="1"/>
  <c r="AC6" i="12"/>
  <c r="AC8" i="12" l="1"/>
  <c r="AC5" i="13" s="1"/>
  <c r="AC7" i="13" s="1"/>
  <c r="AE14" i="3"/>
  <c r="AD4" i="12"/>
  <c r="AD5" i="12" l="1"/>
  <c r="AD6" i="12" s="1"/>
  <c r="AE15" i="3"/>
  <c r="AD8" i="12" l="1"/>
  <c r="AD5" i="13" s="1"/>
  <c r="AD7" i="13" s="1"/>
  <c r="AF13" i="3"/>
  <c r="AF14" i="3" l="1"/>
  <c r="AE4" i="12"/>
  <c r="AE5" i="12" l="1"/>
  <c r="AE6" i="12" s="1"/>
  <c r="AF15" i="3"/>
  <c r="AG13" i="3" s="1"/>
  <c r="AG14" i="3" l="1"/>
  <c r="AF4" i="12"/>
  <c r="AE8" i="12"/>
  <c r="AE5" i="13" s="1"/>
  <c r="AE7" i="13" s="1"/>
  <c r="AG15" i="3" l="1"/>
  <c r="AF5" i="12"/>
  <c r="AF6" i="12" s="1"/>
  <c r="AF8" i="12" s="1"/>
  <c r="AF5" i="13" s="1"/>
  <c r="AF7" i="13" s="1"/>
  <c r="AH13" i="3" l="1"/>
  <c r="AH14" i="3" l="1"/>
  <c r="AG4" i="12"/>
  <c r="AG5" i="12" l="1"/>
  <c r="AG6" i="12" s="1"/>
  <c r="AG8" i="12" s="1"/>
  <c r="AG5" i="13" s="1"/>
  <c r="AG7" i="13" s="1"/>
  <c r="AH15" i="3"/>
  <c r="AI13" i="3" l="1"/>
  <c r="AI14" i="3" l="1"/>
  <c r="AH4" i="12"/>
  <c r="AH5" i="12" l="1"/>
  <c r="AH6" i="12" s="1"/>
  <c r="AH8" i="12" s="1"/>
  <c r="AH5" i="13" s="1"/>
  <c r="AH7" i="13" s="1"/>
  <c r="AI15" i="3"/>
  <c r="AJ13" i="3" l="1"/>
  <c r="AJ14" i="3" l="1"/>
  <c r="AI4" i="12"/>
  <c r="AI5" i="12" l="1"/>
  <c r="AI6" i="12" s="1"/>
  <c r="AI8" i="12" s="1"/>
  <c r="AI5" i="13" s="1"/>
  <c r="AI7" i="13" s="1"/>
  <c r="AJ15" i="3"/>
  <c r="AK13" i="3" s="1"/>
  <c r="AK14" i="3" l="1"/>
  <c r="AJ4" i="12"/>
  <c r="AK15" i="3" l="1"/>
  <c r="AJ5" i="12"/>
  <c r="AJ6" i="12" s="1"/>
  <c r="AJ8" i="12" s="1"/>
  <c r="AJ5" i="13" s="1"/>
  <c r="AJ7" i="13" s="1"/>
  <c r="AL13" i="3" l="1"/>
  <c r="AL14" i="3" l="1"/>
  <c r="AK4" i="12"/>
  <c r="AK5" i="12" l="1"/>
  <c r="AK6" i="12" s="1"/>
  <c r="AK8" i="12" s="1"/>
  <c r="AK5" i="13" s="1"/>
  <c r="AK7" i="13" s="1"/>
  <c r="AL15" i="3"/>
  <c r="AM13" i="3" s="1"/>
  <c r="AM14" i="3" l="1"/>
  <c r="AL4" i="12"/>
  <c r="F12" i="15"/>
  <c r="F14" i="15" l="1"/>
  <c r="L14" i="15" s="1"/>
  <c r="L12" i="15"/>
  <c r="E17" i="12"/>
  <c r="AM15" i="3"/>
  <c r="AN13" i="3" s="1"/>
  <c r="AL5" i="12"/>
  <c r="E18" i="12" s="1"/>
  <c r="F15" i="15" l="1"/>
  <c r="AR17" i="9" s="1"/>
  <c r="AL6" i="12"/>
  <c r="AL8" i="12" s="1"/>
  <c r="AL5" i="13" s="1"/>
  <c r="AL7" i="13" s="1"/>
  <c r="AN14" i="3"/>
  <c r="AM4" i="12"/>
  <c r="F16" i="15" l="1"/>
  <c r="L16" i="15" s="1"/>
  <c r="L15" i="15"/>
  <c r="AR6" i="9"/>
  <c r="H29" i="9" s="1"/>
  <c r="H42" i="9" s="1"/>
  <c r="H40" i="9"/>
  <c r="G18" i="14"/>
  <c r="G21" i="14" s="1"/>
  <c r="E19" i="12"/>
  <c r="E21" i="12" s="1"/>
  <c r="E18" i="13" s="1"/>
  <c r="AN15" i="3"/>
  <c r="AO13" i="3" s="1"/>
  <c r="AM5" i="12"/>
  <c r="AR19" i="9" l="1"/>
  <c r="AQ5" i="11" s="1"/>
  <c r="AQ7" i="11" s="1"/>
  <c r="AP4" i="13" s="1"/>
  <c r="G21" i="11"/>
  <c r="AM6" i="12"/>
  <c r="AO14" i="3"/>
  <c r="AN4" i="12"/>
  <c r="AO15" i="3" l="1"/>
  <c r="AN5" i="12"/>
  <c r="AM8" i="12"/>
  <c r="AM5" i="13" s="1"/>
  <c r="AM7" i="13" s="1"/>
  <c r="AP13" i="3" l="1"/>
  <c r="AN6" i="12"/>
  <c r="AN8" i="12" l="1"/>
  <c r="AN5" i="13" s="1"/>
  <c r="AN7" i="13" s="1"/>
  <c r="AP14" i="3"/>
  <c r="AO4" i="12"/>
  <c r="AO5" i="12" l="1"/>
  <c r="AP15" i="3"/>
  <c r="AQ13" i="3" l="1"/>
  <c r="AO6" i="12"/>
  <c r="AO8" i="12" l="1"/>
  <c r="AO5" i="13" s="1"/>
  <c r="AO7" i="13" s="1"/>
  <c r="AQ14" i="3"/>
  <c r="AP4" i="12"/>
  <c r="AP5" i="12" l="1"/>
  <c r="AP6" i="12" s="1"/>
  <c r="AQ15" i="3"/>
  <c r="AP8" i="12" l="1"/>
  <c r="AP5" i="13" s="1"/>
  <c r="AP7" i="13" s="1"/>
  <c r="AR13" i="3"/>
  <c r="AR14" i="3" l="1"/>
  <c r="AQ4" i="12"/>
  <c r="AQ5" i="12" l="1"/>
  <c r="AQ6" i="12" s="1"/>
  <c r="AR15" i="3"/>
  <c r="AS13" i="3" s="1"/>
  <c r="AS14" i="3" l="1"/>
  <c r="AR4" i="12"/>
  <c r="AQ8" i="12"/>
  <c r="AQ5" i="13" s="1"/>
  <c r="AQ7" i="13" s="1"/>
  <c r="AS15" i="3" l="1"/>
  <c r="AT13" i="3" s="1"/>
  <c r="AR5" i="12"/>
  <c r="AR6" i="12" s="1"/>
  <c r="AR8" i="12" s="1"/>
  <c r="AR5" i="13" s="1"/>
  <c r="AR7" i="13" s="1"/>
  <c r="AT14" i="3" l="1"/>
  <c r="AS4" i="12"/>
  <c r="AT15" i="3" l="1"/>
  <c r="AS5" i="12"/>
  <c r="AS6" i="12" s="1"/>
  <c r="AS8" i="12" s="1"/>
  <c r="AS5" i="13" s="1"/>
  <c r="AS7" i="13" s="1"/>
  <c r="AU13" i="3" l="1"/>
  <c r="AU14" i="3" l="1"/>
  <c r="AT4" i="12"/>
  <c r="AT5" i="12" l="1"/>
  <c r="AT6" i="12" s="1"/>
  <c r="AT8" i="12" s="1"/>
  <c r="AT5" i="13" s="1"/>
  <c r="AT7" i="13" s="1"/>
  <c r="AU15" i="3"/>
  <c r="AV13" i="3" s="1"/>
  <c r="AV14" i="3" l="1"/>
  <c r="AU4" i="12"/>
  <c r="AV15" i="3" l="1"/>
  <c r="AU5" i="12"/>
  <c r="AU6" i="12" s="1"/>
  <c r="AU8" i="12" s="1"/>
  <c r="AU5" i="13" s="1"/>
  <c r="AU7" i="13" s="1"/>
  <c r="AW13" i="3" l="1"/>
  <c r="AW14" i="3" l="1"/>
  <c r="AV4" i="12"/>
  <c r="AV5" i="12" l="1"/>
  <c r="AV6" i="12" s="1"/>
  <c r="AV8" i="12" s="1"/>
  <c r="AV5" i="13" s="1"/>
  <c r="AV7" i="13" s="1"/>
  <c r="AW15" i="3"/>
  <c r="AX13" i="3" l="1"/>
  <c r="AX14" i="3" l="1"/>
  <c r="AW4" i="12"/>
  <c r="AW5" i="12" l="1"/>
  <c r="AW6" i="12" s="1"/>
  <c r="AW8" i="12" s="1"/>
  <c r="AW5" i="13" s="1"/>
  <c r="AW7" i="13" s="1"/>
  <c r="AX15" i="3"/>
  <c r="AY13" i="3" s="1"/>
  <c r="AY14" i="3" l="1"/>
  <c r="AX4" i="12"/>
  <c r="G12" i="15"/>
  <c r="G14" i="15" l="1"/>
  <c r="M14" i="15" s="1"/>
  <c r="M12" i="15"/>
  <c r="F17" i="12"/>
  <c r="AY15" i="3"/>
  <c r="AX5" i="12"/>
  <c r="F18" i="12" s="1"/>
  <c r="G15" i="15" l="1"/>
  <c r="M15" i="15" s="1"/>
  <c r="AZ13" i="3"/>
  <c r="AX6" i="12"/>
  <c r="G16" i="15" l="1"/>
  <c r="M16" i="15" s="1"/>
  <c r="BD17" i="9"/>
  <c r="I40" i="9" s="1"/>
  <c r="AX8" i="12"/>
  <c r="AX5" i="13" s="1"/>
  <c r="AX7" i="13" s="1"/>
  <c r="F19" i="12"/>
  <c r="F21" i="12" s="1"/>
  <c r="F18" i="13" s="1"/>
  <c r="AZ14" i="3"/>
  <c r="AY4" i="12"/>
  <c r="H18" i="14" l="1"/>
  <c r="H21" i="14" s="1"/>
  <c r="BD6" i="9"/>
  <c r="I29" i="9" s="1"/>
  <c r="I42" i="9" s="1"/>
  <c r="H21" i="11" s="1"/>
  <c r="AY5" i="12"/>
  <c r="AZ15" i="3"/>
  <c r="BD19" i="9" l="1"/>
  <c r="BC5" i="11" s="1"/>
  <c r="BC7" i="11" s="1"/>
  <c r="BB4" i="13" s="1"/>
  <c r="BA13" i="3"/>
  <c r="AY6" i="12"/>
  <c r="AY8" i="12" l="1"/>
  <c r="AY5" i="13" s="1"/>
  <c r="AY7" i="13" s="1"/>
  <c r="BA14" i="3"/>
  <c r="AZ4" i="12"/>
  <c r="AZ5" i="12" l="1"/>
  <c r="BA15" i="3"/>
  <c r="BB13" i="3" s="1"/>
  <c r="BB14" i="3" l="1"/>
  <c r="BA4" i="12"/>
  <c r="AZ6" i="12"/>
  <c r="BB15" i="3" l="1"/>
  <c r="BA5" i="12"/>
  <c r="AZ8" i="12"/>
  <c r="AZ5" i="13" s="1"/>
  <c r="AZ7" i="13" s="1"/>
  <c r="BC13" i="3" l="1"/>
  <c r="BA6" i="12"/>
  <c r="BC14" i="3" l="1"/>
  <c r="BB4" i="12"/>
  <c r="BA8" i="12"/>
  <c r="BA5" i="13" s="1"/>
  <c r="BA7" i="13" s="1"/>
  <c r="BB5" i="12" l="1"/>
  <c r="BB6" i="12" s="1"/>
  <c r="BC15" i="3"/>
  <c r="BD13" i="3" s="1"/>
  <c r="BB8" i="12" l="1"/>
  <c r="BB5" i="13" s="1"/>
  <c r="BB7" i="13" s="1"/>
  <c r="BD14" i="3"/>
  <c r="BC4" i="12"/>
  <c r="BD15" i="3" l="1"/>
  <c r="BC5" i="12"/>
  <c r="BC6" i="12" s="1"/>
  <c r="BC8" i="12" l="1"/>
  <c r="BC5" i="13" s="1"/>
  <c r="BC7" i="13" s="1"/>
  <c r="BE13" i="3"/>
  <c r="BE14" i="3" l="1"/>
  <c r="BD4" i="12"/>
  <c r="BD5" i="12" l="1"/>
  <c r="BD6" i="12" s="1"/>
  <c r="BD8" i="12" s="1"/>
  <c r="BD5" i="13" s="1"/>
  <c r="BD7" i="13" s="1"/>
  <c r="BE15" i="3"/>
  <c r="BF13" i="3" s="1"/>
  <c r="BF14" i="3" l="1"/>
  <c r="BE4" i="12"/>
  <c r="BF15" i="3" l="1"/>
  <c r="BE5" i="12"/>
  <c r="BE6" i="12" s="1"/>
  <c r="BE8" i="12" s="1"/>
  <c r="BE5" i="13" s="1"/>
  <c r="BE7" i="13" s="1"/>
  <c r="BG13" i="3" l="1"/>
  <c r="BG14" i="3" l="1"/>
  <c r="BF4" i="12"/>
  <c r="BF5" i="12" l="1"/>
  <c r="BF6" i="12" s="1"/>
  <c r="BF8" i="12" s="1"/>
  <c r="BF5" i="13" s="1"/>
  <c r="BF7" i="13" s="1"/>
  <c r="BG15" i="3"/>
  <c r="BH13" i="3" s="1"/>
  <c r="BH14" i="3" l="1"/>
  <c r="BG4" i="12"/>
  <c r="BH15" i="3" l="1"/>
  <c r="BG5" i="12"/>
  <c r="BG6" i="12" s="1"/>
  <c r="BG8" i="12" s="1"/>
  <c r="BG5" i="13" s="1"/>
  <c r="BG7" i="13" s="1"/>
  <c r="BI13" i="3" l="1"/>
  <c r="BI14" i="3" l="1"/>
  <c r="BH4" i="12"/>
  <c r="BH5" i="12" l="1"/>
  <c r="BH6" i="12" s="1"/>
  <c r="BH8" i="12" s="1"/>
  <c r="BH5" i="13" s="1"/>
  <c r="BH7" i="13" s="1"/>
  <c r="BI15" i="3"/>
  <c r="BJ13" i="3" l="1"/>
  <c r="BJ14" i="3" l="1"/>
  <c r="BI4" i="12"/>
  <c r="BI5" i="12" l="1"/>
  <c r="BI6" i="12" s="1"/>
  <c r="BI8" i="12" s="1"/>
  <c r="BI5" i="13" s="1"/>
  <c r="BI7" i="13" s="1"/>
  <c r="BJ15" i="3"/>
  <c r="BK13" i="3" s="1"/>
  <c r="BK14" i="3" l="1"/>
  <c r="BJ4" i="12"/>
  <c r="H12" i="15"/>
  <c r="H14" i="15" l="1"/>
  <c r="N14" i="15" s="1"/>
  <c r="N12" i="15"/>
  <c r="G17" i="12"/>
  <c r="BK15" i="3"/>
  <c r="BL13" i="3" s="1"/>
  <c r="BJ5" i="12"/>
  <c r="G18" i="12" s="1"/>
  <c r="H15" i="15" l="1"/>
  <c r="BP17" i="9" s="1"/>
  <c r="BJ6" i="12"/>
  <c r="BJ8" i="12" s="1"/>
  <c r="BJ5" i="13" s="1"/>
  <c r="BJ7" i="13" s="1"/>
  <c r="BL14" i="3"/>
  <c r="BK4" i="12"/>
  <c r="BP6" i="9" l="1"/>
  <c r="J29" i="9" s="1"/>
  <c r="J42" i="9" s="1"/>
  <c r="J40" i="9"/>
  <c r="H16" i="15"/>
  <c r="N16" i="15" s="1"/>
  <c r="N15" i="15"/>
  <c r="G19" i="12"/>
  <c r="G21" i="12" s="1"/>
  <c r="G18" i="13" s="1"/>
  <c r="BL15" i="3"/>
  <c r="BK5" i="12"/>
  <c r="BP19" i="9" l="1"/>
  <c r="BO5" i="11" s="1"/>
  <c r="BO7" i="11" s="1"/>
  <c r="BN4" i="13" s="1"/>
  <c r="I18" i="14"/>
  <c r="I21" i="14" s="1"/>
  <c r="I21" i="11"/>
  <c r="BK6" i="12"/>
  <c r="BM13" i="3"/>
  <c r="BM14" i="3" l="1"/>
  <c r="BL4" i="12"/>
  <c r="BK8" i="12"/>
  <c r="BK5" i="13" s="1"/>
  <c r="BK7" i="13" s="1"/>
  <c r="BL5" i="12" l="1"/>
  <c r="BM15" i="3"/>
  <c r="BN13" i="3" l="1"/>
  <c r="BL6" i="12"/>
  <c r="BL8" i="12" l="1"/>
  <c r="BL5" i="13" s="1"/>
  <c r="BL7" i="13" s="1"/>
  <c r="BN14" i="3"/>
  <c r="BM4" i="12"/>
  <c r="BM5" i="12" l="1"/>
  <c r="BM6" i="12" s="1"/>
  <c r="BN15" i="3"/>
  <c r="BM8" i="12" l="1"/>
  <c r="BM5" i="13" s="1"/>
  <c r="BM7" i="13" s="1"/>
  <c r="BO13" i="3"/>
  <c r="BO14" i="3" l="1"/>
  <c r="BN4" i="12"/>
  <c r="BN5" i="12" l="1"/>
  <c r="BN6" i="12" s="1"/>
  <c r="BO15" i="3"/>
  <c r="BP13" i="3" s="1"/>
  <c r="BN8" i="12" l="1"/>
  <c r="BN5" i="13" s="1"/>
  <c r="BN7" i="13" s="1"/>
  <c r="BP14" i="3"/>
  <c r="BO4" i="12"/>
  <c r="BP15" i="3" l="1"/>
  <c r="BQ13" i="3" s="1"/>
  <c r="BO5" i="12"/>
  <c r="BO6" i="12" s="1"/>
  <c r="BO8" i="12" l="1"/>
  <c r="BO5" i="13" s="1"/>
  <c r="BO7" i="13" s="1"/>
  <c r="BQ14" i="3"/>
  <c r="BP4" i="12"/>
  <c r="BQ15" i="3" l="1"/>
  <c r="BP5" i="12"/>
  <c r="BP6" i="12" s="1"/>
  <c r="BP8" i="12" s="1"/>
  <c r="BP5" i="13" s="1"/>
  <c r="BP7" i="13" s="1"/>
  <c r="BR13" i="3" l="1"/>
  <c r="BR14" i="3" l="1"/>
  <c r="BQ4" i="12"/>
  <c r="BQ5" i="12" l="1"/>
  <c r="BQ6" i="12" s="1"/>
  <c r="BQ8" i="12" s="1"/>
  <c r="BQ5" i="13" s="1"/>
  <c r="BQ7" i="13" s="1"/>
  <c r="BR15" i="3"/>
  <c r="BS13" i="3" l="1"/>
  <c r="BS14" i="3" l="1"/>
  <c r="BR4" i="12"/>
  <c r="BR5" i="12" l="1"/>
  <c r="BR6" i="12" s="1"/>
  <c r="BR8" i="12" s="1"/>
  <c r="BR5" i="13" s="1"/>
  <c r="BR7" i="13" s="1"/>
  <c r="BS15" i="3"/>
  <c r="BT13" i="3" l="1"/>
  <c r="BT14" i="3" l="1"/>
  <c r="BS4" i="12"/>
  <c r="BS5" i="12" l="1"/>
  <c r="BS6" i="12" s="1"/>
  <c r="BS8" i="12" s="1"/>
  <c r="BS5" i="13" s="1"/>
  <c r="BS7" i="13" s="1"/>
  <c r="BT15" i="3"/>
  <c r="BU13" i="3" l="1"/>
  <c r="BU14" i="3" l="1"/>
  <c r="BT4" i="12"/>
  <c r="BT5" i="12" l="1"/>
  <c r="BT6" i="12" s="1"/>
  <c r="BT8" i="12" s="1"/>
  <c r="BT5" i="13" s="1"/>
  <c r="BT7" i="13" s="1"/>
  <c r="BU15" i="3"/>
  <c r="BV13" i="3" l="1"/>
  <c r="BV14" i="3" l="1"/>
  <c r="BU4" i="12"/>
  <c r="BU5" i="12" l="1"/>
  <c r="BU6" i="12" s="1"/>
  <c r="BU8" i="12" s="1"/>
  <c r="BU5" i="13" s="1"/>
  <c r="BU7" i="13" s="1"/>
  <c r="BV15" i="3"/>
  <c r="BW13" i="3" s="1"/>
  <c r="BW14" i="3" l="1"/>
  <c r="BV4" i="12"/>
  <c r="I12" i="15"/>
  <c r="I14" i="15" l="1"/>
  <c r="O14" i="15" s="1"/>
  <c r="O12" i="15"/>
  <c r="H17" i="12"/>
  <c r="BW15" i="3"/>
  <c r="BV5" i="12"/>
  <c r="H18" i="12" s="1"/>
  <c r="I15" i="15" l="1"/>
  <c r="CB17" i="9" s="1"/>
  <c r="BX13" i="3"/>
  <c r="BV6" i="12"/>
  <c r="CB6" i="9" l="1"/>
  <c r="CB19" i="9" s="1"/>
  <c r="K40" i="9"/>
  <c r="I16" i="15"/>
  <c r="J18" i="14" s="1"/>
  <c r="J21" i="14" s="1"/>
  <c r="O15" i="15"/>
  <c r="BV8" i="12"/>
  <c r="BV5" i="13" s="1"/>
  <c r="BV7" i="13" s="1"/>
  <c r="H19" i="12"/>
  <c r="H21" i="12" s="1"/>
  <c r="H18" i="13" s="1"/>
  <c r="BX14" i="3"/>
  <c r="BW4" i="12"/>
  <c r="O16" i="15" l="1"/>
  <c r="K29" i="9"/>
  <c r="K42" i="9" s="1"/>
  <c r="J21" i="11" s="1"/>
  <c r="CA5" i="11"/>
  <c r="CA7" i="11" s="1"/>
  <c r="BZ4" i="13" s="1"/>
  <c r="BW5" i="12"/>
  <c r="BX15" i="3"/>
  <c r="BY13" i="3" s="1"/>
  <c r="BY14" i="3" l="1"/>
  <c r="BX4" i="12"/>
  <c r="BW6" i="12"/>
  <c r="BW8" i="12" l="1"/>
  <c r="BW5" i="13" s="1"/>
  <c r="BW7" i="13" s="1"/>
  <c r="BY15" i="3"/>
  <c r="BX5" i="12"/>
  <c r="BZ13" i="3" l="1"/>
  <c r="BX6" i="12"/>
  <c r="BX8" i="12" l="1"/>
  <c r="BX5" i="13" s="1"/>
  <c r="BX7" i="13" s="1"/>
  <c r="BZ14" i="3"/>
  <c r="BY4" i="12"/>
  <c r="BY5" i="12" l="1"/>
  <c r="BY6" i="12" s="1"/>
  <c r="BZ15" i="3"/>
  <c r="CA13" i="3" s="1"/>
  <c r="CA14" i="3" l="1"/>
  <c r="BZ4" i="12"/>
  <c r="BY8" i="12"/>
  <c r="BY5" i="13" s="1"/>
  <c r="BY7" i="13" s="1"/>
  <c r="CA15" i="3" l="1"/>
  <c r="CB13" i="3" s="1"/>
  <c r="BZ5" i="12"/>
  <c r="BZ6" i="12" s="1"/>
  <c r="BZ8" i="12" l="1"/>
  <c r="BZ5" i="13" s="1"/>
  <c r="BZ7" i="13" s="1"/>
  <c r="CB14" i="3"/>
  <c r="CA4" i="12"/>
  <c r="CB15" i="3" l="1"/>
  <c r="CA5" i="12"/>
  <c r="CA6" i="12" s="1"/>
  <c r="CA8" i="12" l="1"/>
  <c r="CA5" i="13" s="1"/>
  <c r="CA7" i="13" s="1"/>
  <c r="CC13" i="3"/>
  <c r="CC14" i="3" l="1"/>
  <c r="CB4" i="12"/>
  <c r="CB5" i="12" l="1"/>
  <c r="CB6" i="12" s="1"/>
  <c r="CB8" i="12" s="1"/>
  <c r="CB5" i="13" s="1"/>
  <c r="CB7" i="13" s="1"/>
  <c r="CC15" i="3"/>
  <c r="CD13" i="3" l="1"/>
  <c r="CD14" i="3" l="1"/>
  <c r="CC4" i="12"/>
  <c r="CC5" i="12" l="1"/>
  <c r="CC6" i="12" s="1"/>
  <c r="CC8" i="12" s="1"/>
  <c r="CC5" i="13" s="1"/>
  <c r="CC7" i="13" s="1"/>
  <c r="CD15" i="3"/>
  <c r="CE13" i="3" l="1"/>
  <c r="CE14" i="3" l="1"/>
  <c r="CD4" i="12"/>
  <c r="CD5" i="12" l="1"/>
  <c r="CD6" i="12" s="1"/>
  <c r="CD8" i="12" s="1"/>
  <c r="CD5" i="13" s="1"/>
  <c r="CD7" i="13" s="1"/>
  <c r="CE15" i="3"/>
  <c r="CF13" i="3" l="1"/>
  <c r="CF14" i="3" l="1"/>
  <c r="CE4" i="12"/>
  <c r="CE5" i="12" l="1"/>
  <c r="CE6" i="12" s="1"/>
  <c r="CE8" i="12" s="1"/>
  <c r="CE5" i="13" s="1"/>
  <c r="CE7" i="13" s="1"/>
  <c r="CF15" i="3"/>
  <c r="CG13" i="3" l="1"/>
  <c r="CG14" i="3" l="1"/>
  <c r="CF4" i="12"/>
  <c r="CF5" i="12" l="1"/>
  <c r="CF6" i="12" s="1"/>
  <c r="CF8" i="12" s="1"/>
  <c r="CF5" i="13" s="1"/>
  <c r="CF7" i="13" s="1"/>
  <c r="CG15" i="3"/>
  <c r="CH13" i="3" l="1"/>
  <c r="CH14" i="3" l="1"/>
  <c r="CG4" i="12"/>
  <c r="CG5" i="12" l="1"/>
  <c r="CG6" i="12" s="1"/>
  <c r="CG8" i="12" s="1"/>
  <c r="CG5" i="13" s="1"/>
  <c r="CG7" i="13" s="1"/>
  <c r="CH15" i="3"/>
  <c r="CI13" i="3" s="1"/>
  <c r="CI14" i="3" l="1"/>
  <c r="CH4" i="12"/>
  <c r="D29" i="15"/>
  <c r="D31" i="15" l="1"/>
  <c r="P14" i="15" s="1"/>
  <c r="P12" i="15"/>
  <c r="I17" i="12"/>
  <c r="CI15" i="3"/>
  <c r="CJ13" i="3" s="1"/>
  <c r="CH5" i="12"/>
  <c r="I18" i="12" s="1"/>
  <c r="D32" i="15" l="1"/>
  <c r="CN17" i="9" s="1"/>
  <c r="CH6" i="12"/>
  <c r="CJ14" i="3"/>
  <c r="CI4" i="12"/>
  <c r="D33" i="15" l="1"/>
  <c r="E29" i="14" s="1"/>
  <c r="E32" i="14" s="1"/>
  <c r="CN6" i="9"/>
  <c r="L29" i="9" s="1"/>
  <c r="L42" i="9" s="1"/>
  <c r="L40" i="9"/>
  <c r="P15" i="15"/>
  <c r="P16" i="15"/>
  <c r="CJ15" i="3"/>
  <c r="CK13" i="3" s="1"/>
  <c r="CI5" i="12"/>
  <c r="CH8" i="12"/>
  <c r="CH5" i="13" s="1"/>
  <c r="CH7" i="13" s="1"/>
  <c r="I19" i="12"/>
  <c r="I21" i="12" s="1"/>
  <c r="I18" i="13" s="1"/>
  <c r="CN19" i="9" l="1"/>
  <c r="CM5" i="11"/>
  <c r="CM7" i="11" s="1"/>
  <c r="CL4" i="13" s="1"/>
  <c r="K21" i="11"/>
  <c r="CK14" i="3"/>
  <c r="CJ4" i="12"/>
  <c r="CI6" i="12"/>
  <c r="CI8" i="12" l="1"/>
  <c r="CI5" i="13" s="1"/>
  <c r="CI7" i="13" s="1"/>
  <c r="CK15" i="3"/>
  <c r="CJ5" i="12"/>
  <c r="CJ6" i="12" s="1"/>
  <c r="CJ8" i="12" s="1"/>
  <c r="CJ5" i="13" s="1"/>
  <c r="CJ7" i="13" s="1"/>
  <c r="CL13" i="3" l="1"/>
  <c r="CL14" i="3" l="1"/>
  <c r="CK4" i="12"/>
  <c r="CK5" i="12" l="1"/>
  <c r="CL15" i="3"/>
  <c r="CM13" i="3" s="1"/>
  <c r="CM14" i="3" l="1"/>
  <c r="CL4" i="12"/>
  <c r="CK6" i="12"/>
  <c r="CK8" i="12" l="1"/>
  <c r="CK5" i="13" s="1"/>
  <c r="CK7" i="13" s="1"/>
  <c r="CM15" i="3"/>
  <c r="CN13" i="3" s="1"/>
  <c r="CL5" i="12"/>
  <c r="CL6" i="12" s="1"/>
  <c r="CL8" i="12" l="1"/>
  <c r="CL5" i="13" s="1"/>
  <c r="CL7" i="13" s="1"/>
  <c r="CN14" i="3"/>
  <c r="CM4" i="12"/>
  <c r="CN15" i="3" l="1"/>
  <c r="CM5" i="12"/>
  <c r="CM6" i="12" s="1"/>
  <c r="CM8" i="12" l="1"/>
  <c r="CM5" i="13" s="1"/>
  <c r="CM7" i="13" s="1"/>
  <c r="CO13" i="3"/>
  <c r="CO14" i="3" l="1"/>
  <c r="CN4" i="12"/>
  <c r="CN5" i="12" l="1"/>
  <c r="CN6" i="12" s="1"/>
  <c r="CN8" i="12" s="1"/>
  <c r="CN5" i="13" s="1"/>
  <c r="CN7" i="13" s="1"/>
  <c r="CO15" i="3"/>
  <c r="CP13" i="3" l="1"/>
  <c r="CP14" i="3" l="1"/>
  <c r="CO4" i="12"/>
  <c r="CO5" i="12" l="1"/>
  <c r="CO6" i="12" s="1"/>
  <c r="CO8" i="12" s="1"/>
  <c r="CO5" i="13" s="1"/>
  <c r="CO7" i="13" s="1"/>
  <c r="CP15" i="3"/>
  <c r="CQ13" i="3" l="1"/>
  <c r="CQ14" i="3" l="1"/>
  <c r="CP4" i="12"/>
  <c r="CP5" i="12" l="1"/>
  <c r="CP6" i="12" s="1"/>
  <c r="CP8" i="12" s="1"/>
  <c r="CP5" i="13" s="1"/>
  <c r="CP7" i="13" s="1"/>
  <c r="CQ15" i="3"/>
  <c r="CR13" i="3" s="1"/>
  <c r="CR14" i="3" l="1"/>
  <c r="CQ4" i="12"/>
  <c r="CR15" i="3" l="1"/>
  <c r="CQ5" i="12"/>
  <c r="CQ6" i="12" s="1"/>
  <c r="CQ8" i="12" s="1"/>
  <c r="CQ5" i="13" s="1"/>
  <c r="CQ7" i="13" s="1"/>
  <c r="CS13" i="3" l="1"/>
  <c r="CS14" i="3" l="1"/>
  <c r="CR4" i="12"/>
  <c r="CR5" i="12" l="1"/>
  <c r="CR6" i="12" s="1"/>
  <c r="CR8" i="12" s="1"/>
  <c r="CR5" i="13" s="1"/>
  <c r="CR7" i="13" s="1"/>
  <c r="CS15" i="3"/>
  <c r="CT13" i="3" l="1"/>
  <c r="CT14" i="3" l="1"/>
  <c r="CS4" i="12"/>
  <c r="CS5" i="12" l="1"/>
  <c r="CS6" i="12" s="1"/>
  <c r="CS8" i="12" s="1"/>
  <c r="CS5" i="13" s="1"/>
  <c r="CS7" i="13" s="1"/>
  <c r="CT15" i="3"/>
  <c r="CU13" i="3" l="1"/>
  <c r="CU14" i="3" l="1"/>
  <c r="CT4" i="12"/>
  <c r="E29" i="15"/>
  <c r="E31" i="15" l="1"/>
  <c r="K31" i="15" s="1"/>
  <c r="K29" i="15"/>
  <c r="J17" i="12"/>
  <c r="CT5" i="12"/>
  <c r="J18" i="12" s="1"/>
  <c r="CU15" i="3"/>
  <c r="E32" i="15" l="1"/>
  <c r="CZ17" i="9" s="1"/>
  <c r="CV13" i="3"/>
  <c r="CT6" i="12"/>
  <c r="E33" i="15" l="1"/>
  <c r="M40" i="9"/>
  <c r="CZ6" i="9"/>
  <c r="M29" i="9" s="1"/>
  <c r="M42" i="9" s="1"/>
  <c r="K32" i="15"/>
  <c r="F29" i="14"/>
  <c r="F32" i="14" s="1"/>
  <c r="K33" i="15"/>
  <c r="CV14" i="3"/>
  <c r="CU4" i="12"/>
  <c r="CT8" i="12"/>
  <c r="CT5" i="13" s="1"/>
  <c r="CT7" i="13" s="1"/>
  <c r="J19" i="12"/>
  <c r="J21" i="12" s="1"/>
  <c r="J18" i="13" s="1"/>
  <c r="CZ19" i="9" l="1"/>
  <c r="CY5" i="11" s="1"/>
  <c r="CY7" i="11" s="1"/>
  <c r="CX4" i="13" s="1"/>
  <c r="L21" i="11"/>
  <c r="CU5" i="12"/>
  <c r="CV15" i="3"/>
  <c r="CU6" i="12" l="1"/>
  <c r="CW13" i="3"/>
  <c r="CW14" i="3" l="1"/>
  <c r="CV4" i="12"/>
  <c r="CU8" i="12"/>
  <c r="CU5" i="13" s="1"/>
  <c r="CU7" i="13" s="1"/>
  <c r="CV5" i="12" l="1"/>
  <c r="CW15" i="3"/>
  <c r="CX13" i="3" l="1"/>
  <c r="CV6" i="12"/>
  <c r="CV8" i="12" l="1"/>
  <c r="CV5" i="13" s="1"/>
  <c r="CV7" i="13" s="1"/>
  <c r="CX14" i="3"/>
  <c r="CW4" i="12"/>
  <c r="CW5" i="12" l="1"/>
  <c r="CW6" i="12" s="1"/>
  <c r="CX15" i="3"/>
  <c r="CW8" i="12" l="1"/>
  <c r="CW5" i="13" s="1"/>
  <c r="CW7" i="13" s="1"/>
  <c r="CY13" i="3"/>
  <c r="CY14" i="3" l="1"/>
  <c r="CX4" i="12"/>
  <c r="CX5" i="12" l="1"/>
  <c r="CX6" i="12" s="1"/>
  <c r="CY15" i="3"/>
  <c r="CX8" i="12" l="1"/>
  <c r="CX5" i="13" s="1"/>
  <c r="CX7" i="13" s="1"/>
  <c r="CZ13" i="3"/>
  <c r="CZ14" i="3" l="1"/>
  <c r="CY4" i="12"/>
  <c r="CY5" i="12" l="1"/>
  <c r="CY6" i="12" s="1"/>
  <c r="CZ15" i="3"/>
  <c r="DA13" i="3" l="1"/>
  <c r="CY8" i="12"/>
  <c r="CY5" i="13" s="1"/>
  <c r="CY7" i="13" s="1"/>
  <c r="DA14" i="3" l="1"/>
  <c r="CZ4" i="12"/>
  <c r="CZ5" i="12" l="1"/>
  <c r="CZ6" i="12" s="1"/>
  <c r="CZ8" i="12" s="1"/>
  <c r="CZ5" i="13" s="1"/>
  <c r="CZ7" i="13" s="1"/>
  <c r="DA15" i="3"/>
  <c r="DB13" i="3" l="1"/>
  <c r="DB14" i="3" l="1"/>
  <c r="DA4" i="12"/>
  <c r="DA5" i="12" l="1"/>
  <c r="DA6" i="12" s="1"/>
  <c r="DA8" i="12" s="1"/>
  <c r="DA5" i="13" s="1"/>
  <c r="DA7" i="13" s="1"/>
  <c r="DB15" i="3"/>
  <c r="DC13" i="3" l="1"/>
  <c r="DC14" i="3" l="1"/>
  <c r="DB4" i="12"/>
  <c r="DB5" i="12" l="1"/>
  <c r="DB6" i="12" s="1"/>
  <c r="DB8" i="12" s="1"/>
  <c r="DB5" i="13" s="1"/>
  <c r="DB7" i="13" s="1"/>
  <c r="DC15" i="3"/>
  <c r="DD13" i="3" l="1"/>
  <c r="DD14" i="3" l="1"/>
  <c r="DC4" i="12"/>
  <c r="DC5" i="12" l="1"/>
  <c r="DC6" i="12" s="1"/>
  <c r="DC8" i="12" s="1"/>
  <c r="DC5" i="13" s="1"/>
  <c r="DC7" i="13" s="1"/>
  <c r="DD15" i="3"/>
  <c r="DE13" i="3" l="1"/>
  <c r="DE14" i="3" l="1"/>
  <c r="DD4" i="12"/>
  <c r="DD5" i="12" l="1"/>
  <c r="DD6" i="12" s="1"/>
  <c r="DD8" i="12" s="1"/>
  <c r="DD5" i="13" s="1"/>
  <c r="DD7" i="13" s="1"/>
  <c r="DE15" i="3"/>
  <c r="DF13" i="3" l="1"/>
  <c r="DF14" i="3" l="1"/>
  <c r="DE4" i="12"/>
  <c r="DE5" i="12" l="1"/>
  <c r="DE6" i="12" s="1"/>
  <c r="DE8" i="12" s="1"/>
  <c r="DE5" i="13" s="1"/>
  <c r="DE7" i="13" s="1"/>
  <c r="DF15" i="3"/>
  <c r="DG13" i="3" l="1"/>
  <c r="DG14" i="3" l="1"/>
  <c r="DF4" i="12"/>
  <c r="F29" i="15"/>
  <c r="F31" i="15" l="1"/>
  <c r="L31" i="15" s="1"/>
  <c r="L29" i="15"/>
  <c r="K17" i="12"/>
  <c r="DF5" i="12"/>
  <c r="K18" i="12" s="1"/>
  <c r="DG15" i="3"/>
  <c r="F32" i="15" l="1"/>
  <c r="DL17" i="9" s="1"/>
  <c r="DF6" i="12"/>
  <c r="DH13" i="3"/>
  <c r="L32" i="15" l="1"/>
  <c r="N40" i="9"/>
  <c r="DL6" i="9"/>
  <c r="N29" i="9" s="1"/>
  <c r="N42" i="9" s="1"/>
  <c r="F33" i="15"/>
  <c r="L33" i="15" s="1"/>
  <c r="DH14" i="3"/>
  <c r="DG4" i="12"/>
  <c r="DF8" i="12"/>
  <c r="DF5" i="13" s="1"/>
  <c r="DF7" i="13" s="1"/>
  <c r="K19" i="12"/>
  <c r="K21" i="12" s="1"/>
  <c r="K18" i="13" s="1"/>
  <c r="DL19" i="9" l="1"/>
  <c r="DK5" i="11" s="1"/>
  <c r="DK7" i="11" s="1"/>
  <c r="DJ4" i="13" s="1"/>
  <c r="G29" i="14"/>
  <c r="G32" i="14" s="1"/>
  <c r="M21" i="11"/>
  <c r="DG5" i="12"/>
  <c r="DH15" i="3"/>
  <c r="DG6" i="12" l="1"/>
  <c r="DI13" i="3"/>
  <c r="DI14" i="3" l="1"/>
  <c r="DH4" i="12"/>
  <c r="DG8" i="12"/>
  <c r="DG5" i="13" s="1"/>
  <c r="DG7" i="13" s="1"/>
  <c r="DH5" i="12" l="1"/>
  <c r="DI15" i="3"/>
  <c r="DJ13" i="3" l="1"/>
  <c r="DH6" i="12"/>
  <c r="DH8" i="12" l="1"/>
  <c r="DH5" i="13" s="1"/>
  <c r="DH7" i="13" s="1"/>
  <c r="DJ14" i="3"/>
  <c r="DI4" i="12"/>
  <c r="DI5" i="12" l="1"/>
  <c r="DJ15" i="3"/>
  <c r="DK13" i="3" l="1"/>
  <c r="DI6" i="12"/>
  <c r="DI8" i="12" l="1"/>
  <c r="DI5" i="13" s="1"/>
  <c r="DI7" i="13" s="1"/>
  <c r="DK14" i="3"/>
  <c r="DJ4" i="12"/>
  <c r="DJ5" i="12" l="1"/>
  <c r="DJ6" i="12" s="1"/>
  <c r="DK15" i="3"/>
  <c r="DL13" i="3" l="1"/>
  <c r="DJ8" i="12"/>
  <c r="DJ5" i="13" s="1"/>
  <c r="DJ7" i="13" s="1"/>
  <c r="DL14" i="3" l="1"/>
  <c r="DK4" i="12"/>
  <c r="DK5" i="12" l="1"/>
  <c r="DK6" i="12" s="1"/>
  <c r="DL15" i="3"/>
  <c r="DM13" i="3" l="1"/>
  <c r="DK8" i="12"/>
  <c r="DK5" i="13" s="1"/>
  <c r="DK7" i="13" s="1"/>
  <c r="DM14" i="3" l="1"/>
  <c r="DL4" i="12"/>
  <c r="DL5" i="12" l="1"/>
  <c r="DL6" i="12" s="1"/>
  <c r="DL8" i="12" s="1"/>
  <c r="DL5" i="13" s="1"/>
  <c r="DL7" i="13" s="1"/>
  <c r="DM15" i="3"/>
  <c r="DN13" i="3" l="1"/>
  <c r="DN14" i="3" l="1"/>
  <c r="DM4" i="12"/>
  <c r="DM5" i="12" l="1"/>
  <c r="DM6" i="12" s="1"/>
  <c r="DM8" i="12" s="1"/>
  <c r="DM5" i="13" s="1"/>
  <c r="DM7" i="13" s="1"/>
  <c r="DN15" i="3"/>
  <c r="DO13" i="3" l="1"/>
  <c r="DO14" i="3" l="1"/>
  <c r="DN4" i="12"/>
  <c r="DN5" i="12" l="1"/>
  <c r="DN6" i="12" s="1"/>
  <c r="DN8" i="12" s="1"/>
  <c r="DN5" i="13" s="1"/>
  <c r="DN7" i="13" s="1"/>
  <c r="DO15" i="3"/>
  <c r="DP13" i="3" l="1"/>
  <c r="DP14" i="3" l="1"/>
  <c r="DO4" i="12"/>
  <c r="DO5" i="12" l="1"/>
  <c r="DO6" i="12" s="1"/>
  <c r="DO8" i="12" s="1"/>
  <c r="DO5" i="13" s="1"/>
  <c r="DO7" i="13" s="1"/>
  <c r="DP15" i="3"/>
  <c r="DQ13" i="3" l="1"/>
  <c r="DQ14" i="3" l="1"/>
  <c r="DP4" i="12"/>
  <c r="DP5" i="12" l="1"/>
  <c r="DP6" i="12" s="1"/>
  <c r="DP8" i="12" s="1"/>
  <c r="DP5" i="13" s="1"/>
  <c r="DP7" i="13" s="1"/>
  <c r="DQ15" i="3"/>
  <c r="DR13" i="3" l="1"/>
  <c r="DR14" i="3" l="1"/>
  <c r="DQ4" i="12"/>
  <c r="DQ5" i="12" l="1"/>
  <c r="DQ6" i="12" s="1"/>
  <c r="DQ8" i="12" s="1"/>
  <c r="DQ5" i="13" s="1"/>
  <c r="DQ7" i="13" s="1"/>
  <c r="DR15" i="3"/>
  <c r="DS13" i="3" l="1"/>
  <c r="DS14" i="3" l="1"/>
  <c r="DR4" i="12"/>
  <c r="G29" i="15"/>
  <c r="G31" i="15" l="1"/>
  <c r="G32" i="15" s="1"/>
  <c r="N29" i="15"/>
  <c r="M29" i="15"/>
  <c r="L17" i="12"/>
  <c r="DR5" i="12"/>
  <c r="L18" i="12" s="1"/>
  <c r="DS15" i="3"/>
  <c r="DX17" i="9" l="1"/>
  <c r="O40" i="9" s="1"/>
  <c r="M32" i="15"/>
  <c r="N32" i="15"/>
  <c r="M31" i="15"/>
  <c r="N31" i="15"/>
  <c r="DX6" i="9"/>
  <c r="G33" i="15"/>
  <c r="DR6" i="12"/>
  <c r="H29" i="14" l="1"/>
  <c r="H32" i="14" s="1"/>
  <c r="M33" i="15"/>
  <c r="N33" i="15"/>
  <c r="DR8" i="12"/>
  <c r="DR5" i="13" s="1"/>
  <c r="DR7" i="13" s="1"/>
  <c r="L19" i="12"/>
  <c r="L21" i="12" s="1"/>
  <c r="L18" i="13" s="1"/>
  <c r="O29" i="9"/>
  <c r="O42" i="9" s="1"/>
  <c r="DX19" i="9"/>
  <c r="DW5" i="11" l="1"/>
  <c r="DW7" i="11" s="1"/>
  <c r="D28" i="11" s="1"/>
  <c r="E46" i="9"/>
  <c r="N21" i="11"/>
  <c r="E47" i="9"/>
  <c r="D9" i="11"/>
  <c r="F9" i="11" s="1"/>
  <c r="D10" i="11" l="1"/>
  <c r="DV4" i="13"/>
  <c r="DV7" i="13" s="1"/>
  <c r="C9" i="13" s="1"/>
  <c r="E9" i="13" s="1"/>
  <c r="E48" i="9"/>
  <c r="C10" i="13" l="1"/>
  <c r="D28" i="10" l="1"/>
  <c r="D36" i="10" s="1"/>
  <c r="E20" i="11" s="1"/>
  <c r="E23" i="11" s="1"/>
  <c r="D17" i="13" l="1"/>
  <c r="D20" i="13" s="1"/>
  <c r="M34" i="10"/>
  <c r="M28" i="10" s="1"/>
  <c r="L34" i="10"/>
  <c r="J34" i="10"/>
  <c r="J28" i="10" s="1"/>
  <c r="J36" i="10" s="1"/>
  <c r="K20" i="11" s="1"/>
  <c r="K23" i="11" s="1"/>
  <c r="J17" i="13" s="1"/>
  <c r="J20" i="13" s="1"/>
  <c r="F28" i="10"/>
  <c r="F36" i="10" s="1"/>
  <c r="G20" i="11" s="1"/>
  <c r="G23" i="11" s="1"/>
  <c r="F17" i="13" s="1"/>
  <c r="F20" i="13" s="1"/>
  <c r="G28" i="10"/>
  <c r="G36" i="10" s="1"/>
  <c r="H20" i="11" s="1"/>
  <c r="H23" i="11" s="1"/>
  <c r="G17" i="13" s="1"/>
  <c r="G20" i="13" s="1"/>
  <c r="H28" i="10"/>
  <c r="H36" i="10" s="1"/>
  <c r="K34" i="10"/>
  <c r="I34" i="10"/>
  <c r="I28" i="10" s="1"/>
  <c r="I36" i="10" s="1"/>
  <c r="J20" i="11" s="1"/>
  <c r="J23" i="11" s="1"/>
  <c r="I17" i="13" s="1"/>
  <c r="I20" i="13" s="1"/>
  <c r="E28" i="10"/>
  <c r="E36" i="10" s="1"/>
  <c r="F20" i="11" s="1"/>
  <c r="F23" i="11" s="1"/>
  <c r="I20" i="11" l="1"/>
  <c r="I23" i="11" s="1"/>
  <c r="H17" i="13" s="1"/>
  <c r="H20" i="13" s="1"/>
  <c r="L28" i="10"/>
  <c r="L36" i="10" s="1"/>
  <c r="M20" i="11" s="1"/>
  <c r="M23" i="11" s="1"/>
  <c r="L17" i="13" s="1"/>
  <c r="L20" i="13" s="1"/>
  <c r="M26" i="10"/>
  <c r="M24" i="10" s="1"/>
  <c r="M36" i="10" s="1"/>
  <c r="N20" i="11" s="1"/>
  <c r="N23" i="11" s="1"/>
  <c r="M17" i="13" s="1"/>
  <c r="M20" i="13" s="1"/>
  <c r="E17" i="13"/>
  <c r="E20" i="13" s="1"/>
  <c r="K28" i="10"/>
  <c r="K36" i="10" s="1"/>
  <c r="L20" i="11" s="1"/>
  <c r="L23" i="11" s="1"/>
  <c r="K17" i="13" s="1"/>
  <c r="K20" i="13" s="1"/>
  <c r="D1" i="14" l="1"/>
  <c r="C39" i="10"/>
  <c r="C40" i="10" s="1"/>
  <c r="D29" i="11"/>
  <c r="D30" i="11" s="1"/>
  <c r="D25" i="11"/>
  <c r="E8" i="14" s="1"/>
  <c r="D26" i="11"/>
  <c r="E7" i="14" s="1"/>
  <c r="C22" i="13"/>
  <c r="E10" i="14" s="1"/>
  <c r="C23" i="13"/>
  <c r="E9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Juan Manuel Arango</author>
  </authors>
  <commentList>
    <comment ref="B69" authorId="0" shapeId="0" xr:uid="{00000000-0006-0000-0B00-000004000000}">
      <text>
        <r>
          <rPr>
            <b/>
            <sz val="9"/>
            <color indexed="81"/>
            <rFont val="Tahoma"/>
            <family val="2"/>
          </rPr>
          <t>Juan Manuel Arango:</t>
        </r>
        <r>
          <rPr>
            <sz val="9"/>
            <color indexed="81"/>
            <rFont val="Tahoma"/>
            <family val="2"/>
          </rPr>
          <t xml:space="preserve">
10% PRECIO LOCAL</t>
        </r>
      </text>
    </comment>
  </commentList>
</comments>
</file>

<file path=xl/sharedStrings.xml><?xml version="1.0" encoding="utf-8"?>
<sst xmlns="http://schemas.openxmlformats.org/spreadsheetml/2006/main" count="1308" uniqueCount="292">
  <si>
    <t>AÑO</t>
  </si>
  <si>
    <t>TOTAL</t>
  </si>
  <si>
    <t>CRECIMIENTO</t>
  </si>
  <si>
    <t>Descripción</t>
  </si>
  <si>
    <t>Cantidad</t>
  </si>
  <si>
    <t>Unidad</t>
  </si>
  <si>
    <t>Valor Unitario</t>
  </si>
  <si>
    <t>Valor Total</t>
  </si>
  <si>
    <t>Cuadro de costos de personal</t>
  </si>
  <si>
    <t># Personas</t>
  </si>
  <si>
    <t>SMMLV</t>
  </si>
  <si>
    <t>SUBSIDIO TRANSPORTE</t>
  </si>
  <si>
    <t>PRESTACIONES SOCIALES</t>
  </si>
  <si>
    <t>CESANTIAS</t>
  </si>
  <si>
    <t>INT/CESANTÍAS</t>
  </si>
  <si>
    <t>PRIMA</t>
  </si>
  <si>
    <t>VACACIONES</t>
  </si>
  <si>
    <t>SEGURIDAD SOCIAL</t>
  </si>
  <si>
    <t>PENSIÓN</t>
  </si>
  <si>
    <t>SALUD</t>
  </si>
  <si>
    <t>RIESGOS (*)</t>
  </si>
  <si>
    <t>PARAFISCALES</t>
  </si>
  <si>
    <t>CAJA COMPENSACIÓN</t>
  </si>
  <si>
    <t>SENA</t>
  </si>
  <si>
    <t>ICBF</t>
  </si>
  <si>
    <t>COSTO VARIABLE</t>
  </si>
  <si>
    <t>PAGO</t>
  </si>
  <si>
    <t>MODELO RENDIMIENTO REAL</t>
  </si>
  <si>
    <t>Rn= Rr + Pr + (Rr x Pr)</t>
  </si>
  <si>
    <t>Rn= Rendimiento nominal</t>
  </si>
  <si>
    <t>Rr= Rendimiento Real (en este caso tomamos inflacion colombia ea)</t>
  </si>
  <si>
    <t>Pr= Puntos Reales (tomamos inflación + 2 veces inflacion)</t>
  </si>
  <si>
    <t>PATRIMONIO</t>
  </si>
  <si>
    <t>DEUDA</t>
  </si>
  <si>
    <t>% PATRIMONIO</t>
  </si>
  <si>
    <t>% DEUDA</t>
  </si>
  <si>
    <t>COSTO PATRIMONIO</t>
  </si>
  <si>
    <t>PROMEDIO COSTO DEUDA DESPUES IMPUESTOS</t>
  </si>
  <si>
    <t>PROMEDIO COSTO PATRIMONIO</t>
  </si>
  <si>
    <t>WACC</t>
  </si>
  <si>
    <t>EA</t>
  </si>
  <si>
    <t>EM</t>
  </si>
  <si>
    <t>VALOR CRÉDITO</t>
  </si>
  <si>
    <t>LOCAL</t>
  </si>
  <si>
    <t>ADECUACIÓN LOCAL</t>
  </si>
  <si>
    <t>TASA INTERES</t>
  </si>
  <si>
    <t>PERIODO</t>
  </si>
  <si>
    <t>CUOTA</t>
  </si>
  <si>
    <t>INTERES</t>
  </si>
  <si>
    <t>KTAL</t>
  </si>
  <si>
    <t>SALDO</t>
  </si>
  <si>
    <t>IMPUESTO RENTA</t>
  </si>
  <si>
    <t>ICA</t>
  </si>
  <si>
    <t>AÑOS LINEA RECTA</t>
  </si>
  <si>
    <t>DIAS AL MES</t>
  </si>
  <si>
    <t>INVERSION INICIAL</t>
  </si>
  <si>
    <t>DEPRECIACION ANUAL</t>
  </si>
  <si>
    <t>PAGO IMPUESTO RENTA</t>
  </si>
  <si>
    <t>ABRIL</t>
  </si>
  <si>
    <t>PAGO ICA</t>
  </si>
  <si>
    <t>12 CUOTAS (ABRIL A MARZO, RESULTADOS AÑO FISCAL ANTERIOR)</t>
  </si>
  <si>
    <t>MESES AÑO</t>
  </si>
  <si>
    <t>PREDIAL TRIMESTRAL 1% (DIVIDIDO EN 4 CUOTAS) INVERSION, CON INCREMENTO INFLACION</t>
  </si>
  <si>
    <t>PYG CON FINANCIACIÓN</t>
  </si>
  <si>
    <t>INGRESOS</t>
  </si>
  <si>
    <t>GASTOS</t>
  </si>
  <si>
    <t>ADMINISTRATIVOS</t>
  </si>
  <si>
    <t>EBITDA</t>
  </si>
  <si>
    <t>IMPUESTO ICA</t>
  </si>
  <si>
    <t>ENERO</t>
  </si>
  <si>
    <t>FEBRERO</t>
  </si>
  <si>
    <t>MARZO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</si>
  <si>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</si>
  <si>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</si>
  <si>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</si>
  <si>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</si>
  <si>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</si>
  <si>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</si>
  <si>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</si>
  <si>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</si>
  <si>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EGRESOS</t>
  </si>
  <si>
    <t>COSTOS PERSONAL</t>
  </si>
  <si>
    <t>MANTENIMIENTO</t>
  </si>
  <si>
    <t>COMISIÓN DATÁFONO</t>
  </si>
  <si>
    <t>PREDIAL</t>
  </si>
  <si>
    <t>CÁMARA COMERCIO</t>
  </si>
  <si>
    <t>CONTADOR</t>
  </si>
  <si>
    <t>FC OPERATIVO</t>
  </si>
  <si>
    <t>INGRESOS INVERSIÓN</t>
  </si>
  <si>
    <t>EGRESOS INVERSIÓN</t>
  </si>
  <si>
    <t>FC INVERSIÓN</t>
  </si>
  <si>
    <t>LIQUIDACIÓN INVENTARIO</t>
  </si>
  <si>
    <t>FC PROYECTO</t>
  </si>
  <si>
    <t>TIR</t>
  </si>
  <si>
    <t>VPN</t>
  </si>
  <si>
    <t>ea</t>
  </si>
  <si>
    <t>FC FINANCIACIÓN</t>
  </si>
  <si>
    <t>FC INVERSIONISTA</t>
  </si>
  <si>
    <t>Crecimiento PIB / Inflación</t>
  </si>
  <si>
    <t>CRECIMIENTO PIB / INFLACIÓN</t>
  </si>
  <si>
    <t>Ok</t>
  </si>
  <si>
    <t>Check</t>
  </si>
  <si>
    <t>AÑO 2020</t>
  </si>
  <si>
    <t>EDIFICIO</t>
  </si>
  <si>
    <t>COMISIÓN TARJETAS - COSTO FINANCIERO</t>
  </si>
  <si>
    <t>Edificio</t>
  </si>
  <si>
    <t>Activo</t>
  </si>
  <si>
    <t>Valor unitario</t>
  </si>
  <si>
    <t>Total</t>
  </si>
  <si>
    <t>Terreno</t>
  </si>
  <si>
    <t>Adecuaciones</t>
  </si>
  <si>
    <t>Tipo</t>
  </si>
  <si>
    <t>Muebles y enseres</t>
  </si>
  <si>
    <t>No</t>
  </si>
  <si>
    <t>Servicio</t>
  </si>
  <si>
    <t>Membresía</t>
  </si>
  <si>
    <t>Zonas Húmedas</t>
  </si>
  <si>
    <t>Socio / Pasa día</t>
  </si>
  <si>
    <t>Sala de Masajes</t>
  </si>
  <si>
    <t>Servicio de Parqueadero ya sean propios o por convenio</t>
  </si>
  <si>
    <t>Restaurante</t>
  </si>
  <si>
    <t>Sala de belleza</t>
  </si>
  <si>
    <t>Teatrino</t>
  </si>
  <si>
    <t>Capilla</t>
  </si>
  <si>
    <t>Salón de Juegos</t>
  </si>
  <si>
    <t>Cancha Múltiple</t>
  </si>
  <si>
    <t>Actividades Recreativas</t>
  </si>
  <si>
    <t>Lavandería</t>
  </si>
  <si>
    <t>Socio</t>
  </si>
  <si>
    <t>Enfermería General</t>
  </si>
  <si>
    <t>Enfermería Especializada: Control de medicamentos, toma de signos vitales entre otros</t>
  </si>
  <si>
    <t>Habitación estándar</t>
  </si>
  <si>
    <t>Habitación VIP</t>
  </si>
  <si>
    <t>Cama sencilla</t>
  </si>
  <si>
    <t>X</t>
  </si>
  <si>
    <t>Cama doble</t>
  </si>
  <si>
    <t>Repetidor de Wifi</t>
  </si>
  <si>
    <t>Televisión</t>
  </si>
  <si>
    <t>Escritorio</t>
  </si>
  <si>
    <t>Teléfono</t>
  </si>
  <si>
    <t>Caja de seguridad</t>
  </si>
  <si>
    <t>Baño privado</t>
  </si>
  <si>
    <t>Sala de estar</t>
  </si>
  <si>
    <t>Cocineta equipada / Balcón privado</t>
  </si>
  <si>
    <t>Escritorio y silla</t>
  </si>
  <si>
    <t>Total Inversion</t>
  </si>
  <si>
    <t>Caja</t>
  </si>
  <si>
    <t>Diferencia</t>
  </si>
  <si>
    <t>INGRESO EN TARJETAS</t>
  </si>
  <si>
    <t>Dotación Lavandería</t>
  </si>
  <si>
    <t>Parqueaderos propios</t>
  </si>
  <si>
    <t>MUEBLES Y ENSERES</t>
  </si>
  <si>
    <t>VEHICULOS</t>
  </si>
  <si>
    <t>OTROS ACTIVOS</t>
  </si>
  <si>
    <t>Otros activos</t>
  </si>
  <si>
    <t>Adecuaciones (Ver anexo estudio tecnico)</t>
  </si>
  <si>
    <t>Muebles y enseres (Ver anexo estudio tecnico)</t>
  </si>
  <si>
    <t>EFECTIVO</t>
  </si>
  <si>
    <t>TOTAL INVERSION</t>
  </si>
  <si>
    <t>RECURSOS PROPIOS</t>
  </si>
  <si>
    <t>CREDITO</t>
  </si>
  <si>
    <t>OPCION CON FINANCIACIÓN</t>
  </si>
  <si>
    <t>OPCIÓN CON FINANCIACION</t>
  </si>
  <si>
    <t>FC INVERSIONISTA CON FINANCIACION</t>
  </si>
  <si>
    <t>Material de limpieza</t>
  </si>
  <si>
    <t>MATERIALES INDIRECTOS</t>
  </si>
  <si>
    <t>OTROS GASTOS INDIRECTOS</t>
  </si>
  <si>
    <t>Luz</t>
  </si>
  <si>
    <t>Agua</t>
  </si>
  <si>
    <t>Gas</t>
  </si>
  <si>
    <t>Mantenimiento instalaciones</t>
  </si>
  <si>
    <t>DETALLE</t>
  </si>
  <si>
    <t>RESTAURANTE</t>
  </si>
  <si>
    <t>HOSPEDAJE</t>
  </si>
  <si>
    <t>RECREACION</t>
  </si>
  <si>
    <t>MANO DE OBRA DIRECTA</t>
  </si>
  <si>
    <t>ADMIN</t>
  </si>
  <si>
    <t>OTROS GASTOS</t>
  </si>
  <si>
    <t>Uniformes</t>
  </si>
  <si>
    <t>Periodicos, Libros, revistas</t>
  </si>
  <si>
    <t>Decoracion</t>
  </si>
  <si>
    <t>Todero-Jardinero-Chofer (1)</t>
  </si>
  <si>
    <t>Publicidad-Pagina Web</t>
  </si>
  <si>
    <t>Auxiliares enfermeros (3)</t>
  </si>
  <si>
    <t>Enfermera (1)</t>
  </si>
  <si>
    <t>Insumos Restaurante</t>
  </si>
  <si>
    <t>OTROS</t>
  </si>
  <si>
    <t>Cocina (Jefe-Auxiliar) (2)</t>
  </si>
  <si>
    <t>COSTOS FIJOS</t>
  </si>
  <si>
    <t>Gasolina</t>
  </si>
  <si>
    <t>Aseo (1)</t>
  </si>
  <si>
    <t>POR CLIENTES</t>
  </si>
  <si>
    <t>COSTO VARIABLE PROMEDIO POR CLIENTE (ANEXO 1 DATOS DE ENTRADA COSTOS)</t>
  </si>
  <si>
    <t>Vigilancia</t>
  </si>
  <si>
    <t xml:space="preserve">SERVICIOS PUBLICOS Y OTROS SERVICIOS </t>
  </si>
  <si>
    <t>Subtotal</t>
  </si>
  <si>
    <t>DEPRECIACION MENSUAL VEHICULO</t>
  </si>
  <si>
    <t>ACTUALIZACIÓN CAMARA COMERCIO (depende del valor de los activos)</t>
  </si>
  <si>
    <t>DEPRECIACION MENSUAL OTROS ACTIVOS FIJOS (MUEBLES Y OTROS)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</si>
  <si>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</si>
  <si>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</si>
  <si>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</si>
  <si>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</si>
  <si>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</si>
  <si>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</si>
  <si>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</si>
  <si>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</si>
  <si>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</si>
  <si>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</si>
  <si>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</si>
  <si>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Ya esta incluido en los costos variables</t>
  </si>
  <si>
    <t>Check ICA</t>
  </si>
  <si>
    <t>COSTOS Y GASTOS</t>
  </si>
  <si>
    <t>FC PROYECTO / CON COMPRA EDIFICIO</t>
  </si>
  <si>
    <t>FC FINANCIACIÓN PROYECTO</t>
  </si>
  <si>
    <t>TERRENO</t>
  </si>
  <si>
    <t>Administrador (1)</t>
  </si>
  <si>
    <t>Mantenimiento vehiculo</t>
  </si>
  <si>
    <t>Solo informativo, calculo no es valido</t>
  </si>
  <si>
    <t>Calculo Ok. El VPN no es igual con la celda D10 debido a que la base del calculo mensual es el mes de enero celda C7 y lo correcto es todo el año 2021.</t>
  </si>
  <si>
    <t>FINANCIACIÓN</t>
  </si>
  <si>
    <t>INDICADORES CON FINANCIACION</t>
  </si>
  <si>
    <t>Coordinador cultural y actividades (1)</t>
  </si>
  <si>
    <t>AVG</t>
  </si>
  <si>
    <t>PLAZO</t>
  </si>
  <si>
    <t>Meses</t>
  </si>
  <si>
    <t>Insumos de habitaciones</t>
  </si>
  <si>
    <t>MANO DE OBRA INDIRECTA</t>
  </si>
  <si>
    <t>Column1</t>
  </si>
  <si>
    <t>NUMERO DE EMPLEADOS</t>
  </si>
  <si>
    <t>Combo (Telefono-Internet-Tv)</t>
  </si>
  <si>
    <t>COSTOS FIJOS MENSUALES</t>
  </si>
  <si>
    <t>COSTOS VARIABLES MENSUALES</t>
  </si>
  <si>
    <t>Cama sencilla y Colchon</t>
  </si>
  <si>
    <t>Televisión 32"</t>
  </si>
  <si>
    <t>Restaurante (electrodomesticos, mesas, sillas, menaje)</t>
  </si>
  <si>
    <t>Insumos Lavanderia</t>
  </si>
  <si>
    <t>ICA Chia</t>
  </si>
  <si>
    <t>DEPRECIACIÓN EDIFICIO A 80 AÑOS</t>
  </si>
  <si>
    <t>DEPRECIACIÓN MUEBLES A 10 AÑOS</t>
  </si>
  <si>
    <t>DEPRECIACIÓN VEHICULO A 10 AÑOS</t>
  </si>
  <si>
    <t>CLIENTES PROMEDIO AÑO</t>
  </si>
  <si>
    <t>INGRESO PROMEDIO POR PERSONA</t>
  </si>
  <si>
    <t>COSTO NOMINA</t>
  </si>
  <si>
    <t>DEPRECIACIÓN MENSUAL EDIFICIO</t>
  </si>
  <si>
    <t>VALOR EDIFICIO</t>
  </si>
  <si>
    <t>SERVICIOS DEL CONTADOR MES</t>
  </si>
  <si>
    <t>IMPUESTO VEHICULO</t>
  </si>
  <si>
    <t>SOAT</t>
  </si>
  <si>
    <t>SEGURO VEHICULO TODO RIESGO</t>
  </si>
  <si>
    <t>TAXES</t>
  </si>
  <si>
    <t>Ebitda</t>
  </si>
  <si>
    <t>Ingresos por Servicios</t>
  </si>
  <si>
    <t>Margen Ebitda</t>
  </si>
  <si>
    <t>Utilidad Operativa</t>
  </si>
  <si>
    <t>Utilidad Bruta</t>
  </si>
  <si>
    <t>Utilidad Neta</t>
  </si>
  <si>
    <t>Margen Operativo</t>
  </si>
  <si>
    <t>Margen Bruto</t>
  </si>
  <si>
    <t>Margen Neto</t>
  </si>
  <si>
    <t>Explicar por que la tasa? Promedio bancaria?</t>
  </si>
  <si>
    <t>Vehiculos (1 Van)</t>
  </si>
  <si>
    <t>COSTO DEUDA DESPUES DE IMPUESTOS</t>
  </si>
  <si>
    <t>VENTA (VR EDIFICIO Y TERRENO, INFLACION + 1%)</t>
  </si>
  <si>
    <t>EL VALOR DEBE IR POSITIVO</t>
  </si>
  <si>
    <t>Fue positivo apalancarse y para el escudo fiscal</t>
  </si>
  <si>
    <t>GERENTE</t>
  </si>
  <si>
    <t>ASEO</t>
  </si>
  <si>
    <t>ENFERMERA</t>
  </si>
  <si>
    <t>LEGALES</t>
  </si>
  <si>
    <t>En el año 2028 el inversionista empieza a recuperar su inversion</t>
  </si>
  <si>
    <t>Año Recuperación Inversionista</t>
  </si>
  <si>
    <t>Periodo Recuperación Inversionista</t>
  </si>
  <si>
    <t>VPN del Proyecto</t>
  </si>
  <si>
    <t>TIR del Proyecto</t>
  </si>
  <si>
    <t>VPN del Inversionista</t>
  </si>
  <si>
    <t>TIR del Inversionista</t>
  </si>
  <si>
    <t>años</t>
  </si>
  <si>
    <t>Concepto</t>
  </si>
  <si>
    <t>Resultado</t>
  </si>
  <si>
    <t>Costos y Gastos</t>
  </si>
  <si>
    <t>Gastos</t>
  </si>
  <si>
    <t>Depreciación</t>
  </si>
  <si>
    <t>Administrativos</t>
  </si>
  <si>
    <t>Gastos Financieros</t>
  </si>
  <si>
    <t>Ingresos Financieros</t>
  </si>
  <si>
    <t>Utilidad Antes de Impuestos</t>
  </si>
  <si>
    <t>Impuesto de Renta</t>
  </si>
  <si>
    <t>Beneficio Tributario Chia</t>
  </si>
  <si>
    <t>Cuenta</t>
  </si>
  <si>
    <t>Indicadores</t>
  </si>
  <si>
    <r>
      <t>Socio / Pasa día</t>
    </r>
    <r>
      <rPr>
        <sz val="8"/>
        <color rgb="FF000000"/>
        <rFont val="Times New Roman"/>
        <family val="1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</si>
</sst>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&quot;$&quot;* #,##0_-;\-&quot;$&quot;* #,##0_-;_-&quot;$&quot;* &quot;-&quot;_-;_-@_-"/>
    <numFmt numFmtId="166" formatCode="_(&quot;$&quot;\ * #,##0.00_);_(&quot;$&quot;\ * \(#,##0.00\);_(&quot;$&quot;\ * &quot;-&quot;??_);_(@_)"/>
    <numFmt numFmtId="167" formatCode="0.0%"/>
    <numFmt numFmtId="168" formatCode="_ &quot;$&quot;\ * #,##0.00_ ;_ &quot;$&quot;\ * \-#,##0.00_ ;_ &quot;$&quot;\ * &quot;-&quot;??_ ;_ @_ "/>
    <numFmt numFmtId="169" formatCode="_ * #,##0.00_ ;_ * \-#,##0.00_ ;_ * &quot;-&quot;??_ ;_ @_ "/>
    <numFmt numFmtId="170" formatCode="_(* #,##0_);_(* \(#,##0\);_(* &quot;-&quot;??_);_(@_)"/>
    <numFmt numFmtId="171" formatCode="_(&quot;$&quot;\ * #,##0_);_(&quot;$&quot;\ * \(#,##0\);_(&quot;$&quot;\ * &quot;-&quot;??_);_(@_)"/>
    <numFmt numFmtId="172" formatCode="0_)"/>
    <numFmt numFmtId="173" formatCode="0.000%"/>
    <numFmt numFmtId="174" formatCode="#,##0.000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Century Gothic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0"/>
      <name val="Times New Roman"/>
      <family val="1"/>
    </font>
    <font>
      <b/>
      <sz val="11"/>
      <color theme="1"/>
      <name val="Times New Roman"/>
      <family val="1"/>
    </font>
    <font>
      <sz val="11"/>
      <color rgb="FF0000FF"/>
      <name val="Times New Roman"/>
      <family val="1"/>
    </font>
    <font>
      <b/>
      <u/>
      <sz val="14"/>
      <color theme="1"/>
      <name val="Times New Roman"/>
      <family val="1"/>
    </font>
    <font>
      <b/>
      <sz val="11"/>
      <color rgb="FF0000FF"/>
      <name val="Times New Roman"/>
      <family val="1"/>
    </font>
    <font>
      <b/>
      <u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  <font>
      <b/>
      <sz val="16"/>
      <color theme="1"/>
      <name val="Times New Roman"/>
      <family val="1"/>
    </font>
    <font>
      <b/>
      <u/>
      <sz val="16"/>
      <color theme="1"/>
      <name val="Times New Roman"/>
      <family val="1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rgb="FF0000FF"/>
      <name val="Times New Roman"/>
      <family val="1"/>
    </font>
    <font>
      <b/>
      <sz val="11"/>
      <name val="Times New Roman"/>
      <family val="1"/>
    </font>
    <font>
      <b/>
      <sz val="14"/>
      <color rgb="FF0000FF"/>
      <name val="Times New Roman"/>
      <family val="1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name val="Times New Roman"/>
      <family val="1"/>
    </font>
    <font>
      <u/>
      <sz val="10"/>
      <color indexed="8"/>
      <name val="Times New Roman"/>
      <family val="1"/>
    </font>
    <font>
      <sz val="8"/>
      <color rgb="FF000000"/>
      <name val="Times New Roman"/>
      <family val="1"/>
    </font>
    <font>
      <b/>
      <i/>
      <u/>
      <sz val="12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" fillId="0" borderId="0"/>
  </cellStyleXfs>
  <cellXfs count="171">
    <xf numFmtId="0" fontId="0" fillId="0" borderId="0" xfId="0"/>
    <xf numFmtId="0" fontId="7" fillId="4" borderId="7" xfId="0" applyFont="1" applyFill="1" applyBorder="1" applyAlignment="1">
      <alignment vertical="top"/>
    </xf>
    <xf numFmtId="0" fontId="9" fillId="5" borderId="9" xfId="0" applyFont="1" applyFill="1" applyBorder="1" applyAlignment="1">
      <alignment vertical="top"/>
    </xf>
    <xf numFmtId="0" fontId="6" fillId="0" borderId="9" xfId="0" applyFont="1" applyBorder="1" applyAlignment="1">
      <alignment vertical="top"/>
    </xf>
    <xf numFmtId="0" fontId="8" fillId="4" borderId="2" xfId="0" applyFont="1" applyFill="1" applyBorder="1" applyAlignment="1">
      <alignment vertical="top"/>
    </xf>
    <xf numFmtId="0" fontId="9" fillId="5" borderId="1" xfId="0" applyFont="1" applyFill="1" applyBorder="1" applyAlignment="1">
      <alignment vertical="top"/>
    </xf>
    <xf numFmtId="0" fontId="6" fillId="5" borderId="1" xfId="0" applyFont="1" applyFill="1" applyBorder="1" applyAlignment="1">
      <alignment vertical="top"/>
    </xf>
    <xf numFmtId="0" fontId="6" fillId="0" borderId="1" xfId="0" applyFont="1" applyBorder="1" applyAlignment="1">
      <alignment vertical="top"/>
    </xf>
    <xf numFmtId="0" fontId="10" fillId="0" borderId="12" xfId="0" applyFont="1" applyBorder="1"/>
    <xf numFmtId="0" fontId="10" fillId="0" borderId="12" xfId="0" applyFont="1" applyFill="1" applyBorder="1" applyAlignment="1">
      <alignment horizontal="right"/>
    </xf>
    <xf numFmtId="0" fontId="10" fillId="0" borderId="13" xfId="0" applyFont="1" applyBorder="1"/>
    <xf numFmtId="0" fontId="10" fillId="0" borderId="14" xfId="0" applyFont="1" applyBorder="1"/>
    <xf numFmtId="0" fontId="10" fillId="0" borderId="14" xfId="0" applyFont="1" applyFill="1" applyBorder="1" applyAlignment="1">
      <alignment horizontal="right"/>
    </xf>
    <xf numFmtId="0" fontId="11" fillId="0" borderId="15" xfId="0" applyFont="1" applyBorder="1"/>
    <xf numFmtId="170" fontId="10" fillId="0" borderId="14" xfId="1" applyNumberFormat="1" applyFont="1" applyBorder="1"/>
    <xf numFmtId="0" fontId="10" fillId="0" borderId="15" xfId="0" applyFont="1" applyBorder="1"/>
    <xf numFmtId="10" fontId="10" fillId="0" borderId="14" xfId="0" applyNumberFormat="1" applyFont="1" applyBorder="1"/>
    <xf numFmtId="0" fontId="10" fillId="0" borderId="16" xfId="0" applyFont="1" applyBorder="1"/>
    <xf numFmtId="10" fontId="10" fillId="0" borderId="16" xfId="0" applyNumberFormat="1" applyFont="1" applyBorder="1"/>
    <xf numFmtId="0" fontId="10" fillId="0" borderId="17" xfId="0" applyFont="1" applyBorder="1"/>
    <xf numFmtId="0" fontId="12" fillId="10" borderId="3" xfId="0" applyFont="1" applyFill="1" applyBorder="1" applyAlignment="1">
      <alignment horizontal="center"/>
    </xf>
    <xf numFmtId="0" fontId="10" fillId="0" borderId="18" xfId="0" applyFont="1" applyBorder="1"/>
    <xf numFmtId="170" fontId="10" fillId="0" borderId="18" xfId="1" applyNumberFormat="1" applyFont="1" applyBorder="1"/>
    <xf numFmtId="10" fontId="10" fillId="0" borderId="18" xfId="3" applyNumberFormat="1" applyFont="1" applyBorder="1"/>
    <xf numFmtId="0" fontId="10" fillId="0" borderId="8" xfId="0" applyFont="1" applyBorder="1"/>
    <xf numFmtId="10" fontId="10" fillId="0" borderId="8" xfId="3" applyNumberFormat="1" applyFont="1" applyBorder="1"/>
    <xf numFmtId="0" fontId="12" fillId="11" borderId="19" xfId="0" applyFont="1" applyFill="1" applyBorder="1" applyAlignment="1">
      <alignment horizontal="center"/>
    </xf>
    <xf numFmtId="171" fontId="10" fillId="0" borderId="18" xfId="2" applyNumberFormat="1" applyFont="1" applyBorder="1"/>
    <xf numFmtId="0" fontId="13" fillId="0" borderId="18" xfId="0" applyFont="1" applyBorder="1"/>
    <xf numFmtId="170" fontId="13" fillId="0" borderId="18" xfId="1" applyNumberFormat="1" applyFont="1" applyBorder="1"/>
    <xf numFmtId="171" fontId="13" fillId="0" borderId="18" xfId="2" applyNumberFormat="1" applyFont="1" applyBorder="1"/>
    <xf numFmtId="171" fontId="13" fillId="0" borderId="8" xfId="2" applyNumberFormat="1" applyFont="1" applyBorder="1"/>
    <xf numFmtId="170" fontId="13" fillId="0" borderId="8" xfId="1" applyNumberFormat="1" applyFont="1" applyBorder="1"/>
    <xf numFmtId="171" fontId="10" fillId="0" borderId="19" xfId="2" applyNumberFormat="1" applyFont="1" applyBorder="1"/>
    <xf numFmtId="170" fontId="10" fillId="0" borderId="19" xfId="1" applyNumberFormat="1" applyFont="1" applyBorder="1"/>
    <xf numFmtId="9" fontId="10" fillId="0" borderId="18" xfId="0" applyNumberFormat="1" applyFont="1" applyBorder="1"/>
    <xf numFmtId="0" fontId="10" fillId="0" borderId="0" xfId="0" applyFont="1"/>
    <xf numFmtId="0" fontId="12" fillId="10" borderId="6" xfId="0" applyFont="1" applyFill="1" applyBorder="1" applyAlignment="1">
      <alignment horizontal="center"/>
    </xf>
    <xf numFmtId="0" fontId="12" fillId="10" borderId="5" xfId="0" applyFont="1" applyFill="1" applyBorder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6" fillId="0" borderId="0" xfId="0" applyFont="1"/>
    <xf numFmtId="171" fontId="10" fillId="0" borderId="0" xfId="0" applyNumberFormat="1" applyFont="1"/>
    <xf numFmtId="0" fontId="17" fillId="0" borderId="0" xfId="0" applyFont="1" applyAlignment="1">
      <alignment horizontal="center"/>
    </xf>
    <xf numFmtId="171" fontId="14" fillId="0" borderId="0" xfId="2" applyNumberFormat="1" applyFont="1"/>
    <xf numFmtId="171" fontId="10" fillId="0" borderId="0" xfId="2" applyNumberFormat="1" applyFont="1"/>
    <xf numFmtId="9" fontId="10" fillId="0" borderId="0" xfId="3" applyFont="1"/>
    <xf numFmtId="0" fontId="13" fillId="0" borderId="0" xfId="0" applyFont="1"/>
    <xf numFmtId="171" fontId="13" fillId="0" borderId="0" xfId="2" applyNumberFormat="1" applyFont="1"/>
    <xf numFmtId="4" fontId="18" fillId="0" borderId="0" xfId="0" applyNumberFormat="1" applyFont="1"/>
    <xf numFmtId="0" fontId="17" fillId="0" borderId="0" xfId="0" applyFont="1" applyAlignment="1">
      <alignment horizontal="center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20" fillId="0" borderId="3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3" xfId="0" applyFont="1" applyBorder="1" applyAlignment="1">
      <alignment horizontal="center"/>
    </xf>
    <xf numFmtId="170" fontId="10" fillId="0" borderId="0" xfId="1" applyNumberFormat="1" applyFont="1"/>
    <xf numFmtId="10" fontId="10" fillId="0" borderId="0" xfId="3" applyNumberFormat="1" applyFont="1"/>
    <xf numFmtId="0" fontId="21" fillId="0" borderId="0" xfId="0" applyFont="1" applyAlignment="1">
      <alignment horizontal="center"/>
    </xf>
    <xf numFmtId="0" fontId="22" fillId="0" borderId="0" xfId="0" applyFont="1"/>
    <xf numFmtId="0" fontId="6" fillId="0" borderId="0" xfId="2" applyNumberFormat="1" applyFont="1" applyAlignment="1">
      <alignment horizontal="center"/>
    </xf>
    <xf numFmtId="0" fontId="7" fillId="0" borderId="0" xfId="1" applyNumberFormat="1" applyFont="1" applyAlignment="1">
      <alignment horizontal="center"/>
    </xf>
    <xf numFmtId="0" fontId="6" fillId="0" borderId="0" xfId="0" applyNumberFormat="1" applyFont="1" applyAlignment="1">
      <alignment horizontal="center"/>
    </xf>
    <xf numFmtId="3" fontId="10" fillId="0" borderId="0" xfId="0" applyNumberFormat="1" applyFont="1"/>
    <xf numFmtId="0" fontId="20" fillId="0" borderId="0" xfId="0" applyNumberFormat="1" applyFont="1"/>
    <xf numFmtId="0" fontId="20" fillId="0" borderId="3" xfId="0" applyNumberFormat="1" applyFont="1" applyBorder="1" applyAlignment="1">
      <alignment horizontal="center"/>
    </xf>
    <xf numFmtId="3" fontId="13" fillId="0" borderId="3" xfId="0" applyNumberFormat="1" applyFont="1" applyBorder="1" applyAlignment="1">
      <alignment horizontal="center"/>
    </xf>
    <xf numFmtId="170" fontId="13" fillId="0" borderId="0" xfId="1" applyNumberFormat="1" applyFont="1"/>
    <xf numFmtId="3" fontId="23" fillId="0" borderId="0" xfId="0" applyNumberFormat="1" applyFont="1"/>
    <xf numFmtId="0" fontId="23" fillId="0" borderId="0" xfId="0" applyFont="1"/>
    <xf numFmtId="0" fontId="23" fillId="0" borderId="0" xfId="2" applyNumberFormat="1" applyFont="1" applyAlignment="1">
      <alignment horizontal="center"/>
    </xf>
    <xf numFmtId="0" fontId="24" fillId="0" borderId="0" xfId="1" applyNumberFormat="1" applyFont="1" applyAlignment="1">
      <alignment horizontal="center"/>
    </xf>
    <xf numFmtId="0" fontId="23" fillId="0" borderId="0" xfId="0" applyNumberFormat="1" applyFont="1" applyAlignment="1">
      <alignment horizontal="center"/>
    </xf>
    <xf numFmtId="3" fontId="10" fillId="0" borderId="0" xfId="2" applyNumberFormat="1" applyFont="1"/>
    <xf numFmtId="173" fontId="13" fillId="0" borderId="0" xfId="0" applyNumberFormat="1" applyFont="1"/>
    <xf numFmtId="10" fontId="13" fillId="0" borderId="0" xfId="3" applyNumberFormat="1" applyFont="1"/>
    <xf numFmtId="3" fontId="13" fillId="0" borderId="0" xfId="0" applyNumberFormat="1" applyFont="1"/>
    <xf numFmtId="0" fontId="24" fillId="0" borderId="0" xfId="0" applyFont="1" applyAlignment="1">
      <alignment horizontal="center"/>
    </xf>
    <xf numFmtId="0" fontId="10" fillId="0" borderId="0" xfId="2" applyNumberFormat="1" applyFont="1" applyAlignment="1">
      <alignment horizontal="center"/>
    </xf>
    <xf numFmtId="0" fontId="13" fillId="0" borderId="0" xfId="1" applyNumberFormat="1" applyFont="1" applyAlignment="1">
      <alignment horizontal="center"/>
    </xf>
    <xf numFmtId="0" fontId="10" fillId="0" borderId="0" xfId="0" applyNumberFormat="1" applyFont="1" applyAlignment="1">
      <alignment horizontal="center"/>
    </xf>
    <xf numFmtId="171" fontId="18" fillId="0" borderId="0" xfId="2" applyNumberFormat="1" applyFont="1"/>
    <xf numFmtId="3" fontId="12" fillId="7" borderId="0" xfId="0" applyNumberFormat="1" applyFont="1" applyFill="1"/>
    <xf numFmtId="171" fontId="13" fillId="0" borderId="0" xfId="2" applyNumberFormat="1" applyFont="1" applyAlignment="1">
      <alignment horizontal="center"/>
    </xf>
    <xf numFmtId="170" fontId="10" fillId="0" borderId="0" xfId="2" applyNumberFormat="1" applyFont="1" applyAlignment="1">
      <alignment horizontal="center"/>
    </xf>
    <xf numFmtId="167" fontId="20" fillId="0" borderId="0" xfId="0" applyNumberFormat="1" applyFont="1"/>
    <xf numFmtId="170" fontId="13" fillId="0" borderId="0" xfId="0" applyNumberFormat="1" applyFont="1" applyAlignment="1">
      <alignment horizontal="center"/>
    </xf>
    <xf numFmtId="170" fontId="13" fillId="0" borderId="3" xfId="1" applyNumberFormat="1" applyFont="1" applyBorder="1" applyAlignment="1">
      <alignment horizontal="center"/>
    </xf>
    <xf numFmtId="170" fontId="10" fillId="8" borderId="0" xfId="1" applyNumberFormat="1" applyFont="1" applyFill="1"/>
    <xf numFmtId="170" fontId="12" fillId="7" borderId="0" xfId="1" applyNumberFormat="1" applyFont="1" applyFill="1"/>
    <xf numFmtId="0" fontId="25" fillId="0" borderId="0" xfId="0" applyFont="1"/>
    <xf numFmtId="170" fontId="20" fillId="0" borderId="3" xfId="1" applyNumberFormat="1" applyFont="1" applyBorder="1" applyAlignment="1">
      <alignment horizontal="center"/>
    </xf>
    <xf numFmtId="170" fontId="20" fillId="0" borderId="6" xfId="1" applyNumberFormat="1" applyFont="1" applyBorder="1" applyAlignment="1">
      <alignment horizontal="center"/>
    </xf>
    <xf numFmtId="170" fontId="20" fillId="0" borderId="4" xfId="1" applyNumberFormat="1" applyFont="1" applyBorder="1" applyAlignment="1">
      <alignment horizontal="center"/>
    </xf>
    <xf numFmtId="170" fontId="20" fillId="0" borderId="5" xfId="1" applyNumberFormat="1" applyFont="1" applyBorder="1" applyAlignment="1">
      <alignment horizontal="center"/>
    </xf>
    <xf numFmtId="170" fontId="20" fillId="0" borderId="3" xfId="1" applyNumberFormat="1" applyFont="1" applyBorder="1" applyAlignment="1"/>
    <xf numFmtId="0" fontId="16" fillId="0" borderId="0" xfId="0" applyFont="1" applyAlignment="1">
      <alignment horizontal="center"/>
    </xf>
    <xf numFmtId="171" fontId="26" fillId="0" borderId="0" xfId="2" applyNumberFormat="1" applyFont="1"/>
    <xf numFmtId="170" fontId="26" fillId="0" borderId="0" xfId="1" applyNumberFormat="1" applyFont="1"/>
    <xf numFmtId="171" fontId="10" fillId="6" borderId="0" xfId="2" applyNumberFormat="1" applyFont="1" applyFill="1"/>
    <xf numFmtId="170" fontId="10" fillId="6" borderId="0" xfId="1" applyNumberFormat="1" applyFont="1" applyFill="1"/>
    <xf numFmtId="171" fontId="16" fillId="0" borderId="0" xfId="2" applyNumberFormat="1" applyFont="1"/>
    <xf numFmtId="170" fontId="13" fillId="0" borderId="11" xfId="1" applyNumberFormat="1" applyFont="1" applyBorder="1" applyAlignment="1">
      <alignment horizontal="center"/>
    </xf>
    <xf numFmtId="0" fontId="14" fillId="0" borderId="0" xfId="2" applyNumberFormat="1" applyFont="1" applyAlignment="1">
      <alignment horizontal="center"/>
    </xf>
    <xf numFmtId="170" fontId="13" fillId="0" borderId="0" xfId="1" applyNumberFormat="1" applyFont="1" applyAlignment="1">
      <alignment horizontal="center"/>
    </xf>
    <xf numFmtId="170" fontId="10" fillId="0" borderId="0" xfId="1" applyNumberFormat="1" applyFont="1" applyAlignment="1">
      <alignment horizontal="center"/>
    </xf>
    <xf numFmtId="170" fontId="13" fillId="0" borderId="0" xfId="1" applyNumberFormat="1" applyFont="1" applyFill="1"/>
    <xf numFmtId="3" fontId="12" fillId="7" borderId="0" xfId="1" applyNumberFormat="1" applyFont="1" applyFill="1"/>
    <xf numFmtId="0" fontId="27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4" fillId="0" borderId="0" xfId="0" applyFont="1" applyFill="1" applyAlignment="1">
      <alignment horizontal="center"/>
    </xf>
    <xf numFmtId="170" fontId="24" fillId="0" borderId="0" xfId="1" applyNumberFormat="1" applyFont="1" applyAlignment="1">
      <alignment horizontal="center"/>
    </xf>
    <xf numFmtId="10" fontId="10" fillId="8" borderId="0" xfId="3" applyNumberFormat="1" applyFont="1" applyFill="1"/>
    <xf numFmtId="10" fontId="14" fillId="0" borderId="0" xfId="3" applyNumberFormat="1" applyFont="1"/>
    <xf numFmtId="9" fontId="10" fillId="8" borderId="0" xfId="0" applyNumberFormat="1" applyFont="1" applyFill="1"/>
    <xf numFmtId="10" fontId="10" fillId="0" borderId="0" xfId="0" applyNumberFormat="1" applyFont="1"/>
    <xf numFmtId="174" fontId="10" fillId="0" borderId="0" xfId="3" applyNumberFormat="1" applyFont="1"/>
    <xf numFmtId="4" fontId="10" fillId="0" borderId="0" xfId="0" applyNumberFormat="1" applyFont="1"/>
    <xf numFmtId="9" fontId="10" fillId="0" borderId="0" xfId="0" applyNumberFormat="1" applyFont="1"/>
    <xf numFmtId="9" fontId="13" fillId="0" borderId="0" xfId="3" applyFont="1"/>
    <xf numFmtId="0" fontId="10" fillId="8" borderId="0" xfId="0" applyFont="1" applyFill="1"/>
    <xf numFmtId="3" fontId="10" fillId="8" borderId="0" xfId="2" applyNumberFormat="1" applyFont="1" applyFill="1"/>
    <xf numFmtId="4" fontId="10" fillId="0" borderId="0" xfId="2" applyNumberFormat="1" applyFont="1"/>
    <xf numFmtId="0" fontId="17" fillId="0" borderId="12" xfId="0" applyFont="1" applyBorder="1"/>
    <xf numFmtId="3" fontId="10" fillId="0" borderId="15" xfId="2" applyNumberFormat="1" applyFont="1" applyBorder="1"/>
    <xf numFmtId="170" fontId="10" fillId="0" borderId="0" xfId="0" applyNumberFormat="1" applyFont="1"/>
    <xf numFmtId="166" fontId="10" fillId="0" borderId="0" xfId="0" applyNumberFormat="1" applyFont="1"/>
    <xf numFmtId="171" fontId="13" fillId="0" borderId="0" xfId="0" applyNumberFormat="1" applyFont="1"/>
    <xf numFmtId="0" fontId="13" fillId="0" borderId="16" xfId="0" applyFont="1" applyBorder="1"/>
    <xf numFmtId="3" fontId="13" fillId="0" borderId="17" xfId="0" applyNumberFormat="1" applyFont="1" applyBorder="1"/>
    <xf numFmtId="164" fontId="10" fillId="0" borderId="0" xfId="1" applyFont="1"/>
    <xf numFmtId="0" fontId="17" fillId="0" borderId="0" xfId="0" applyFont="1"/>
    <xf numFmtId="170" fontId="13" fillId="8" borderId="0" xfId="1" applyNumberFormat="1" applyFont="1" applyFill="1"/>
    <xf numFmtId="43" fontId="10" fillId="0" borderId="0" xfId="0" applyNumberFormat="1" applyFont="1"/>
    <xf numFmtId="167" fontId="10" fillId="0" borderId="0" xfId="0" applyNumberFormat="1" applyFont="1"/>
    <xf numFmtId="172" fontId="28" fillId="0" borderId="0" xfId="9" applyNumberFormat="1" applyFont="1" applyFill="1" applyProtection="1"/>
    <xf numFmtId="172" fontId="29" fillId="0" borderId="10" xfId="9" applyNumberFormat="1" applyFont="1" applyFill="1" applyBorder="1" applyAlignment="1" applyProtection="1">
      <alignment horizontal="center"/>
    </xf>
    <xf numFmtId="0" fontId="30" fillId="0" borderId="0" xfId="9" applyFont="1" applyFill="1"/>
    <xf numFmtId="172" fontId="31" fillId="0" borderId="0" xfId="9" applyNumberFormat="1" applyFont="1" applyFill="1" applyProtection="1"/>
    <xf numFmtId="10" fontId="28" fillId="8" borderId="0" xfId="9" applyNumberFormat="1" applyFont="1" applyFill="1" applyProtection="1"/>
    <xf numFmtId="167" fontId="13" fillId="0" borderId="0" xfId="3" applyNumberFormat="1" applyFont="1"/>
    <xf numFmtId="10" fontId="10" fillId="8" borderId="0" xfId="0" applyNumberFormat="1" applyFont="1" applyFill="1"/>
    <xf numFmtId="170" fontId="13" fillId="0" borderId="0" xfId="0" applyNumberFormat="1" applyFont="1"/>
    <xf numFmtId="167" fontId="10" fillId="0" borderId="0" xfId="3" applyNumberFormat="1" applyFont="1"/>
    <xf numFmtId="0" fontId="13" fillId="9" borderId="0" xfId="0" applyFont="1" applyFill="1"/>
    <xf numFmtId="10" fontId="13" fillId="9" borderId="0" xfId="3" applyNumberFormat="1" applyFont="1" applyFill="1"/>
    <xf numFmtId="0" fontId="13" fillId="0" borderId="0" xfId="0" applyFont="1" applyAlignment="1">
      <alignment horizontal="center" vertical="center"/>
    </xf>
    <xf numFmtId="170" fontId="13" fillId="0" borderId="0" xfId="1" applyNumberFormat="1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3" fillId="0" borderId="3" xfId="0" applyFont="1" applyBorder="1" applyAlignment="1">
      <alignment horizontal="center"/>
    </xf>
    <xf numFmtId="0" fontId="13" fillId="0" borderId="3" xfId="0" applyFont="1" applyBorder="1"/>
    <xf numFmtId="0" fontId="10" fillId="0" borderId="3" xfId="0" applyFont="1" applyBorder="1"/>
    <xf numFmtId="3" fontId="10" fillId="8" borderId="3" xfId="2" applyNumberFormat="1" applyFont="1" applyFill="1" applyBorder="1"/>
    <xf numFmtId="0" fontId="10" fillId="8" borderId="3" xfId="0" applyFont="1" applyFill="1" applyBorder="1"/>
    <xf numFmtId="171" fontId="10" fillId="0" borderId="3" xfId="2" applyNumberFormat="1" applyFont="1" applyBorder="1"/>
    <xf numFmtId="4" fontId="10" fillId="0" borderId="14" xfId="2" applyNumberFormat="1" applyFont="1" applyFill="1" applyBorder="1"/>
    <xf numFmtId="3" fontId="10" fillId="0" borderId="3" xfId="2" applyNumberFormat="1" applyFont="1" applyBorder="1"/>
    <xf numFmtId="0" fontId="10" fillId="2" borderId="3" xfId="0" applyFont="1" applyFill="1" applyBorder="1" applyAlignment="1">
      <alignment vertical="center"/>
    </xf>
    <xf numFmtId="10" fontId="10" fillId="2" borderId="3" xfId="3" applyNumberFormat="1" applyFont="1" applyFill="1" applyBorder="1" applyAlignment="1">
      <alignment horizontal="center" vertical="center"/>
    </xf>
    <xf numFmtId="10" fontId="10" fillId="0" borderId="3" xfId="3" applyNumberFormat="1" applyFont="1" applyFill="1" applyBorder="1" applyAlignment="1">
      <alignment horizontal="center" vertical="center"/>
    </xf>
    <xf numFmtId="171" fontId="13" fillId="0" borderId="3" xfId="2" applyNumberFormat="1" applyFont="1" applyBorder="1"/>
    <xf numFmtId="0" fontId="33" fillId="0" borderId="0" xfId="0" applyFont="1" applyAlignment="1">
      <alignment horizontal="center"/>
    </xf>
    <xf numFmtId="0" fontId="7" fillId="8" borderId="0" xfId="0" applyFont="1" applyFill="1"/>
    <xf numFmtId="170" fontId="10" fillId="3" borderId="0" xfId="1" applyNumberFormat="1" applyFont="1" applyFill="1"/>
    <xf numFmtId="0" fontId="7" fillId="0" borderId="0" xfId="0" applyFont="1"/>
    <xf numFmtId="171" fontId="7" fillId="0" borderId="0" xfId="2" applyNumberFormat="1" applyFont="1"/>
    <xf numFmtId="0" fontId="7" fillId="0" borderId="3" xfId="0" applyFont="1" applyBorder="1" applyAlignment="1">
      <alignment horizontal="center"/>
    </xf>
    <xf numFmtId="170" fontId="13" fillId="0" borderId="0" xfId="1" applyNumberFormat="1" applyFont="1" applyAlignment="1"/>
  </cellXfs>
  <cellStyles count="10">
    <cellStyle name="Comma" xfId="1" builtinId="3"/>
    <cellStyle name="Currency" xfId="2" builtinId="4"/>
    <cellStyle name="Millares 2" xfId="7" xr:uid="{00000000-0005-0000-0000-000001000000}"/>
    <cellStyle name="Moneda [0] 2" xfId="8" xr:uid="{00000000-0005-0000-0000-000003000000}"/>
    <cellStyle name="Moneda 2" xfId="5" xr:uid="{00000000-0005-0000-0000-000004000000}"/>
    <cellStyle name="Normal" xfId="0" builtinId="0"/>
    <cellStyle name="Normal 2" xfId="4" xr:uid="{00000000-0005-0000-0000-000006000000}"/>
    <cellStyle name="Normal 3" xfId="9" xr:uid="{00000000-0005-0000-0000-000007000000}"/>
    <cellStyle name="Percent" xfId="3" builtinId="5"/>
    <cellStyle name="Porcentaje 2" xfId="6" xr:uid="{00000000-0005-0000-0000-000009000000}"/>
  </cellStyles>
  <dxfs count="88">
    <dxf>
      <font>
        <strike val="0"/>
        <outline val="0"/>
        <shadow val="0"/>
        <vertAlign val="baseline"/>
        <color theme="1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color theme="1"/>
        <name val="Times New Roman"/>
        <family val="1"/>
        <scheme val="none"/>
      </font>
      <numFmt numFmtId="170" formatCode="_(* #,##0_);_(* \(#,##0\);_(* &quot;-&quot;??_);_(@_)"/>
    </dxf>
    <dxf>
      <font>
        <strike val="0"/>
        <outline val="0"/>
        <shadow val="0"/>
        <vertAlign val="baseline"/>
        <color theme="1"/>
        <name val="Times New Roman"/>
        <family val="1"/>
        <scheme val="none"/>
      </font>
      <numFmt numFmtId="170" formatCode="_(* #,##0_);_(* \(#,##0\);_(* &quot;-&quot;??_);_(@_)"/>
    </dxf>
    <dxf>
      <font>
        <strike val="0"/>
        <outline val="0"/>
        <shadow val="0"/>
        <vertAlign val="baseline"/>
        <color theme="1"/>
        <name val="Times New Roman"/>
        <family val="1"/>
        <scheme val="none"/>
      </font>
      <numFmt numFmtId="170" formatCode="_(* #,##0_);_(* \(#,##0\);_(* &quot;-&quot;??_);_(@_)"/>
    </dxf>
    <dxf>
      <font>
        <strike val="0"/>
        <outline val="0"/>
        <shadow val="0"/>
        <vertAlign val="baseline"/>
        <color theme="1"/>
        <name val="Times New Roman"/>
        <family val="1"/>
        <scheme val="none"/>
      </font>
      <numFmt numFmtId="170" formatCode="_(* #,##0_);_(* \(#,##0\);_(* &quot;-&quot;??_);_(@_)"/>
    </dxf>
    <dxf>
      <font>
        <strike val="0"/>
        <outline val="0"/>
        <shadow val="0"/>
        <vertAlign val="baseline"/>
        <color theme="1"/>
        <name val="Times New Roman"/>
        <family val="1"/>
        <scheme val="none"/>
      </font>
      <numFmt numFmtId="170" formatCode="_(* #,##0_);_(* \(#,##0\);_(* &quot;-&quot;??_);_(@_)"/>
    </dxf>
    <dxf>
      <font>
        <strike val="0"/>
        <outline val="0"/>
        <shadow val="0"/>
        <vertAlign val="baseline"/>
        <color theme="1"/>
        <name val="Times New Roman"/>
        <family val="1"/>
        <scheme val="none"/>
      </font>
      <numFmt numFmtId="170" formatCode="_(* #,##0_);_(* \(#,##0\);_(* &quot;-&quot;??_);_(@_)"/>
    </dxf>
    <dxf>
      <font>
        <strike val="0"/>
        <outline val="0"/>
        <shadow val="0"/>
        <vertAlign val="baseline"/>
        <color theme="1"/>
        <name val="Times New Roman"/>
        <family val="1"/>
        <scheme val="none"/>
      </font>
      <numFmt numFmtId="170" formatCode="_(* #,##0_);_(* \(#,##0\);_(* &quot;-&quot;??_);_(@_)"/>
    </dxf>
    <dxf>
      <font>
        <strike val="0"/>
        <outline val="0"/>
        <shadow val="0"/>
        <vertAlign val="baseline"/>
        <color theme="1"/>
        <name val="Times New Roman"/>
        <family val="1"/>
        <scheme val="none"/>
      </font>
    </dxf>
    <dxf>
      <font>
        <strike val="0"/>
        <outline val="0"/>
        <shadow val="0"/>
        <vertAlign val="baseline"/>
        <color theme="1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color theme="1"/>
        <name val="Times New Roman"/>
        <family val="1"/>
        <scheme val="none"/>
      </font>
      <numFmt numFmtId="170" formatCode="_(* #,##0_);_(* \(#,##0\);_(* &quot;-&quot;??_);_(@_)"/>
    </dxf>
    <dxf>
      <font>
        <strike val="0"/>
        <outline val="0"/>
        <shadow val="0"/>
        <vertAlign val="baseline"/>
        <color theme="1"/>
        <name val="Times New Roman"/>
        <family val="1"/>
        <scheme val="none"/>
      </font>
      <numFmt numFmtId="170" formatCode="_(* #,##0_);_(* \(#,##0\);_(* &quot;-&quot;??_);_(@_)"/>
    </dxf>
    <dxf>
      <font>
        <strike val="0"/>
        <outline val="0"/>
        <shadow val="0"/>
        <vertAlign val="baseline"/>
        <color theme="1"/>
        <name val="Times New Roman"/>
        <family val="1"/>
        <scheme val="none"/>
      </font>
      <numFmt numFmtId="170" formatCode="_(* #,##0_);_(* \(#,##0\);_(* &quot;-&quot;??_);_(@_)"/>
    </dxf>
    <dxf>
      <font>
        <strike val="0"/>
        <outline val="0"/>
        <shadow val="0"/>
        <vertAlign val="baseline"/>
        <color theme="1"/>
        <name val="Times New Roman"/>
        <family val="1"/>
        <scheme val="none"/>
      </font>
      <numFmt numFmtId="170" formatCode="_(* #,##0_);_(* \(#,##0\);_(* &quot;-&quot;??_);_(@_)"/>
    </dxf>
    <dxf>
      <font>
        <strike val="0"/>
        <outline val="0"/>
        <shadow val="0"/>
        <vertAlign val="baseline"/>
        <color theme="1"/>
        <name val="Times New Roman"/>
        <family val="1"/>
        <scheme val="none"/>
      </font>
      <numFmt numFmtId="170" formatCode="_(* #,##0_);_(* \(#,##0\);_(* &quot;-&quot;??_);_(@_)"/>
    </dxf>
    <dxf>
      <font>
        <strike val="0"/>
        <outline val="0"/>
        <shadow val="0"/>
        <vertAlign val="baseline"/>
        <color theme="1"/>
        <name val="Times New Roman"/>
        <family val="1"/>
        <scheme val="none"/>
      </font>
      <numFmt numFmtId="170" formatCode="_(* #,##0_);_(* \(#,##0\);_(* &quot;-&quot;??_);_(@_)"/>
    </dxf>
    <dxf>
      <font>
        <strike val="0"/>
        <outline val="0"/>
        <shadow val="0"/>
        <vertAlign val="baseline"/>
        <color theme="1"/>
        <name val="Times New Roman"/>
        <family val="1"/>
        <scheme val="none"/>
      </font>
      <numFmt numFmtId="170" formatCode="_(* #,##0_);_(* \(#,##0\);_(* &quot;-&quot;??_);_(@_)"/>
    </dxf>
    <dxf>
      <font>
        <strike val="0"/>
        <outline val="0"/>
        <shadow val="0"/>
        <vertAlign val="baseline"/>
        <color theme="1"/>
        <name val="Times New Roman"/>
        <family val="1"/>
        <scheme val="none"/>
      </font>
      <numFmt numFmtId="170" formatCode="_(* #,##0_);_(* \(#,##0\);_(* &quot;-&quot;??_);_(@_)"/>
    </dxf>
    <dxf>
      <font>
        <strike val="0"/>
        <outline val="0"/>
        <shadow val="0"/>
        <vertAlign val="baseline"/>
        <color theme="1"/>
        <name val="Times New Roman"/>
        <family val="1"/>
        <scheme val="none"/>
      </font>
      <numFmt numFmtId="170" formatCode="_(* #,##0_);_(* \(#,##0\);_(* &quot;-&quot;??_);_(@_)"/>
    </dxf>
    <dxf>
      <font>
        <strike val="0"/>
        <outline val="0"/>
        <shadow val="0"/>
        <vertAlign val="baseline"/>
        <color theme="1"/>
        <name val="Times New Roman"/>
        <family val="1"/>
        <scheme val="none"/>
      </font>
      <numFmt numFmtId="170" formatCode="_(* #,##0_);_(* \(#,##0\);_(* &quot;-&quot;??_);_(@_)"/>
    </dxf>
    <dxf>
      <font>
        <strike val="0"/>
        <outline val="0"/>
        <shadow val="0"/>
        <vertAlign val="baseline"/>
        <color theme="1"/>
        <name val="Times New Roman"/>
        <family val="1"/>
        <scheme val="none"/>
      </font>
      <numFmt numFmtId="170" formatCode="_(* #,##0_);_(* \(#,##0\);_(* &quot;-&quot;??_);_(@_)"/>
    </dxf>
    <dxf>
      <font>
        <strike val="0"/>
        <outline val="0"/>
        <shadow val="0"/>
        <vertAlign val="baseline"/>
        <color theme="1"/>
        <name val="Times New Roman"/>
        <family val="1"/>
        <scheme val="none"/>
      </font>
      <numFmt numFmtId="170" formatCode="_(* #,##0_);_(* \(#,##0\);_(* &quot;-&quot;??_);_(@_)"/>
    </dxf>
    <dxf>
      <font>
        <strike val="0"/>
        <outline val="0"/>
        <shadow val="0"/>
        <vertAlign val="baseline"/>
        <color theme="1"/>
        <name val="Times New Roman"/>
        <family val="1"/>
        <scheme val="none"/>
      </font>
      <numFmt numFmtId="170" formatCode="_(* #,##0_);_(* \(#,##0\);_(* &quot;-&quot;??_);_(@_)"/>
    </dxf>
    <dxf>
      <font>
        <strike val="0"/>
        <outline val="0"/>
        <shadow val="0"/>
        <vertAlign val="baseline"/>
        <color theme="1"/>
        <name val="Times New Roman"/>
        <family val="1"/>
        <scheme val="none"/>
      </font>
      <numFmt numFmtId="170" formatCode="_(* #,##0_);_(* \(#,##0\);_(* &quot;-&quot;??_);_(@_)"/>
    </dxf>
    <dxf>
      <font>
        <strike val="0"/>
        <outline val="0"/>
        <shadow val="0"/>
        <vertAlign val="baseline"/>
        <color theme="1"/>
        <name val="Times New Roman"/>
        <family val="1"/>
        <scheme val="none"/>
      </font>
      <numFmt numFmtId="170" formatCode="_(* #,##0_);_(* \(#,##0\);_(* &quot;-&quot;??_);_(@_)"/>
    </dxf>
    <dxf>
      <font>
        <strike val="0"/>
        <outline val="0"/>
        <shadow val="0"/>
        <vertAlign val="baseline"/>
        <color theme="1"/>
        <name val="Times New Roman"/>
        <family val="1"/>
        <scheme val="none"/>
      </font>
      <numFmt numFmtId="170" formatCode="_(* #,##0_);_(* \(#,##0\);_(* &quot;-&quot;??_);_(@_)"/>
    </dxf>
    <dxf>
      <font>
        <strike val="0"/>
        <outline val="0"/>
        <shadow val="0"/>
        <vertAlign val="baseline"/>
        <color theme="1"/>
        <name val="Times New Roman"/>
        <family val="1"/>
        <scheme val="none"/>
      </font>
      <numFmt numFmtId="170" formatCode="_(* #,##0_);_(* \(#,##0\);_(* &quot;-&quot;??_);_(@_)"/>
    </dxf>
    <dxf>
      <font>
        <strike val="0"/>
        <outline val="0"/>
        <shadow val="0"/>
        <vertAlign val="baseline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70" formatCode="_(* #,##0_);_(* \(#,##0\);_(* &quot;-&quot;??_);_(@_)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70" formatCode="_(* #,##0_);_(* \(#,##0\);_(* &quot;-&quot;??_);_(@_)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70" formatCode="_(* #,##0_);_(* \(#,##0\);_(* &quot;-&quot;??_);_(@_)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70" formatCode="_(* #,##0_);_(* \(#,##0\);_(* &quot;-&quot;??_);_(@_)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70" formatCode="_(* #,##0_);_(* \(#,##0\);_(* &quot;-&quot;??_);_(@_)"/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CC"/>
      <color rgb="FF00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567229</xdr:colOff>
      <xdr:row>22</xdr:row>
      <xdr:rowOff>125345</xdr:rowOff>
    </xdr:from>
    <xdr:to>
      <xdr:col>21</xdr:col>
      <xdr:colOff>57960</xdr:colOff>
      <xdr:row>85</xdr:row>
      <xdr:rowOff>133985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A7C1C9-C96F-447B-9CE5-FF9D39C903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5532" t="10611" r="57698" b="20136"/>
        <a:stretch/>
      </xdr:blipFill>
      <xdr:spPr>
        <a:xfrm>
          <a:off x="11162658" y="3427345"/>
          <a:ext cx="5238483" cy="108372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254001</xdr:colOff>
      <xdr:row>4</xdr:row>
      <xdr:rowOff>16296</xdr:rowOff>
    </xdr:from>
    <xdr:to>
      <xdr:col>27</xdr:col>
      <xdr:colOff>290733</xdr:colOff>
      <xdr:row>48</xdr:row>
      <xdr:rowOff>173445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334532-15FC-4887-947A-F669ABDB7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80825" y="763355"/>
          <a:ext cx="15518181" cy="836971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6A17CE2-9BB3-47FF-9FFA-89A32531D1B9}" name="Table5" displayName="Table5" ref="C2:T19" totalsRowShown="0" headerRowDxfId="11" dataDxfId="10">
  <autoFilter ref="C2:T19" xr:uid="{6871B218-FE91-4219-A72A-AED89DB3AA38}"/>
  <tableColumns count="18">
    <tableColumn id="1" xr3:uid="{10303678-FC0B-4651-BA53-4771963FDD6D}" name="DETALLE" dataDxfId="29"/>
    <tableColumn id="2" xr3:uid="{61442CB8-15FE-4C96-8F0A-D2D7D3E47B50}" name="RESTAURANTE" dataDxfId="28" dataCellStyle="Comma"/>
    <tableColumn id="3" xr3:uid="{6CA23B34-5CC1-4121-AFE7-39F0CAD0481A}" name="HOSPEDAJE" dataDxfId="27" dataCellStyle="Comma"/>
    <tableColumn id="4" xr3:uid="{5D921220-8991-428C-A5C4-8CC55F5610A3}" name="RECREACION" dataDxfId="26" dataCellStyle="Comma"/>
    <tableColumn id="5" xr3:uid="{E69D2D7A-CD7D-43D5-AFF5-0F01A8DCD3E6}" name="ADMIN" dataDxfId="25" dataCellStyle="Comma"/>
    <tableColumn id="7" xr3:uid="{613C06CB-415C-4EBF-87E3-CFDCC176D540}" name="TOTAL" dataDxfId="24" dataCellStyle="Comma">
      <calculatedColumnFormula>SUM(Table5[[#This Row],[RESTAURANTE]:[ADMIN]])</calculatedColumnFormula>
    </tableColumn>
    <tableColumn id="8" xr3:uid="{4591ACEC-6E6A-438D-A546-A2381E533327}" name="POR CLIENTES" dataDxfId="23" dataCellStyle="Comma">
      <calculatedColumnFormula>+Table5[[#This Row],[TOTAL]]/30</calculatedColumnFormula>
    </tableColumn>
    <tableColumn id="9" xr3:uid="{AC4FFD00-9A12-44DF-949F-4385A43025EB}" name="2021" dataDxfId="22" dataCellStyle="Comma"/>
    <tableColumn id="10" xr3:uid="{0A55408F-D101-4F5C-9652-F63C57226EB3}" name="2022" dataDxfId="21" dataCellStyle="Comma"/>
    <tableColumn id="11" xr3:uid="{4C654FC8-CE54-423B-A0CC-FB9908E8BC1A}" name="2023" dataDxfId="20" dataCellStyle="Comma"/>
    <tableColumn id="12" xr3:uid="{B6B54832-4C29-4C1C-85B9-B108F6C41E49}" name="2024" dataDxfId="19" dataCellStyle="Comma"/>
    <tableColumn id="13" xr3:uid="{9A7CCD25-9F8B-4950-8716-F7578B29D5BA}" name="2025" dataDxfId="18" dataCellStyle="Comma"/>
    <tableColumn id="14" xr3:uid="{227DEFDA-B2D7-4C98-850A-4DC00484B257}" name="2026" dataDxfId="17" dataCellStyle="Comma"/>
    <tableColumn id="15" xr3:uid="{5F668C8F-70D6-4B6D-8A2A-AEE31694AA37}" name="2027" dataDxfId="16" dataCellStyle="Comma"/>
    <tableColumn id="16" xr3:uid="{11B00B73-858C-4421-8B43-82BCF33AC4F6}" name="2028" dataDxfId="15" dataCellStyle="Comma"/>
    <tableColumn id="17" xr3:uid="{605F8F60-83FE-4314-A08A-53F9F5F72567}" name="2029" dataDxfId="14" dataCellStyle="Comma"/>
    <tableColumn id="18" xr3:uid="{6028A830-8F0C-44DB-84B6-F7DDAFD6B8F5}" name="2030" dataDxfId="13" dataCellStyle="Comma"/>
    <tableColumn id="19" xr3:uid="{4F038CC8-246E-4EA6-86C9-B741900B79E1}" name="2031" dataDxfId="12" dataCellStyle="Comma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9A0D9EF-C37D-4DFB-A6B3-CFA0D45A4164}" name="Table510" displayName="Table510" ref="C23:J44" totalsRowShown="0" headerRowDxfId="1" dataDxfId="0">
  <autoFilter ref="C23:J44" xr:uid="{37D16EFE-1644-484A-BC6C-1725B867E9DF}"/>
  <tableColumns count="8">
    <tableColumn id="1" xr3:uid="{5F458B41-D48A-40F6-ADEB-71A8D9ADD221}" name="DETALLE" dataDxfId="9"/>
    <tableColumn id="2" xr3:uid="{CE474CD6-FCA4-439F-A2B7-6BA794BC0FD2}" name="RESTAURANTE" dataDxfId="8" dataCellStyle="Comma"/>
    <tableColumn id="3" xr3:uid="{7F6ACC76-8306-496A-9980-B5A703C1E14E}" name="HOSPEDAJE" dataDxfId="7" dataCellStyle="Comma"/>
    <tableColumn id="4" xr3:uid="{777775FA-53DB-400F-8BF6-3148CED024D3}" name="RECREACION" dataDxfId="6" dataCellStyle="Comma"/>
    <tableColumn id="6" xr3:uid="{6475327C-FCB6-466D-AFC6-6730001EA07C}" name="OTROS" dataDxfId="5" dataCellStyle="Comma"/>
    <tableColumn id="7" xr3:uid="{8CAF4599-4C8D-4981-9C21-E244C66D7BE5}" name="TOTAL" dataDxfId="4" dataCellStyle="Comma">
      <calculatedColumnFormula>+Table510[[#This Row],[OTROS]]*1.6257</calculatedColumnFormula>
    </tableColumn>
    <tableColumn id="8" xr3:uid="{43B6A47C-02CE-4CCD-AAE1-E04A548451CC}" name="AVG" dataDxfId="3" dataCellStyle="Comma"/>
    <tableColumn id="5" xr3:uid="{11798687-A308-4975-9484-FB32BFC5A01D}" name="Column1" dataDxfId="2" dataCellStyle="Comma"/>
  </tableColumns>
  <tableStyleInfo name="TableStyleMedium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95D6B93-6309-4B7D-AEED-2A0B9B69FEA8}" name="Table1" displayName="Table1" ref="B2:G22" totalsRowShown="0" headerRowDxfId="39" dataDxfId="38">
  <autoFilter ref="B2:G22" xr:uid="{E667A7E1-DB76-4916-8D92-C356B34A51C7}"/>
  <tableColumns count="6">
    <tableColumn id="1" xr3:uid="{5917921D-7187-4B34-A0CC-45D787359DB0}" name="No" dataDxfId="45"/>
    <tableColumn id="2" xr3:uid="{9CBB218E-3FD1-4E94-AAAE-091DF5B3C816}" name="Tipo" dataDxfId="44"/>
    <tableColumn id="3" xr3:uid="{6D44A11D-1907-4F79-8897-97EA2AC7E747}" name="Activo" dataDxfId="43"/>
    <tableColumn id="4" xr3:uid="{8F610E50-E756-4DD0-8278-B9937FF6049C}" name="Valor unitario" dataDxfId="42" dataCellStyle="Comma"/>
    <tableColumn id="5" xr3:uid="{4683920F-23E6-4392-AA60-DB3394257F6E}" name="Cantidad" dataDxfId="41"/>
    <tableColumn id="6" xr3:uid="{857B0086-F30F-4977-A10C-C4731443104D}" name="Total" dataDxfId="40" dataCellStyle="Comma"/>
  </tableColumns>
  <tableStyleInfo name="TableStyleMedium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51510F5-A433-4E10-8A5E-E612B3CF4039}" name="Table2" displayName="Table2" ref="B26:G32" totalsRowShown="0" headerRowDxfId="31" dataDxfId="30">
  <autoFilter ref="B26:G32" xr:uid="{82025405-6569-42BD-B4EA-86A8BB5FB26B}"/>
  <tableColumns count="6">
    <tableColumn id="1" xr3:uid="{821CE533-8537-4B01-98CC-96C33A8C2E4D}" name="No" dataDxfId="37"/>
    <tableColumn id="2" xr3:uid="{66B57DCB-2F9F-4044-80FF-C75AA13E7590}" name="Tipo" dataDxfId="36"/>
    <tableColumn id="3" xr3:uid="{7737CAA9-EBA0-4D00-BEC8-1E5DFE465206}" name="Activo" dataDxfId="35"/>
    <tableColumn id="4" xr3:uid="{351ACEE2-ADDB-49F4-BFF4-78978F3D4E2A}" name="Valor unitario" dataDxfId="34" dataCellStyle="Comma"/>
    <tableColumn id="5" xr3:uid="{E43E98EF-389D-4E6D-840C-D5D0EDC322C9}" name="Cantidad" dataDxfId="33"/>
    <tableColumn id="6" xr3:uid="{11A75A89-2F75-4E46-A0AA-7073BE62FA2B}" name="Total" dataDxfId="32" dataCellStyle="Comma"/>
  </tableColumns>
  <tableStyleInfo name="TableStyleMedium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15CB736-3289-4C79-B2AF-5973763B92CE}" name="Table3" displayName="Table3" ref="B2:D11" totalsRowShown="0" headerRowDxfId="47" dataDxfId="46">
  <autoFilter ref="B2:D11" xr:uid="{4657F4DF-ABB2-499B-B418-DB28777A86C8}"/>
  <tableColumns count="3">
    <tableColumn id="1" xr3:uid="{C370442D-316A-49E8-8967-2B094149B3C4}" name="No" dataDxfId="50"/>
    <tableColumn id="2" xr3:uid="{23F37F70-13D9-41A1-987F-3D58A7D275E0}" name="Activo" dataDxfId="49"/>
    <tableColumn id="3" xr3:uid="{9A2B11F4-A0A8-4150-8592-54254FF12144}" name="Valor unitario" dataDxfId="48" dataCellStyle="Comma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B1:EE18"/>
  <sheetViews>
    <sheetView showGridLines="0" zoomScale="80" zoomScaleNormal="80" workbookViewId="0">
      <selection activeCell="D8" sqref="D8"/>
    </sheetView>
  </sheetViews>
  <sheetFormatPr defaultColWidth="11.44140625" defaultRowHeight="13.8" x14ac:dyDescent="0.25"/>
  <cols>
    <col min="1" max="1" width="3.44140625" style="36" customWidth="1"/>
    <col min="2" max="2" width="32.88671875" style="36" bestFit="1" customWidth="1"/>
    <col min="3" max="3" width="16.77734375" style="45" bestFit="1" customWidth="1"/>
    <col min="4" max="4" width="21.5546875" style="36" customWidth="1"/>
    <col min="5" max="6" width="15.6640625" style="36" bestFit="1" customWidth="1"/>
    <col min="7" max="7" width="17" style="36" bestFit="1" customWidth="1"/>
    <col min="8" max="8" width="18.88671875" style="36" bestFit="1" customWidth="1"/>
    <col min="9" max="9" width="16.5546875" style="36" bestFit="1" customWidth="1"/>
    <col min="10" max="107" width="15.44140625" style="36" customWidth="1"/>
    <col min="108" max="123" width="16.109375" style="36" bestFit="1" customWidth="1"/>
    <col min="124" max="16384" width="11.44140625" style="36"/>
  </cols>
  <sheetData>
    <row r="1" spans="2:135" x14ac:dyDescent="0.25">
      <c r="G1" s="55" t="s">
        <v>158</v>
      </c>
      <c r="H1" s="55" t="s">
        <v>159</v>
      </c>
      <c r="I1" s="55" t="s">
        <v>160</v>
      </c>
    </row>
    <row r="2" spans="2:135" x14ac:dyDescent="0.25">
      <c r="G2" s="57">
        <v>2900000000</v>
      </c>
      <c r="H2" s="57">
        <f>+G2*60%</f>
        <v>1740000000</v>
      </c>
      <c r="I2" s="57">
        <f>+G2-H2</f>
        <v>1160000000</v>
      </c>
      <c r="J2" s="134">
        <f>+I2/G2</f>
        <v>0.4</v>
      </c>
    </row>
    <row r="3" spans="2:135" x14ac:dyDescent="0.25">
      <c r="B3" s="50" t="s">
        <v>220</v>
      </c>
      <c r="C3" s="50"/>
      <c r="D3" s="50"/>
      <c r="E3" s="50"/>
      <c r="F3" s="50"/>
      <c r="G3" s="50"/>
      <c r="H3" s="50"/>
      <c r="I3" s="50"/>
    </row>
    <row r="4" spans="2:135" x14ac:dyDescent="0.25">
      <c r="B4" s="36" t="s">
        <v>42</v>
      </c>
      <c r="C4" s="45">
        <f>+I2</f>
        <v>1160000000</v>
      </c>
    </row>
    <row r="5" spans="2:135" x14ac:dyDescent="0.25">
      <c r="B5" s="36" t="s">
        <v>43</v>
      </c>
      <c r="C5" s="45">
        <v>0</v>
      </c>
    </row>
    <row r="6" spans="2:135" x14ac:dyDescent="0.25">
      <c r="B6" s="36" t="s">
        <v>44</v>
      </c>
      <c r="C6" s="45">
        <v>0</v>
      </c>
    </row>
    <row r="7" spans="2:135" x14ac:dyDescent="0.25">
      <c r="B7" s="36" t="s">
        <v>45</v>
      </c>
      <c r="C7" s="58">
        <v>8.0000000000000002E-3</v>
      </c>
      <c r="D7" s="36" t="s">
        <v>41</v>
      </c>
      <c r="E7" s="58">
        <f>+(1+C7)^12-1</f>
        <v>0.10033869371614701</v>
      </c>
      <c r="F7" s="36" t="s">
        <v>40</v>
      </c>
      <c r="G7" s="76" t="s">
        <v>260</v>
      </c>
    </row>
    <row r="8" spans="2:135" x14ac:dyDescent="0.25">
      <c r="B8" s="36" t="s">
        <v>224</v>
      </c>
      <c r="C8" s="57">
        <v>120</v>
      </c>
      <c r="D8" s="36" t="s">
        <v>225</v>
      </c>
    </row>
    <row r="9" spans="2:135" x14ac:dyDescent="0.25">
      <c r="B9" s="36" t="s">
        <v>26</v>
      </c>
      <c r="C9" s="45">
        <f>+PMT(C7,C8,-C4)</f>
        <v>15073700.237140983</v>
      </c>
    </row>
    <row r="10" spans="2:135" s="167" customFormat="1" ht="15.6" x14ac:dyDescent="0.3">
      <c r="C10" s="168"/>
      <c r="D10" s="169">
        <v>2021</v>
      </c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>
        <f>+D10+1</f>
        <v>2022</v>
      </c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>
        <f t="shared" ref="AB10" si="0">+P10+1</f>
        <v>2023</v>
      </c>
      <c r="AC10" s="169"/>
      <c r="AD10" s="169"/>
      <c r="AE10" s="169"/>
      <c r="AF10" s="169"/>
      <c r="AG10" s="169"/>
      <c r="AH10" s="169"/>
      <c r="AI10" s="169"/>
      <c r="AJ10" s="169"/>
      <c r="AK10" s="169"/>
      <c r="AL10" s="169"/>
      <c r="AM10" s="169"/>
      <c r="AN10" s="169">
        <f t="shared" ref="AN10" si="1">+AB10+1</f>
        <v>2024</v>
      </c>
      <c r="AO10" s="169"/>
      <c r="AP10" s="169"/>
      <c r="AQ10" s="169"/>
      <c r="AR10" s="169"/>
      <c r="AS10" s="169"/>
      <c r="AT10" s="169"/>
      <c r="AU10" s="169"/>
      <c r="AV10" s="169"/>
      <c r="AW10" s="169"/>
      <c r="AX10" s="169"/>
      <c r="AY10" s="169"/>
      <c r="AZ10" s="169">
        <f t="shared" ref="AZ10" si="2">+AN10+1</f>
        <v>2025</v>
      </c>
      <c r="BA10" s="169"/>
      <c r="BB10" s="169"/>
      <c r="BC10" s="169"/>
      <c r="BD10" s="169"/>
      <c r="BE10" s="169"/>
      <c r="BF10" s="169"/>
      <c r="BG10" s="169"/>
      <c r="BH10" s="169"/>
      <c r="BI10" s="169"/>
      <c r="BJ10" s="169"/>
      <c r="BK10" s="169"/>
      <c r="BL10" s="169">
        <f t="shared" ref="BL10" si="3">+AZ10+1</f>
        <v>2026</v>
      </c>
      <c r="BM10" s="169"/>
      <c r="BN10" s="169"/>
      <c r="BO10" s="169"/>
      <c r="BP10" s="169"/>
      <c r="BQ10" s="169"/>
      <c r="BR10" s="169"/>
      <c r="BS10" s="169"/>
      <c r="BT10" s="169"/>
      <c r="BU10" s="169"/>
      <c r="BV10" s="169"/>
      <c r="BW10" s="169"/>
      <c r="BX10" s="169">
        <f t="shared" ref="BX10" si="4">+BL10+1</f>
        <v>2027</v>
      </c>
      <c r="BY10" s="169"/>
      <c r="BZ10" s="169"/>
      <c r="CA10" s="169"/>
      <c r="CB10" s="169"/>
      <c r="CC10" s="169"/>
      <c r="CD10" s="169"/>
      <c r="CE10" s="169"/>
      <c r="CF10" s="169"/>
      <c r="CG10" s="169"/>
      <c r="CH10" s="169"/>
      <c r="CI10" s="169"/>
      <c r="CJ10" s="169">
        <f t="shared" ref="CJ10" si="5">+BX10+1</f>
        <v>2028</v>
      </c>
      <c r="CK10" s="169"/>
      <c r="CL10" s="169"/>
      <c r="CM10" s="169"/>
      <c r="CN10" s="169"/>
      <c r="CO10" s="169"/>
      <c r="CP10" s="169"/>
      <c r="CQ10" s="169"/>
      <c r="CR10" s="169"/>
      <c r="CS10" s="169"/>
      <c r="CT10" s="169"/>
      <c r="CU10" s="169"/>
      <c r="CV10" s="169">
        <f t="shared" ref="CV10" si="6">+CJ10+1</f>
        <v>2029</v>
      </c>
      <c r="CW10" s="169"/>
      <c r="CX10" s="169"/>
      <c r="CY10" s="169"/>
      <c r="CZ10" s="169"/>
      <c r="DA10" s="169"/>
      <c r="DB10" s="169"/>
      <c r="DC10" s="169"/>
      <c r="DD10" s="169"/>
      <c r="DE10" s="169"/>
      <c r="DF10" s="169"/>
      <c r="DG10" s="169"/>
      <c r="DH10" s="169">
        <f t="shared" ref="DH10" si="7">+CV10+1</f>
        <v>2030</v>
      </c>
      <c r="DI10" s="169"/>
      <c r="DJ10" s="169"/>
      <c r="DK10" s="169"/>
      <c r="DL10" s="169"/>
      <c r="DM10" s="169"/>
      <c r="DN10" s="169"/>
      <c r="DO10" s="169"/>
      <c r="DP10" s="169"/>
      <c r="DQ10" s="169"/>
      <c r="DR10" s="169"/>
      <c r="DS10" s="169"/>
      <c r="DT10" s="169">
        <v>2031</v>
      </c>
      <c r="DU10" s="169"/>
      <c r="DV10" s="169"/>
      <c r="DW10" s="169"/>
      <c r="DX10" s="169"/>
      <c r="DY10" s="169"/>
      <c r="DZ10" s="169"/>
      <c r="EA10" s="169"/>
      <c r="EB10" s="169"/>
      <c r="EC10" s="169"/>
      <c r="ED10" s="169"/>
      <c r="EE10" s="169"/>
    </row>
    <row r="11" spans="2:135" x14ac:dyDescent="0.25">
      <c r="B11" s="47" t="s">
        <v>46</v>
      </c>
      <c r="C11" s="105">
        <v>0</v>
      </c>
      <c r="D11" s="55">
        <v>1</v>
      </c>
      <c r="E11" s="55">
        <v>2</v>
      </c>
      <c r="F11" s="170">
        <v>3</v>
      </c>
      <c r="G11" s="55">
        <v>4</v>
      </c>
      <c r="H11" s="55">
        <v>5</v>
      </c>
      <c r="I11" s="105">
        <v>6</v>
      </c>
      <c r="J11" s="55">
        <v>7</v>
      </c>
      <c r="K11" s="55">
        <v>8</v>
      </c>
      <c r="L11" s="105">
        <v>9</v>
      </c>
      <c r="M11" s="55">
        <v>10</v>
      </c>
      <c r="N11" s="55">
        <v>11</v>
      </c>
      <c r="O11" s="105">
        <v>12</v>
      </c>
      <c r="P11" s="55">
        <v>13</v>
      </c>
      <c r="Q11" s="55">
        <v>14</v>
      </c>
      <c r="R11" s="105">
        <v>15</v>
      </c>
      <c r="S11" s="55">
        <v>16</v>
      </c>
      <c r="T11" s="55">
        <v>17</v>
      </c>
      <c r="U11" s="105">
        <v>18</v>
      </c>
      <c r="V11" s="55">
        <v>19</v>
      </c>
      <c r="W11" s="55">
        <v>20</v>
      </c>
      <c r="X11" s="105">
        <v>21</v>
      </c>
      <c r="Y11" s="55">
        <v>22</v>
      </c>
      <c r="Z11" s="55">
        <v>23</v>
      </c>
      <c r="AA11" s="105">
        <v>24</v>
      </c>
      <c r="AB11" s="55">
        <v>25</v>
      </c>
      <c r="AC11" s="55">
        <v>26</v>
      </c>
      <c r="AD11" s="105">
        <v>27</v>
      </c>
      <c r="AE11" s="55">
        <v>28</v>
      </c>
      <c r="AF11" s="55">
        <v>29</v>
      </c>
      <c r="AG11" s="105">
        <v>30</v>
      </c>
      <c r="AH11" s="55">
        <v>31</v>
      </c>
      <c r="AI11" s="55">
        <v>32</v>
      </c>
      <c r="AJ11" s="105">
        <v>33</v>
      </c>
      <c r="AK11" s="55">
        <v>34</v>
      </c>
      <c r="AL11" s="55">
        <v>35</v>
      </c>
      <c r="AM11" s="105">
        <v>36</v>
      </c>
      <c r="AN11" s="55">
        <v>37</v>
      </c>
      <c r="AO11" s="55">
        <v>38</v>
      </c>
      <c r="AP11" s="105">
        <v>39</v>
      </c>
      <c r="AQ11" s="55">
        <v>40</v>
      </c>
      <c r="AR11" s="55">
        <v>41</v>
      </c>
      <c r="AS11" s="105">
        <v>42</v>
      </c>
      <c r="AT11" s="55">
        <v>43</v>
      </c>
      <c r="AU11" s="55">
        <v>44</v>
      </c>
      <c r="AV11" s="105">
        <v>45</v>
      </c>
      <c r="AW11" s="55">
        <v>46</v>
      </c>
      <c r="AX11" s="55">
        <v>47</v>
      </c>
      <c r="AY11" s="105">
        <v>48</v>
      </c>
      <c r="AZ11" s="55">
        <v>49</v>
      </c>
      <c r="BA11" s="55">
        <v>50</v>
      </c>
      <c r="BB11" s="105">
        <v>51</v>
      </c>
      <c r="BC11" s="55">
        <v>52</v>
      </c>
      <c r="BD11" s="55">
        <v>53</v>
      </c>
      <c r="BE11" s="105">
        <v>54</v>
      </c>
      <c r="BF11" s="55">
        <v>55</v>
      </c>
      <c r="BG11" s="55">
        <v>56</v>
      </c>
      <c r="BH11" s="105">
        <v>57</v>
      </c>
      <c r="BI11" s="55">
        <v>58</v>
      </c>
      <c r="BJ11" s="55">
        <v>59</v>
      </c>
      <c r="BK11" s="105">
        <v>60</v>
      </c>
      <c r="BL11" s="55">
        <v>61</v>
      </c>
      <c r="BM11" s="55">
        <v>62</v>
      </c>
      <c r="BN11" s="105">
        <v>63</v>
      </c>
      <c r="BO11" s="55">
        <v>64</v>
      </c>
      <c r="BP11" s="55">
        <v>65</v>
      </c>
      <c r="BQ11" s="105">
        <v>66</v>
      </c>
      <c r="BR11" s="55">
        <v>67</v>
      </c>
      <c r="BS11" s="55">
        <v>68</v>
      </c>
      <c r="BT11" s="105">
        <v>69</v>
      </c>
      <c r="BU11" s="55">
        <v>70</v>
      </c>
      <c r="BV11" s="55">
        <v>71</v>
      </c>
      <c r="BW11" s="105">
        <v>72</v>
      </c>
      <c r="BX11" s="55">
        <v>73</v>
      </c>
      <c r="BY11" s="55">
        <v>74</v>
      </c>
      <c r="BZ11" s="105">
        <v>75</v>
      </c>
      <c r="CA11" s="55">
        <v>76</v>
      </c>
      <c r="CB11" s="55">
        <v>77</v>
      </c>
      <c r="CC11" s="105">
        <v>78</v>
      </c>
      <c r="CD11" s="55">
        <v>79</v>
      </c>
      <c r="CE11" s="55">
        <v>80</v>
      </c>
      <c r="CF11" s="105">
        <v>81</v>
      </c>
      <c r="CG11" s="55">
        <v>82</v>
      </c>
      <c r="CH11" s="55">
        <v>83</v>
      </c>
      <c r="CI11" s="105">
        <v>84</v>
      </c>
      <c r="CJ11" s="55">
        <v>85</v>
      </c>
      <c r="CK11" s="55">
        <v>86</v>
      </c>
      <c r="CL11" s="105">
        <v>87</v>
      </c>
      <c r="CM11" s="55">
        <v>88</v>
      </c>
      <c r="CN11" s="55">
        <v>89</v>
      </c>
      <c r="CO11" s="105">
        <v>90</v>
      </c>
      <c r="CP11" s="55">
        <v>91</v>
      </c>
      <c r="CQ11" s="55">
        <v>92</v>
      </c>
      <c r="CR11" s="105">
        <v>93</v>
      </c>
      <c r="CS11" s="55">
        <v>94</v>
      </c>
      <c r="CT11" s="55">
        <v>95</v>
      </c>
      <c r="CU11" s="105">
        <v>96</v>
      </c>
      <c r="CV11" s="55">
        <v>97</v>
      </c>
      <c r="CW11" s="55">
        <v>98</v>
      </c>
      <c r="CX11" s="105">
        <v>99</v>
      </c>
      <c r="CY11" s="55">
        <v>100</v>
      </c>
      <c r="CZ11" s="55">
        <v>101</v>
      </c>
      <c r="DA11" s="105">
        <v>102</v>
      </c>
      <c r="DB11" s="55">
        <v>103</v>
      </c>
      <c r="DC11" s="55">
        <v>104</v>
      </c>
      <c r="DD11" s="105">
        <v>105</v>
      </c>
      <c r="DE11" s="55">
        <v>106</v>
      </c>
      <c r="DF11" s="55">
        <v>107</v>
      </c>
      <c r="DG11" s="105">
        <v>108</v>
      </c>
      <c r="DH11" s="55">
        <v>109</v>
      </c>
      <c r="DI11" s="55">
        <v>110</v>
      </c>
      <c r="DJ11" s="105">
        <v>111</v>
      </c>
      <c r="DK11" s="55">
        <v>112</v>
      </c>
      <c r="DL11" s="55">
        <v>113</v>
      </c>
      <c r="DM11" s="105">
        <v>114</v>
      </c>
      <c r="DN11" s="55">
        <v>115</v>
      </c>
      <c r="DO11" s="55">
        <v>116</v>
      </c>
      <c r="DP11" s="105">
        <v>117</v>
      </c>
      <c r="DQ11" s="55">
        <v>118</v>
      </c>
      <c r="DR11" s="55">
        <v>119</v>
      </c>
      <c r="DS11" s="105">
        <v>120</v>
      </c>
    </row>
    <row r="12" spans="2:135" x14ac:dyDescent="0.25">
      <c r="B12" s="36" t="s">
        <v>47</v>
      </c>
      <c r="D12" s="42">
        <f>+$C$9</f>
        <v>15073700.237140983</v>
      </c>
      <c r="E12" s="42">
        <f t="shared" ref="E12:BP12" si="8">+$C$9</f>
        <v>15073700.237140983</v>
      </c>
      <c r="F12" s="42">
        <f t="shared" si="8"/>
        <v>15073700.237140983</v>
      </c>
      <c r="G12" s="42">
        <f t="shared" si="8"/>
        <v>15073700.237140983</v>
      </c>
      <c r="H12" s="42">
        <f t="shared" si="8"/>
        <v>15073700.237140983</v>
      </c>
      <c r="I12" s="42">
        <f t="shared" si="8"/>
        <v>15073700.237140983</v>
      </c>
      <c r="J12" s="42">
        <f t="shared" si="8"/>
        <v>15073700.237140983</v>
      </c>
      <c r="K12" s="42">
        <f t="shared" si="8"/>
        <v>15073700.237140983</v>
      </c>
      <c r="L12" s="42">
        <f t="shared" si="8"/>
        <v>15073700.237140983</v>
      </c>
      <c r="M12" s="42">
        <f t="shared" si="8"/>
        <v>15073700.237140983</v>
      </c>
      <c r="N12" s="42">
        <f t="shared" si="8"/>
        <v>15073700.237140983</v>
      </c>
      <c r="O12" s="42">
        <f t="shared" si="8"/>
        <v>15073700.237140983</v>
      </c>
      <c r="P12" s="42">
        <f t="shared" si="8"/>
        <v>15073700.237140983</v>
      </c>
      <c r="Q12" s="42">
        <f t="shared" si="8"/>
        <v>15073700.237140983</v>
      </c>
      <c r="R12" s="42">
        <f t="shared" si="8"/>
        <v>15073700.237140983</v>
      </c>
      <c r="S12" s="42">
        <f t="shared" si="8"/>
        <v>15073700.237140983</v>
      </c>
      <c r="T12" s="42">
        <f t="shared" si="8"/>
        <v>15073700.237140983</v>
      </c>
      <c r="U12" s="42">
        <f t="shared" si="8"/>
        <v>15073700.237140983</v>
      </c>
      <c r="V12" s="42">
        <f t="shared" si="8"/>
        <v>15073700.237140983</v>
      </c>
      <c r="W12" s="42">
        <f t="shared" si="8"/>
        <v>15073700.237140983</v>
      </c>
      <c r="X12" s="42">
        <f t="shared" si="8"/>
        <v>15073700.237140983</v>
      </c>
      <c r="Y12" s="42">
        <f t="shared" si="8"/>
        <v>15073700.237140983</v>
      </c>
      <c r="Z12" s="42">
        <f t="shared" si="8"/>
        <v>15073700.237140983</v>
      </c>
      <c r="AA12" s="42">
        <f t="shared" si="8"/>
        <v>15073700.237140983</v>
      </c>
      <c r="AB12" s="42">
        <f t="shared" si="8"/>
        <v>15073700.237140983</v>
      </c>
      <c r="AC12" s="42">
        <f t="shared" si="8"/>
        <v>15073700.237140983</v>
      </c>
      <c r="AD12" s="42">
        <f t="shared" si="8"/>
        <v>15073700.237140983</v>
      </c>
      <c r="AE12" s="42">
        <f t="shared" si="8"/>
        <v>15073700.237140983</v>
      </c>
      <c r="AF12" s="42">
        <f t="shared" si="8"/>
        <v>15073700.237140983</v>
      </c>
      <c r="AG12" s="42">
        <f t="shared" si="8"/>
        <v>15073700.237140983</v>
      </c>
      <c r="AH12" s="42">
        <f t="shared" si="8"/>
        <v>15073700.237140983</v>
      </c>
      <c r="AI12" s="42">
        <f t="shared" si="8"/>
        <v>15073700.237140983</v>
      </c>
      <c r="AJ12" s="42">
        <f t="shared" si="8"/>
        <v>15073700.237140983</v>
      </c>
      <c r="AK12" s="42">
        <f t="shared" si="8"/>
        <v>15073700.237140983</v>
      </c>
      <c r="AL12" s="42">
        <f t="shared" si="8"/>
        <v>15073700.237140983</v>
      </c>
      <c r="AM12" s="42">
        <f t="shared" si="8"/>
        <v>15073700.237140983</v>
      </c>
      <c r="AN12" s="42">
        <f t="shared" si="8"/>
        <v>15073700.237140983</v>
      </c>
      <c r="AO12" s="42">
        <f t="shared" si="8"/>
        <v>15073700.237140983</v>
      </c>
      <c r="AP12" s="42">
        <f t="shared" si="8"/>
        <v>15073700.237140983</v>
      </c>
      <c r="AQ12" s="42">
        <f t="shared" si="8"/>
        <v>15073700.237140983</v>
      </c>
      <c r="AR12" s="42">
        <f t="shared" si="8"/>
        <v>15073700.237140983</v>
      </c>
      <c r="AS12" s="42">
        <f t="shared" si="8"/>
        <v>15073700.237140983</v>
      </c>
      <c r="AT12" s="42">
        <f t="shared" si="8"/>
        <v>15073700.237140983</v>
      </c>
      <c r="AU12" s="42">
        <f t="shared" si="8"/>
        <v>15073700.237140983</v>
      </c>
      <c r="AV12" s="42">
        <f t="shared" si="8"/>
        <v>15073700.237140983</v>
      </c>
      <c r="AW12" s="42">
        <f t="shared" si="8"/>
        <v>15073700.237140983</v>
      </c>
      <c r="AX12" s="42">
        <f t="shared" si="8"/>
        <v>15073700.237140983</v>
      </c>
      <c r="AY12" s="42">
        <f t="shared" si="8"/>
        <v>15073700.237140983</v>
      </c>
      <c r="AZ12" s="42">
        <f t="shared" si="8"/>
        <v>15073700.237140983</v>
      </c>
      <c r="BA12" s="42">
        <f t="shared" si="8"/>
        <v>15073700.237140983</v>
      </c>
      <c r="BB12" s="42">
        <f t="shared" si="8"/>
        <v>15073700.237140983</v>
      </c>
      <c r="BC12" s="42">
        <f t="shared" si="8"/>
        <v>15073700.237140983</v>
      </c>
      <c r="BD12" s="42">
        <f t="shared" si="8"/>
        <v>15073700.237140983</v>
      </c>
      <c r="BE12" s="42">
        <f t="shared" si="8"/>
        <v>15073700.237140983</v>
      </c>
      <c r="BF12" s="42">
        <f t="shared" si="8"/>
        <v>15073700.237140983</v>
      </c>
      <c r="BG12" s="42">
        <f t="shared" si="8"/>
        <v>15073700.237140983</v>
      </c>
      <c r="BH12" s="42">
        <f t="shared" si="8"/>
        <v>15073700.237140983</v>
      </c>
      <c r="BI12" s="42">
        <f t="shared" si="8"/>
        <v>15073700.237140983</v>
      </c>
      <c r="BJ12" s="42">
        <f t="shared" si="8"/>
        <v>15073700.237140983</v>
      </c>
      <c r="BK12" s="42">
        <f t="shared" si="8"/>
        <v>15073700.237140983</v>
      </c>
      <c r="BL12" s="42">
        <f t="shared" si="8"/>
        <v>15073700.237140983</v>
      </c>
      <c r="BM12" s="42">
        <f t="shared" si="8"/>
        <v>15073700.237140983</v>
      </c>
      <c r="BN12" s="42">
        <f t="shared" si="8"/>
        <v>15073700.237140983</v>
      </c>
      <c r="BO12" s="42">
        <f t="shared" si="8"/>
        <v>15073700.237140983</v>
      </c>
      <c r="BP12" s="42">
        <f t="shared" si="8"/>
        <v>15073700.237140983</v>
      </c>
      <c r="BQ12" s="42">
        <f t="shared" ref="BQ12:DS12" si="9">+$C$9</f>
        <v>15073700.237140983</v>
      </c>
      <c r="BR12" s="42">
        <f t="shared" si="9"/>
        <v>15073700.237140983</v>
      </c>
      <c r="BS12" s="42">
        <f t="shared" si="9"/>
        <v>15073700.237140983</v>
      </c>
      <c r="BT12" s="42">
        <f t="shared" si="9"/>
        <v>15073700.237140983</v>
      </c>
      <c r="BU12" s="42">
        <f t="shared" si="9"/>
        <v>15073700.237140983</v>
      </c>
      <c r="BV12" s="42">
        <f t="shared" si="9"/>
        <v>15073700.237140983</v>
      </c>
      <c r="BW12" s="42">
        <f t="shared" si="9"/>
        <v>15073700.237140983</v>
      </c>
      <c r="BX12" s="42">
        <f t="shared" si="9"/>
        <v>15073700.237140983</v>
      </c>
      <c r="BY12" s="42">
        <f t="shared" si="9"/>
        <v>15073700.237140983</v>
      </c>
      <c r="BZ12" s="42">
        <f t="shared" si="9"/>
        <v>15073700.237140983</v>
      </c>
      <c r="CA12" s="42">
        <f t="shared" si="9"/>
        <v>15073700.237140983</v>
      </c>
      <c r="CB12" s="42">
        <f t="shared" si="9"/>
        <v>15073700.237140983</v>
      </c>
      <c r="CC12" s="42">
        <f t="shared" si="9"/>
        <v>15073700.237140983</v>
      </c>
      <c r="CD12" s="42">
        <f t="shared" si="9"/>
        <v>15073700.237140983</v>
      </c>
      <c r="CE12" s="42">
        <f t="shared" si="9"/>
        <v>15073700.237140983</v>
      </c>
      <c r="CF12" s="42">
        <f t="shared" si="9"/>
        <v>15073700.237140983</v>
      </c>
      <c r="CG12" s="42">
        <f t="shared" si="9"/>
        <v>15073700.237140983</v>
      </c>
      <c r="CH12" s="42">
        <f t="shared" si="9"/>
        <v>15073700.237140983</v>
      </c>
      <c r="CI12" s="42">
        <f t="shared" si="9"/>
        <v>15073700.237140983</v>
      </c>
      <c r="CJ12" s="42">
        <f t="shared" si="9"/>
        <v>15073700.237140983</v>
      </c>
      <c r="CK12" s="42">
        <f t="shared" si="9"/>
        <v>15073700.237140983</v>
      </c>
      <c r="CL12" s="42">
        <f t="shared" si="9"/>
        <v>15073700.237140983</v>
      </c>
      <c r="CM12" s="42">
        <f t="shared" si="9"/>
        <v>15073700.237140983</v>
      </c>
      <c r="CN12" s="42">
        <f t="shared" si="9"/>
        <v>15073700.237140983</v>
      </c>
      <c r="CO12" s="42">
        <f t="shared" si="9"/>
        <v>15073700.237140983</v>
      </c>
      <c r="CP12" s="42">
        <f t="shared" si="9"/>
        <v>15073700.237140983</v>
      </c>
      <c r="CQ12" s="42">
        <f t="shared" si="9"/>
        <v>15073700.237140983</v>
      </c>
      <c r="CR12" s="42">
        <f t="shared" si="9"/>
        <v>15073700.237140983</v>
      </c>
      <c r="CS12" s="42">
        <f t="shared" si="9"/>
        <v>15073700.237140983</v>
      </c>
      <c r="CT12" s="42">
        <f t="shared" si="9"/>
        <v>15073700.237140983</v>
      </c>
      <c r="CU12" s="42">
        <f t="shared" si="9"/>
        <v>15073700.237140983</v>
      </c>
      <c r="CV12" s="42">
        <f t="shared" si="9"/>
        <v>15073700.237140983</v>
      </c>
      <c r="CW12" s="42">
        <f t="shared" si="9"/>
        <v>15073700.237140983</v>
      </c>
      <c r="CX12" s="42">
        <f t="shared" si="9"/>
        <v>15073700.237140983</v>
      </c>
      <c r="CY12" s="42">
        <f t="shared" si="9"/>
        <v>15073700.237140983</v>
      </c>
      <c r="CZ12" s="42">
        <f t="shared" si="9"/>
        <v>15073700.237140983</v>
      </c>
      <c r="DA12" s="42">
        <f t="shared" si="9"/>
        <v>15073700.237140983</v>
      </c>
      <c r="DB12" s="42">
        <f t="shared" si="9"/>
        <v>15073700.237140983</v>
      </c>
      <c r="DC12" s="42">
        <f t="shared" si="9"/>
        <v>15073700.237140983</v>
      </c>
      <c r="DD12" s="42">
        <f t="shared" si="9"/>
        <v>15073700.237140983</v>
      </c>
      <c r="DE12" s="42">
        <f t="shared" si="9"/>
        <v>15073700.237140983</v>
      </c>
      <c r="DF12" s="42">
        <f t="shared" si="9"/>
        <v>15073700.237140983</v>
      </c>
      <c r="DG12" s="42">
        <f t="shared" si="9"/>
        <v>15073700.237140983</v>
      </c>
      <c r="DH12" s="42">
        <f t="shared" si="9"/>
        <v>15073700.237140983</v>
      </c>
      <c r="DI12" s="42">
        <f t="shared" si="9"/>
        <v>15073700.237140983</v>
      </c>
      <c r="DJ12" s="42">
        <f t="shared" si="9"/>
        <v>15073700.237140983</v>
      </c>
      <c r="DK12" s="42">
        <f t="shared" si="9"/>
        <v>15073700.237140983</v>
      </c>
      <c r="DL12" s="42">
        <f t="shared" si="9"/>
        <v>15073700.237140983</v>
      </c>
      <c r="DM12" s="42">
        <f t="shared" si="9"/>
        <v>15073700.237140983</v>
      </c>
      <c r="DN12" s="42">
        <f t="shared" si="9"/>
        <v>15073700.237140983</v>
      </c>
      <c r="DO12" s="42">
        <f t="shared" si="9"/>
        <v>15073700.237140983</v>
      </c>
      <c r="DP12" s="42">
        <f t="shared" si="9"/>
        <v>15073700.237140983</v>
      </c>
      <c r="DQ12" s="42">
        <f t="shared" si="9"/>
        <v>15073700.237140983</v>
      </c>
      <c r="DR12" s="42">
        <f t="shared" si="9"/>
        <v>15073700.237140983</v>
      </c>
      <c r="DS12" s="42">
        <f t="shared" si="9"/>
        <v>15073700.237140983</v>
      </c>
    </row>
    <row r="13" spans="2:135" s="47" customFormat="1" x14ac:dyDescent="0.25">
      <c r="B13" s="47" t="s">
        <v>48</v>
      </c>
      <c r="C13" s="48"/>
      <c r="D13" s="128">
        <f>+C15*$C$7</f>
        <v>9280000</v>
      </c>
      <c r="E13" s="128">
        <f t="shared" ref="E13:BP13" si="10">+D15*$C$7</f>
        <v>9233650.3981028739</v>
      </c>
      <c r="F13" s="128">
        <f t="shared" si="10"/>
        <v>9186929.9993905686</v>
      </c>
      <c r="G13" s="128">
        <f t="shared" si="10"/>
        <v>9139835.8374885637</v>
      </c>
      <c r="H13" s="128">
        <f t="shared" si="10"/>
        <v>9092364.922291344</v>
      </c>
      <c r="I13" s="128">
        <f t="shared" si="10"/>
        <v>9044514.239772547</v>
      </c>
      <c r="J13" s="128">
        <f t="shared" si="10"/>
        <v>8996280.7517936006</v>
      </c>
      <c r="K13" s="128">
        <f t="shared" si="10"/>
        <v>8947661.3959108219</v>
      </c>
      <c r="L13" s="128">
        <f t="shared" si="10"/>
        <v>8898653.0851809811</v>
      </c>
      <c r="M13" s="128">
        <f t="shared" si="10"/>
        <v>8849252.7079653013</v>
      </c>
      <c r="N13" s="128">
        <f t="shared" si="10"/>
        <v>8799457.1277318951</v>
      </c>
      <c r="O13" s="128">
        <f t="shared" si="10"/>
        <v>8749263.1828566231</v>
      </c>
      <c r="P13" s="128">
        <f t="shared" si="10"/>
        <v>8698667.686422348</v>
      </c>
      <c r="Q13" s="128">
        <f t="shared" si="10"/>
        <v>8647667.4260165989</v>
      </c>
      <c r="R13" s="128">
        <f t="shared" si="10"/>
        <v>8596259.1635276061</v>
      </c>
      <c r="S13" s="128">
        <f t="shared" si="10"/>
        <v>8544439.6349386983</v>
      </c>
      <c r="T13" s="128">
        <f t="shared" si="10"/>
        <v>8492205.5501210801</v>
      </c>
      <c r="U13" s="128">
        <f t="shared" si="10"/>
        <v>8439553.5926249195</v>
      </c>
      <c r="V13" s="128">
        <f t="shared" si="10"/>
        <v>8386480.4194687912</v>
      </c>
      <c r="W13" s="128">
        <f t="shared" si="10"/>
        <v>8332982.660927414</v>
      </c>
      <c r="X13" s="128">
        <f t="shared" si="10"/>
        <v>8279056.9203177057</v>
      </c>
      <c r="Y13" s="128">
        <f t="shared" si="10"/>
        <v>8224699.7737831194</v>
      </c>
      <c r="Z13" s="128">
        <f t="shared" si="10"/>
        <v>8169907.7700762572</v>
      </c>
      <c r="AA13" s="128">
        <f t="shared" si="10"/>
        <v>8114677.4303397387</v>
      </c>
      <c r="AB13" s="128">
        <f t="shared" si="10"/>
        <v>8059005.2478853296</v>
      </c>
      <c r="AC13" s="128">
        <f t="shared" si="10"/>
        <v>8002887.6879712837</v>
      </c>
      <c r="AD13" s="128">
        <f t="shared" si="10"/>
        <v>7946321.1875779266</v>
      </c>
      <c r="AE13" s="128">
        <f t="shared" si="10"/>
        <v>7889302.1551814228</v>
      </c>
      <c r="AF13" s="128">
        <f t="shared" si="10"/>
        <v>7831826.9705257453</v>
      </c>
      <c r="AG13" s="128">
        <f t="shared" si="10"/>
        <v>7773891.9843928237</v>
      </c>
      <c r="AH13" s="128">
        <f t="shared" si="10"/>
        <v>7715493.5183708379</v>
      </c>
      <c r="AI13" s="128">
        <f t="shared" si="10"/>
        <v>7656627.8646206772</v>
      </c>
      <c r="AJ13" s="128">
        <f t="shared" si="10"/>
        <v>7597291.2856405145</v>
      </c>
      <c r="AK13" s="128">
        <f t="shared" si="10"/>
        <v>7537480.014028511</v>
      </c>
      <c r="AL13" s="128">
        <f t="shared" si="10"/>
        <v>7477190.252243611</v>
      </c>
      <c r="AM13" s="128">
        <f t="shared" si="10"/>
        <v>7416418.1723644324</v>
      </c>
      <c r="AN13" s="128">
        <f t="shared" si="10"/>
        <v>7355159.9158462202</v>
      </c>
      <c r="AO13" s="128">
        <f t="shared" si="10"/>
        <v>7293411.5932758618</v>
      </c>
      <c r="AP13" s="128">
        <f t="shared" si="10"/>
        <v>7231169.2841249406</v>
      </c>
      <c r="AQ13" s="128">
        <f t="shared" si="10"/>
        <v>7168429.0365008125</v>
      </c>
      <c r="AR13" s="128">
        <f t="shared" si="10"/>
        <v>7105186.8668956915</v>
      </c>
      <c r="AS13" s="128">
        <f t="shared" si="10"/>
        <v>7041438.7599337287</v>
      </c>
      <c r="AT13" s="128">
        <f t="shared" si="10"/>
        <v>6977180.6681160703</v>
      </c>
      <c r="AU13" s="128">
        <f t="shared" si="10"/>
        <v>6912408.5115638701</v>
      </c>
      <c r="AV13" s="128">
        <f t="shared" si="10"/>
        <v>6847118.1777592534</v>
      </c>
      <c r="AW13" s="128">
        <f t="shared" si="10"/>
        <v>6781305.5212842003</v>
      </c>
      <c r="AX13" s="128">
        <f t="shared" si="10"/>
        <v>6714966.3635573452</v>
      </c>
      <c r="AY13" s="128">
        <f t="shared" si="10"/>
        <v>6648096.4925686764</v>
      </c>
      <c r="AZ13" s="128">
        <f t="shared" si="10"/>
        <v>6580691.6626120983</v>
      </c>
      <c r="BA13" s="128">
        <f t="shared" si="10"/>
        <v>6512747.5940158665</v>
      </c>
      <c r="BB13" s="128">
        <f t="shared" si="10"/>
        <v>6444259.9728708649</v>
      </c>
      <c r="BC13" s="128">
        <f t="shared" si="10"/>
        <v>6375224.4507567044</v>
      </c>
      <c r="BD13" s="128">
        <f t="shared" si="10"/>
        <v>6305636.6444656309</v>
      </c>
      <c r="BE13" s="128">
        <f t="shared" si="10"/>
        <v>6235492.1357242279</v>
      </c>
      <c r="BF13" s="128">
        <f t="shared" si="10"/>
        <v>6164786.4709128942</v>
      </c>
      <c r="BG13" s="128">
        <f t="shared" si="10"/>
        <v>6093515.1607830701</v>
      </c>
      <c r="BH13" s="128">
        <f t="shared" si="10"/>
        <v>6021673.6801722059</v>
      </c>
      <c r="BI13" s="128">
        <f t="shared" si="10"/>
        <v>5949257.4677164555</v>
      </c>
      <c r="BJ13" s="128">
        <f t="shared" si="10"/>
        <v>5876261.9255610593</v>
      </c>
      <c r="BK13" s="128">
        <f t="shared" si="10"/>
        <v>5802682.4190684194</v>
      </c>
      <c r="BL13" s="128">
        <f t="shared" si="10"/>
        <v>5728514.2765238388</v>
      </c>
      <c r="BM13" s="128">
        <f t="shared" si="10"/>
        <v>5653752.7888389016</v>
      </c>
      <c r="BN13" s="128">
        <f t="shared" si="10"/>
        <v>5578393.2092524851</v>
      </c>
      <c r="BO13" s="128">
        <f t="shared" si="10"/>
        <v>5502430.7530293772</v>
      </c>
      <c r="BP13" s="128">
        <f t="shared" si="10"/>
        <v>5425860.5971564846</v>
      </c>
      <c r="BQ13" s="128">
        <f t="shared" ref="BQ13:DS13" si="11">+BP15*$C$7</f>
        <v>5348677.8800366092</v>
      </c>
      <c r="BR13" s="128">
        <f t="shared" si="11"/>
        <v>5270877.7011797735</v>
      </c>
      <c r="BS13" s="128">
        <f t="shared" si="11"/>
        <v>5192455.1208920842</v>
      </c>
      <c r="BT13" s="128">
        <f t="shared" si="11"/>
        <v>5113405.1599620935</v>
      </c>
      <c r="BU13" s="128">
        <f t="shared" si="11"/>
        <v>5033722.7993446626</v>
      </c>
      <c r="BV13" s="128">
        <f t="shared" si="11"/>
        <v>4953402.9798422921</v>
      </c>
      <c r="BW13" s="128">
        <f t="shared" si="11"/>
        <v>4872440.6017839024</v>
      </c>
      <c r="BX13" s="128">
        <f t="shared" si="11"/>
        <v>4790830.5247010458</v>
      </c>
      <c r="BY13" s="128">
        <f t="shared" si="11"/>
        <v>4708567.5670015272</v>
      </c>
      <c r="BZ13" s="128">
        <f t="shared" si="11"/>
        <v>4625646.5056404117</v>
      </c>
      <c r="CA13" s="128">
        <f t="shared" si="11"/>
        <v>4542062.0757884067</v>
      </c>
      <c r="CB13" s="128">
        <f t="shared" si="11"/>
        <v>4457808.9704975858</v>
      </c>
      <c r="CC13" s="128">
        <f t="shared" si="11"/>
        <v>4372881.8403644385</v>
      </c>
      <c r="CD13" s="128">
        <f t="shared" si="11"/>
        <v>4287275.293190226</v>
      </c>
      <c r="CE13" s="128">
        <f t="shared" si="11"/>
        <v>4200983.8936386192</v>
      </c>
      <c r="CF13" s="128">
        <f t="shared" si="11"/>
        <v>4114002.162890601</v>
      </c>
      <c r="CG13" s="128">
        <f t="shared" si="11"/>
        <v>4026324.5782965976</v>
      </c>
      <c r="CH13" s="128">
        <f t="shared" si="11"/>
        <v>3937945.5730258422</v>
      </c>
      <c r="CI13" s="128">
        <f t="shared" si="11"/>
        <v>3848859.5357129211</v>
      </c>
      <c r="CJ13" s="128">
        <f t="shared" si="11"/>
        <v>3759060.810101497</v>
      </c>
      <c r="CK13" s="128">
        <f t="shared" si="11"/>
        <v>3668543.6946851807</v>
      </c>
      <c r="CL13" s="128">
        <f t="shared" si="11"/>
        <v>3577302.4423455345</v>
      </c>
      <c r="CM13" s="128">
        <f t="shared" si="11"/>
        <v>3485331.2599871708</v>
      </c>
      <c r="CN13" s="128">
        <f t="shared" si="11"/>
        <v>3392624.30816994</v>
      </c>
      <c r="CO13" s="128">
        <f t="shared" si="11"/>
        <v>3299175.7007381716</v>
      </c>
      <c r="CP13" s="128">
        <f t="shared" si="11"/>
        <v>3204979.5044469489</v>
      </c>
      <c r="CQ13" s="128">
        <f t="shared" si="11"/>
        <v>3110029.7385853967</v>
      </c>
      <c r="CR13" s="128">
        <f t="shared" si="11"/>
        <v>3014320.374596952</v>
      </c>
      <c r="CS13" s="128">
        <f t="shared" si="11"/>
        <v>2917845.3356965994</v>
      </c>
      <c r="CT13" s="128">
        <f t="shared" si="11"/>
        <v>2820598.4964850447</v>
      </c>
      <c r="CU13" s="128">
        <f t="shared" si="11"/>
        <v>2722573.6825597971</v>
      </c>
      <c r="CV13" s="128">
        <f t="shared" si="11"/>
        <v>2623764.6701231473</v>
      </c>
      <c r="CW13" s="128">
        <f t="shared" si="11"/>
        <v>2524165.1855870048</v>
      </c>
      <c r="CX13" s="128">
        <f t="shared" si="11"/>
        <v>2423768.905174573</v>
      </c>
      <c r="CY13" s="128">
        <f t="shared" si="11"/>
        <v>2322569.4545188416</v>
      </c>
      <c r="CZ13" s="128">
        <f t="shared" si="11"/>
        <v>2220560.4082578644</v>
      </c>
      <c r="DA13" s="128">
        <f t="shared" si="11"/>
        <v>2117735.2896267995</v>
      </c>
      <c r="DB13" s="128">
        <f t="shared" si="11"/>
        <v>2014087.5700466861</v>
      </c>
      <c r="DC13" s="128">
        <f t="shared" si="11"/>
        <v>1909610.6687099319</v>
      </c>
      <c r="DD13" s="128">
        <f t="shared" si="11"/>
        <v>1804297.9521624835</v>
      </c>
      <c r="DE13" s="128">
        <f t="shared" si="11"/>
        <v>1698142.7338826554</v>
      </c>
      <c r="DF13" s="128">
        <f t="shared" si="11"/>
        <v>1591138.2738565889</v>
      </c>
      <c r="DG13" s="128">
        <f t="shared" si="11"/>
        <v>1483277.7781503135</v>
      </c>
      <c r="DH13" s="128">
        <f t="shared" si="11"/>
        <v>1374554.3984783883</v>
      </c>
      <c r="DI13" s="128">
        <f t="shared" si="11"/>
        <v>1264961.2317690875</v>
      </c>
      <c r="DJ13" s="128">
        <f t="shared" si="11"/>
        <v>1154491.3197261123</v>
      </c>
      <c r="DK13" s="128">
        <f t="shared" si="11"/>
        <v>1043137.6483867934</v>
      </c>
      <c r="DL13" s="128">
        <f t="shared" si="11"/>
        <v>930893.14767675987</v>
      </c>
      <c r="DM13" s="128">
        <f t="shared" si="11"/>
        <v>817750.69096104614</v>
      </c>
      <c r="DN13" s="128">
        <f t="shared" si="11"/>
        <v>703703.09459160664</v>
      </c>
      <c r="DO13" s="128">
        <f t="shared" si="11"/>
        <v>588743.11745121155</v>
      </c>
      <c r="DP13" s="128">
        <f t="shared" si="11"/>
        <v>472863.46049369342</v>
      </c>
      <c r="DQ13" s="128">
        <f t="shared" si="11"/>
        <v>356056.76628051506</v>
      </c>
      <c r="DR13" s="128">
        <f t="shared" si="11"/>
        <v>238315.61851363134</v>
      </c>
      <c r="DS13" s="128">
        <f t="shared" si="11"/>
        <v>119632.54156461252</v>
      </c>
    </row>
    <row r="14" spans="2:135" x14ac:dyDescent="0.25">
      <c r="B14" s="36" t="s">
        <v>49</v>
      </c>
      <c r="D14" s="42">
        <f>+D12-D13</f>
        <v>5793700.2371409833</v>
      </c>
      <c r="E14" s="42">
        <f t="shared" ref="E14:BP14" si="12">+E12-E13</f>
        <v>5840049.8390381094</v>
      </c>
      <c r="F14" s="42">
        <f t="shared" si="12"/>
        <v>5886770.2377504148</v>
      </c>
      <c r="G14" s="42">
        <f t="shared" si="12"/>
        <v>5933864.3996524196</v>
      </c>
      <c r="H14" s="42">
        <f t="shared" si="12"/>
        <v>5981335.3148496393</v>
      </c>
      <c r="I14" s="42">
        <f t="shared" si="12"/>
        <v>6029185.9973684363</v>
      </c>
      <c r="J14" s="42">
        <f t="shared" si="12"/>
        <v>6077419.4853473827</v>
      </c>
      <c r="K14" s="42">
        <f t="shared" si="12"/>
        <v>6126038.8412301615</v>
      </c>
      <c r="L14" s="42">
        <f t="shared" si="12"/>
        <v>6175047.1519600023</v>
      </c>
      <c r="M14" s="42">
        <f t="shared" si="12"/>
        <v>6224447.529175682</v>
      </c>
      <c r="N14" s="42">
        <f t="shared" si="12"/>
        <v>6274243.1094090883</v>
      </c>
      <c r="O14" s="42">
        <f t="shared" si="12"/>
        <v>6324437.0542843603</v>
      </c>
      <c r="P14" s="42">
        <f t="shared" si="12"/>
        <v>6375032.5507186353</v>
      </c>
      <c r="Q14" s="42">
        <f t="shared" si="12"/>
        <v>6426032.8111243844</v>
      </c>
      <c r="R14" s="42">
        <f t="shared" si="12"/>
        <v>6477441.0736133773</v>
      </c>
      <c r="S14" s="42">
        <f t="shared" si="12"/>
        <v>6529260.6022022851</v>
      </c>
      <c r="T14" s="42">
        <f t="shared" si="12"/>
        <v>6581494.6870199032</v>
      </c>
      <c r="U14" s="42">
        <f t="shared" si="12"/>
        <v>6634146.6445160639</v>
      </c>
      <c r="V14" s="42">
        <f t="shared" si="12"/>
        <v>6687219.8176721921</v>
      </c>
      <c r="W14" s="42">
        <f t="shared" si="12"/>
        <v>6740717.5762135694</v>
      </c>
      <c r="X14" s="42">
        <f t="shared" si="12"/>
        <v>6794643.3168232776</v>
      </c>
      <c r="Y14" s="42">
        <f t="shared" si="12"/>
        <v>6849000.4633578639</v>
      </c>
      <c r="Z14" s="42">
        <f t="shared" si="12"/>
        <v>6903792.4670647262</v>
      </c>
      <c r="AA14" s="42">
        <f t="shared" si="12"/>
        <v>6959022.8068012446</v>
      </c>
      <c r="AB14" s="42">
        <f t="shared" si="12"/>
        <v>7014694.9892556537</v>
      </c>
      <c r="AC14" s="42">
        <f t="shared" si="12"/>
        <v>7070812.5491696997</v>
      </c>
      <c r="AD14" s="42">
        <f t="shared" si="12"/>
        <v>7127379.0495630568</v>
      </c>
      <c r="AE14" s="42">
        <f t="shared" si="12"/>
        <v>7184398.0819595605</v>
      </c>
      <c r="AF14" s="42">
        <f t="shared" si="12"/>
        <v>7241873.266615238</v>
      </c>
      <c r="AG14" s="42">
        <f t="shared" si="12"/>
        <v>7299808.2527481597</v>
      </c>
      <c r="AH14" s="42">
        <f t="shared" si="12"/>
        <v>7358206.7187701454</v>
      </c>
      <c r="AI14" s="42">
        <f t="shared" si="12"/>
        <v>7417072.3725203061</v>
      </c>
      <c r="AJ14" s="42">
        <f t="shared" si="12"/>
        <v>7476408.9515004689</v>
      </c>
      <c r="AK14" s="42">
        <f t="shared" si="12"/>
        <v>7536220.2231124723</v>
      </c>
      <c r="AL14" s="42">
        <f t="shared" si="12"/>
        <v>7596509.9848973723</v>
      </c>
      <c r="AM14" s="42">
        <f t="shared" si="12"/>
        <v>7657282.064776551</v>
      </c>
      <c r="AN14" s="42">
        <f t="shared" si="12"/>
        <v>7718540.3212947631</v>
      </c>
      <c r="AO14" s="42">
        <f t="shared" si="12"/>
        <v>7780288.6438651215</v>
      </c>
      <c r="AP14" s="42">
        <f t="shared" si="12"/>
        <v>7842530.9530160427</v>
      </c>
      <c r="AQ14" s="42">
        <f t="shared" si="12"/>
        <v>7905271.2006401708</v>
      </c>
      <c r="AR14" s="42">
        <f t="shared" si="12"/>
        <v>7968513.3702452919</v>
      </c>
      <c r="AS14" s="42">
        <f t="shared" si="12"/>
        <v>8032261.4772072546</v>
      </c>
      <c r="AT14" s="42">
        <f t="shared" si="12"/>
        <v>8096519.569024913</v>
      </c>
      <c r="AU14" s="42">
        <f t="shared" si="12"/>
        <v>8161291.7255771132</v>
      </c>
      <c r="AV14" s="42">
        <f t="shared" si="12"/>
        <v>8226582.0593817299</v>
      </c>
      <c r="AW14" s="42">
        <f t="shared" si="12"/>
        <v>8292394.7158567831</v>
      </c>
      <c r="AX14" s="42">
        <f t="shared" si="12"/>
        <v>8358733.8735836381</v>
      </c>
      <c r="AY14" s="42">
        <f t="shared" si="12"/>
        <v>8425603.7445723079</v>
      </c>
      <c r="AZ14" s="42">
        <f t="shared" si="12"/>
        <v>8493008.5745288841</v>
      </c>
      <c r="BA14" s="42">
        <f t="shared" si="12"/>
        <v>8560952.6431251168</v>
      </c>
      <c r="BB14" s="42">
        <f t="shared" si="12"/>
        <v>8629440.2642701194</v>
      </c>
      <c r="BC14" s="42">
        <f t="shared" si="12"/>
        <v>8698475.7863842789</v>
      </c>
      <c r="BD14" s="42">
        <f t="shared" si="12"/>
        <v>8768063.5926753525</v>
      </c>
      <c r="BE14" s="42">
        <f t="shared" si="12"/>
        <v>8838208.1014167555</v>
      </c>
      <c r="BF14" s="42">
        <f t="shared" si="12"/>
        <v>8908913.7662280891</v>
      </c>
      <c r="BG14" s="42">
        <f t="shared" si="12"/>
        <v>8980185.0763579123</v>
      </c>
      <c r="BH14" s="42">
        <f t="shared" si="12"/>
        <v>9052026.5569687784</v>
      </c>
      <c r="BI14" s="42">
        <f t="shared" si="12"/>
        <v>9124442.7694245279</v>
      </c>
      <c r="BJ14" s="42">
        <f t="shared" si="12"/>
        <v>9197438.3115799241</v>
      </c>
      <c r="BK14" s="42">
        <f t="shared" si="12"/>
        <v>9271017.8180725649</v>
      </c>
      <c r="BL14" s="42">
        <f t="shared" si="12"/>
        <v>9345185.9606171437</v>
      </c>
      <c r="BM14" s="42">
        <f t="shared" si="12"/>
        <v>9419947.4483020827</v>
      </c>
      <c r="BN14" s="42">
        <f t="shared" si="12"/>
        <v>9495307.0278884992</v>
      </c>
      <c r="BO14" s="42">
        <f t="shared" si="12"/>
        <v>9571269.4841116071</v>
      </c>
      <c r="BP14" s="42">
        <f t="shared" si="12"/>
        <v>9647839.6399844997</v>
      </c>
      <c r="BQ14" s="42">
        <f t="shared" ref="BQ14:DS14" si="13">+BQ12-BQ13</f>
        <v>9725022.3571043741</v>
      </c>
      <c r="BR14" s="42">
        <f t="shared" si="13"/>
        <v>9802822.5359612107</v>
      </c>
      <c r="BS14" s="42">
        <f t="shared" si="13"/>
        <v>9881245.1162488982</v>
      </c>
      <c r="BT14" s="42">
        <f t="shared" si="13"/>
        <v>9960295.0771788899</v>
      </c>
      <c r="BU14" s="42">
        <f t="shared" si="13"/>
        <v>10039977.437796321</v>
      </c>
      <c r="BV14" s="42">
        <f t="shared" si="13"/>
        <v>10120297.257298691</v>
      </c>
      <c r="BW14" s="42">
        <f t="shared" si="13"/>
        <v>10201259.635357082</v>
      </c>
      <c r="BX14" s="42">
        <f t="shared" si="13"/>
        <v>10282869.712439938</v>
      </c>
      <c r="BY14" s="42">
        <f t="shared" si="13"/>
        <v>10365132.670139456</v>
      </c>
      <c r="BZ14" s="42">
        <f t="shared" si="13"/>
        <v>10448053.731500572</v>
      </c>
      <c r="CA14" s="42">
        <f t="shared" si="13"/>
        <v>10531638.161352577</v>
      </c>
      <c r="CB14" s="42">
        <f t="shared" si="13"/>
        <v>10615891.266643398</v>
      </c>
      <c r="CC14" s="42">
        <f t="shared" si="13"/>
        <v>10700818.396776546</v>
      </c>
      <c r="CD14" s="42">
        <f t="shared" si="13"/>
        <v>10786424.943950757</v>
      </c>
      <c r="CE14" s="42">
        <f t="shared" si="13"/>
        <v>10872716.343502365</v>
      </c>
      <c r="CF14" s="42">
        <f t="shared" si="13"/>
        <v>10959698.074250381</v>
      </c>
      <c r="CG14" s="42">
        <f t="shared" si="13"/>
        <v>11047375.658844385</v>
      </c>
      <c r="CH14" s="42">
        <f t="shared" si="13"/>
        <v>11135754.664115142</v>
      </c>
      <c r="CI14" s="42">
        <f t="shared" si="13"/>
        <v>11224840.701428063</v>
      </c>
      <c r="CJ14" s="42">
        <f t="shared" si="13"/>
        <v>11314639.427039485</v>
      </c>
      <c r="CK14" s="42">
        <f t="shared" si="13"/>
        <v>11405156.542455804</v>
      </c>
      <c r="CL14" s="42">
        <f t="shared" si="13"/>
        <v>11496397.79479545</v>
      </c>
      <c r="CM14" s="42">
        <f t="shared" si="13"/>
        <v>11588368.977153812</v>
      </c>
      <c r="CN14" s="42">
        <f t="shared" si="13"/>
        <v>11681075.928971043</v>
      </c>
      <c r="CO14" s="42">
        <f t="shared" si="13"/>
        <v>11774524.536402812</v>
      </c>
      <c r="CP14" s="42">
        <f t="shared" si="13"/>
        <v>11868720.732694034</v>
      </c>
      <c r="CQ14" s="42">
        <f t="shared" si="13"/>
        <v>11963670.498555586</v>
      </c>
      <c r="CR14" s="42">
        <f t="shared" si="13"/>
        <v>12059379.862544032</v>
      </c>
      <c r="CS14" s="42">
        <f t="shared" si="13"/>
        <v>12155854.901444383</v>
      </c>
      <c r="CT14" s="42">
        <f t="shared" si="13"/>
        <v>12253101.740655938</v>
      </c>
      <c r="CU14" s="42">
        <f t="shared" si="13"/>
        <v>12351126.554581186</v>
      </c>
      <c r="CV14" s="42">
        <f t="shared" si="13"/>
        <v>12449935.567017836</v>
      </c>
      <c r="CW14" s="42">
        <f t="shared" si="13"/>
        <v>12549535.05155398</v>
      </c>
      <c r="CX14" s="42">
        <f t="shared" si="13"/>
        <v>12649931.331966411</v>
      </c>
      <c r="CY14" s="42">
        <f t="shared" si="13"/>
        <v>12751130.782622142</v>
      </c>
      <c r="CZ14" s="42">
        <f t="shared" si="13"/>
        <v>12853139.828883119</v>
      </c>
      <c r="DA14" s="42">
        <f t="shared" si="13"/>
        <v>12955964.947514184</v>
      </c>
      <c r="DB14" s="42">
        <f t="shared" si="13"/>
        <v>13059612.667094298</v>
      </c>
      <c r="DC14" s="42">
        <f t="shared" si="13"/>
        <v>13164089.568431051</v>
      </c>
      <c r="DD14" s="42">
        <f t="shared" si="13"/>
        <v>13269402.2849785</v>
      </c>
      <c r="DE14" s="42">
        <f t="shared" si="13"/>
        <v>13375557.503258329</v>
      </c>
      <c r="DF14" s="42">
        <f t="shared" si="13"/>
        <v>13482561.963284394</v>
      </c>
      <c r="DG14" s="42">
        <f t="shared" si="13"/>
        <v>13590422.458990671</v>
      </c>
      <c r="DH14" s="42">
        <f t="shared" si="13"/>
        <v>13699145.838662595</v>
      </c>
      <c r="DI14" s="42">
        <f t="shared" si="13"/>
        <v>13808739.005371897</v>
      </c>
      <c r="DJ14" s="42">
        <f t="shared" si="13"/>
        <v>13919208.91741487</v>
      </c>
      <c r="DK14" s="42">
        <f t="shared" si="13"/>
        <v>14030562.58875419</v>
      </c>
      <c r="DL14" s="42">
        <f t="shared" si="13"/>
        <v>14142807.089464223</v>
      </c>
      <c r="DM14" s="42">
        <f t="shared" si="13"/>
        <v>14255949.546179937</v>
      </c>
      <c r="DN14" s="42">
        <f t="shared" si="13"/>
        <v>14369997.142549377</v>
      </c>
      <c r="DO14" s="42">
        <f t="shared" si="13"/>
        <v>14484957.119689772</v>
      </c>
      <c r="DP14" s="42">
        <f t="shared" si="13"/>
        <v>14600836.77664729</v>
      </c>
      <c r="DQ14" s="42">
        <f t="shared" si="13"/>
        <v>14717643.470860468</v>
      </c>
      <c r="DR14" s="42">
        <f t="shared" si="13"/>
        <v>14835384.618627353</v>
      </c>
      <c r="DS14" s="42">
        <f t="shared" si="13"/>
        <v>14954067.695576372</v>
      </c>
    </row>
    <row r="15" spans="2:135" x14ac:dyDescent="0.25">
      <c r="B15" s="36" t="s">
        <v>50</v>
      </c>
      <c r="C15" s="45">
        <f>+C4</f>
        <v>1160000000</v>
      </c>
      <c r="D15" s="42">
        <f>+C15-D14</f>
        <v>1154206299.7628591</v>
      </c>
      <c r="E15" s="42">
        <f t="shared" ref="E15:BP15" si="14">+D15-E14</f>
        <v>1148366249.923821</v>
      </c>
      <c r="F15" s="42">
        <f t="shared" si="14"/>
        <v>1142479479.6860704</v>
      </c>
      <c r="G15" s="42">
        <f t="shared" si="14"/>
        <v>1136545615.286418</v>
      </c>
      <c r="H15" s="42">
        <f t="shared" si="14"/>
        <v>1130564279.9715683</v>
      </c>
      <c r="I15" s="42">
        <f t="shared" si="14"/>
        <v>1124535093.9742</v>
      </c>
      <c r="J15" s="42">
        <f t="shared" si="14"/>
        <v>1118457674.4888527</v>
      </c>
      <c r="K15" s="42">
        <f t="shared" si="14"/>
        <v>1112331635.6476226</v>
      </c>
      <c r="L15" s="42">
        <f t="shared" si="14"/>
        <v>1106156588.4956627</v>
      </c>
      <c r="M15" s="42">
        <f t="shared" si="14"/>
        <v>1099932140.9664869</v>
      </c>
      <c r="N15" s="42">
        <f t="shared" si="14"/>
        <v>1093657897.8570778</v>
      </c>
      <c r="O15" s="42">
        <f t="shared" si="14"/>
        <v>1087333460.8027935</v>
      </c>
      <c r="P15" s="42">
        <f t="shared" si="14"/>
        <v>1080958428.252075</v>
      </c>
      <c r="Q15" s="42">
        <f t="shared" si="14"/>
        <v>1074532395.4409506</v>
      </c>
      <c r="R15" s="42">
        <f t="shared" si="14"/>
        <v>1068054954.3673372</v>
      </c>
      <c r="S15" s="42">
        <f t="shared" si="14"/>
        <v>1061525693.7651349</v>
      </c>
      <c r="T15" s="42">
        <f t="shared" si="14"/>
        <v>1054944199.078115</v>
      </c>
      <c r="U15" s="42">
        <f t="shared" si="14"/>
        <v>1048310052.4335989</v>
      </c>
      <c r="V15" s="42">
        <f t="shared" si="14"/>
        <v>1041622832.6159267</v>
      </c>
      <c r="W15" s="42">
        <f t="shared" si="14"/>
        <v>1034882115.0397131</v>
      </c>
      <c r="X15" s="42">
        <f t="shared" si="14"/>
        <v>1028087471.7228899</v>
      </c>
      <c r="Y15" s="42">
        <f t="shared" si="14"/>
        <v>1021238471.2595321</v>
      </c>
      <c r="Z15" s="42">
        <f t="shared" si="14"/>
        <v>1014334678.7924674</v>
      </c>
      <c r="AA15" s="42">
        <f t="shared" si="14"/>
        <v>1007375655.9856662</v>
      </c>
      <c r="AB15" s="42">
        <f t="shared" si="14"/>
        <v>1000360960.9964105</v>
      </c>
      <c r="AC15" s="42">
        <f t="shared" si="14"/>
        <v>993290148.44724083</v>
      </c>
      <c r="AD15" s="42">
        <f t="shared" si="14"/>
        <v>986162769.39767778</v>
      </c>
      <c r="AE15" s="42">
        <f t="shared" si="14"/>
        <v>978978371.31571817</v>
      </c>
      <c r="AF15" s="42">
        <f t="shared" si="14"/>
        <v>971736498.0491029</v>
      </c>
      <c r="AG15" s="42">
        <f t="shared" si="14"/>
        <v>964436689.79635477</v>
      </c>
      <c r="AH15" s="42">
        <f t="shared" si="14"/>
        <v>957078483.07758462</v>
      </c>
      <c r="AI15" s="42">
        <f t="shared" si="14"/>
        <v>949661410.7050643</v>
      </c>
      <c r="AJ15" s="42">
        <f t="shared" si="14"/>
        <v>942185001.75356388</v>
      </c>
      <c r="AK15" s="42">
        <f t="shared" si="14"/>
        <v>934648781.53045142</v>
      </c>
      <c r="AL15" s="42">
        <f t="shared" si="14"/>
        <v>927052271.54555404</v>
      </c>
      <c r="AM15" s="42">
        <f t="shared" si="14"/>
        <v>919394989.4807775</v>
      </c>
      <c r="AN15" s="42">
        <f t="shared" si="14"/>
        <v>911676449.15948272</v>
      </c>
      <c r="AO15" s="42">
        <f t="shared" si="14"/>
        <v>903896160.51561761</v>
      </c>
      <c r="AP15" s="42">
        <f t="shared" si="14"/>
        <v>896053629.56260157</v>
      </c>
      <c r="AQ15" s="42">
        <f t="shared" si="14"/>
        <v>888148358.36196136</v>
      </c>
      <c r="AR15" s="42">
        <f t="shared" si="14"/>
        <v>880179844.99171603</v>
      </c>
      <c r="AS15" s="42">
        <f t="shared" si="14"/>
        <v>872147583.51450872</v>
      </c>
      <c r="AT15" s="42">
        <f t="shared" si="14"/>
        <v>864051063.9454838</v>
      </c>
      <c r="AU15" s="42">
        <f t="shared" si="14"/>
        <v>855889772.21990669</v>
      </c>
      <c r="AV15" s="42">
        <f t="shared" si="14"/>
        <v>847663190.16052496</v>
      </c>
      <c r="AW15" s="42">
        <f t="shared" si="14"/>
        <v>839370795.44466817</v>
      </c>
      <c r="AX15" s="42">
        <f t="shared" si="14"/>
        <v>831012061.5710845</v>
      </c>
      <c r="AY15" s="42">
        <f t="shared" si="14"/>
        <v>822586457.82651222</v>
      </c>
      <c r="AZ15" s="42">
        <f t="shared" si="14"/>
        <v>814093449.25198328</v>
      </c>
      <c r="BA15" s="42">
        <f t="shared" si="14"/>
        <v>805532496.60885811</v>
      </c>
      <c r="BB15" s="42">
        <f t="shared" si="14"/>
        <v>796903056.34458804</v>
      </c>
      <c r="BC15" s="42">
        <f t="shared" si="14"/>
        <v>788204580.55820382</v>
      </c>
      <c r="BD15" s="42">
        <f t="shared" si="14"/>
        <v>779436516.96552849</v>
      </c>
      <c r="BE15" s="42">
        <f t="shared" si="14"/>
        <v>770598308.86411178</v>
      </c>
      <c r="BF15" s="42">
        <f t="shared" si="14"/>
        <v>761689395.0978837</v>
      </c>
      <c r="BG15" s="42">
        <f t="shared" si="14"/>
        <v>752709210.02152574</v>
      </c>
      <c r="BH15" s="42">
        <f t="shared" si="14"/>
        <v>743657183.46455693</v>
      </c>
      <c r="BI15" s="42">
        <f t="shared" si="14"/>
        <v>734532740.69513237</v>
      </c>
      <c r="BJ15" s="42">
        <f t="shared" si="14"/>
        <v>725335302.38355243</v>
      </c>
      <c r="BK15" s="42">
        <f t="shared" si="14"/>
        <v>716064284.56547987</v>
      </c>
      <c r="BL15" s="42">
        <f t="shared" si="14"/>
        <v>706719098.60486269</v>
      </c>
      <c r="BM15" s="42">
        <f t="shared" si="14"/>
        <v>697299151.15656066</v>
      </c>
      <c r="BN15" s="42">
        <f t="shared" si="14"/>
        <v>687803844.12867212</v>
      </c>
      <c r="BO15" s="42">
        <f t="shared" si="14"/>
        <v>678232574.64456058</v>
      </c>
      <c r="BP15" s="42">
        <f t="shared" si="14"/>
        <v>668584735.00457609</v>
      </c>
      <c r="BQ15" s="42">
        <f t="shared" ref="BQ15:DS15" si="15">+BP15-BQ14</f>
        <v>658859712.64747167</v>
      </c>
      <c r="BR15" s="42">
        <f t="shared" si="15"/>
        <v>649056890.11151052</v>
      </c>
      <c r="BS15" s="42">
        <f t="shared" si="15"/>
        <v>639175644.99526167</v>
      </c>
      <c r="BT15" s="42">
        <f t="shared" si="15"/>
        <v>629215349.91808283</v>
      </c>
      <c r="BU15" s="42">
        <f t="shared" si="15"/>
        <v>619175372.48028648</v>
      </c>
      <c r="BV15" s="42">
        <f t="shared" si="15"/>
        <v>609055075.22298777</v>
      </c>
      <c r="BW15" s="42">
        <f t="shared" si="15"/>
        <v>598853815.58763075</v>
      </c>
      <c r="BX15" s="42">
        <f t="shared" si="15"/>
        <v>588570945.87519085</v>
      </c>
      <c r="BY15" s="42">
        <f t="shared" si="15"/>
        <v>578205813.20505142</v>
      </c>
      <c r="BZ15" s="42">
        <f t="shared" si="15"/>
        <v>567757759.4735508</v>
      </c>
      <c r="CA15" s="42">
        <f t="shared" si="15"/>
        <v>557226121.31219816</v>
      </c>
      <c r="CB15" s="42">
        <f t="shared" si="15"/>
        <v>546610230.04555476</v>
      </c>
      <c r="CC15" s="42">
        <f t="shared" si="15"/>
        <v>535909411.6487782</v>
      </c>
      <c r="CD15" s="42">
        <f t="shared" si="15"/>
        <v>525122986.70482743</v>
      </c>
      <c r="CE15" s="42">
        <f t="shared" si="15"/>
        <v>514250270.36132509</v>
      </c>
      <c r="CF15" s="42">
        <f t="shared" si="15"/>
        <v>503290572.28707469</v>
      </c>
      <c r="CG15" s="42">
        <f t="shared" si="15"/>
        <v>492243196.62823027</v>
      </c>
      <c r="CH15" s="42">
        <f t="shared" si="15"/>
        <v>481107441.96411514</v>
      </c>
      <c r="CI15" s="42">
        <f t="shared" si="15"/>
        <v>469882601.26268709</v>
      </c>
      <c r="CJ15" s="42">
        <f t="shared" si="15"/>
        <v>458567961.83564758</v>
      </c>
      <c r="CK15" s="42">
        <f t="shared" si="15"/>
        <v>447162805.29319179</v>
      </c>
      <c r="CL15" s="42">
        <f t="shared" si="15"/>
        <v>435666407.49839634</v>
      </c>
      <c r="CM15" s="42">
        <f t="shared" si="15"/>
        <v>424078038.5212425</v>
      </c>
      <c r="CN15" s="42">
        <f t="shared" si="15"/>
        <v>412396962.59227145</v>
      </c>
      <c r="CO15" s="42">
        <f t="shared" si="15"/>
        <v>400622438.05586863</v>
      </c>
      <c r="CP15" s="42">
        <f t="shared" si="15"/>
        <v>388753717.3231746</v>
      </c>
      <c r="CQ15" s="42">
        <f t="shared" si="15"/>
        <v>376790046.824619</v>
      </c>
      <c r="CR15" s="42">
        <f t="shared" si="15"/>
        <v>364730666.96207494</v>
      </c>
      <c r="CS15" s="42">
        <f t="shared" si="15"/>
        <v>352574812.06063056</v>
      </c>
      <c r="CT15" s="42">
        <f t="shared" si="15"/>
        <v>340321710.3199746</v>
      </c>
      <c r="CU15" s="42">
        <f t="shared" si="15"/>
        <v>327970583.76539344</v>
      </c>
      <c r="CV15" s="42">
        <f t="shared" si="15"/>
        <v>315520648.19837558</v>
      </c>
      <c r="CW15" s="42">
        <f t="shared" si="15"/>
        <v>302971113.14682162</v>
      </c>
      <c r="CX15" s="42">
        <f t="shared" si="15"/>
        <v>290321181.81485522</v>
      </c>
      <c r="CY15" s="42">
        <f t="shared" si="15"/>
        <v>277570051.03223306</v>
      </c>
      <c r="CZ15" s="42">
        <f t="shared" si="15"/>
        <v>264716911.20334995</v>
      </c>
      <c r="DA15" s="42">
        <f t="shared" si="15"/>
        <v>251760946.25583577</v>
      </c>
      <c r="DB15" s="42">
        <f t="shared" si="15"/>
        <v>238701333.58874148</v>
      </c>
      <c r="DC15" s="42">
        <f t="shared" si="15"/>
        <v>225537244.02031043</v>
      </c>
      <c r="DD15" s="42">
        <f t="shared" si="15"/>
        <v>212267841.73533192</v>
      </c>
      <c r="DE15" s="42">
        <f t="shared" si="15"/>
        <v>198892284.23207361</v>
      </c>
      <c r="DF15" s="42">
        <f t="shared" si="15"/>
        <v>185409722.2687892</v>
      </c>
      <c r="DG15" s="42">
        <f t="shared" si="15"/>
        <v>171819299.80979854</v>
      </c>
      <c r="DH15" s="42">
        <f t="shared" si="15"/>
        <v>158120153.97113594</v>
      </c>
      <c r="DI15" s="42">
        <f t="shared" si="15"/>
        <v>144311414.96576405</v>
      </c>
      <c r="DJ15" s="42">
        <f t="shared" si="15"/>
        <v>130392206.04834917</v>
      </c>
      <c r="DK15" s="42">
        <f t="shared" si="15"/>
        <v>116361643.45959498</v>
      </c>
      <c r="DL15" s="42">
        <f t="shared" si="15"/>
        <v>102218836.37013076</v>
      </c>
      <c r="DM15" s="42">
        <f t="shared" si="15"/>
        <v>87962886.823950827</v>
      </c>
      <c r="DN15" s="42">
        <f t="shared" si="15"/>
        <v>73592889.681401446</v>
      </c>
      <c r="DO15" s="42">
        <f t="shared" si="15"/>
        <v>59107932.561711676</v>
      </c>
      <c r="DP15" s="42">
        <f t="shared" si="15"/>
        <v>44507095.785064384</v>
      </c>
      <c r="DQ15" s="42">
        <f t="shared" si="15"/>
        <v>29789452.314203918</v>
      </c>
      <c r="DR15" s="42">
        <f t="shared" si="15"/>
        <v>14954067.695576565</v>
      </c>
      <c r="DS15" s="42">
        <f t="shared" si="15"/>
        <v>1.9371509552001953E-7</v>
      </c>
    </row>
    <row r="18" spans="2:9" x14ac:dyDescent="0.25">
      <c r="B18" s="50"/>
      <c r="C18" s="50"/>
      <c r="D18" s="50"/>
      <c r="E18" s="50"/>
      <c r="F18" s="50"/>
      <c r="G18" s="50"/>
      <c r="H18" s="50"/>
      <c r="I18" s="50"/>
    </row>
  </sheetData>
  <mergeCells count="13">
    <mergeCell ref="B3:I3"/>
    <mergeCell ref="BX10:CI10"/>
    <mergeCell ref="CJ10:CU10"/>
    <mergeCell ref="CV10:DG10"/>
    <mergeCell ref="B18:I18"/>
    <mergeCell ref="DH10:DS10"/>
    <mergeCell ref="DT10:EE10"/>
    <mergeCell ref="BL10:BW10"/>
    <mergeCell ref="D10:O10"/>
    <mergeCell ref="P10:AA10"/>
    <mergeCell ref="AB10:AM10"/>
    <mergeCell ref="AN10:AY10"/>
    <mergeCell ref="AZ10:BK10"/>
  </mergeCells>
  <pageMargins left="0.70866141732283472" right="0.70866141732283472" top="0.74803149606299213" bottom="0.74803149606299213" header="0.31496062992125984" footer="0.31496062992125984"/>
  <pageSetup scale="1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7E92D-2AFF-4E30-B4BE-12618E51A196}">
  <sheetPr>
    <tabColor rgb="FF92D050"/>
    <pageSetUpPr fitToPage="1"/>
  </sheetPr>
  <dimension ref="B1:M11"/>
  <sheetViews>
    <sheetView showGridLines="0" zoomScale="70" zoomScaleNormal="70" workbookViewId="0"/>
  </sheetViews>
  <sheetFormatPr defaultColWidth="11.44140625" defaultRowHeight="13.8" x14ac:dyDescent="0.25"/>
  <cols>
    <col min="1" max="1" width="1" style="36" customWidth="1"/>
    <col min="2" max="2" width="45.109375" style="36" bestFit="1" customWidth="1"/>
    <col min="3" max="13" width="20.33203125" style="57" customWidth="1"/>
    <col min="14" max="133" width="11.44140625" style="36"/>
    <col min="134" max="134" width="19.5546875" style="36" bestFit="1" customWidth="1"/>
    <col min="135" max="16384" width="11.44140625" style="36"/>
  </cols>
  <sheetData>
    <row r="1" spans="2:13" x14ac:dyDescent="0.25">
      <c r="B1" s="84" t="s">
        <v>162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2:13" s="81" customFormat="1" x14ac:dyDescent="0.25">
      <c r="B2" s="85"/>
      <c r="C2" s="80">
        <v>2021</v>
      </c>
      <c r="D2" s="80">
        <v>2022</v>
      </c>
      <c r="E2" s="80">
        <v>2023</v>
      </c>
      <c r="F2" s="80">
        <v>2024</v>
      </c>
      <c r="G2" s="80">
        <v>2025</v>
      </c>
      <c r="H2" s="80">
        <v>2026</v>
      </c>
      <c r="I2" s="80">
        <v>2027</v>
      </c>
      <c r="J2" s="80">
        <v>2028</v>
      </c>
      <c r="K2" s="80">
        <v>2029</v>
      </c>
      <c r="L2" s="80">
        <v>2030</v>
      </c>
      <c r="M2" s="80">
        <v>2031</v>
      </c>
    </row>
    <row r="3" spans="2:13" x14ac:dyDescent="0.25">
      <c r="B3" s="45"/>
    </row>
    <row r="4" spans="2:13" x14ac:dyDescent="0.25">
      <c r="B4" s="48" t="s">
        <v>88</v>
      </c>
      <c r="C4" s="68">
        <f>'7 Informacion Base'!C30+'7 Informacion Base'!C31</f>
        <v>2260000000</v>
      </c>
      <c r="D4" s="68">
        <f>$C$4*('7 Informacion Base'!E3+1%)</f>
        <v>90400000</v>
      </c>
      <c r="E4" s="68">
        <f>$C$4*('7 Informacion Base'!F3+1%)</f>
        <v>90400000</v>
      </c>
      <c r="F4" s="68">
        <f>$C$4*('7 Informacion Base'!G3+1%)</f>
        <v>90400000</v>
      </c>
      <c r="G4" s="68">
        <f>$C$4*('7 Informacion Base'!H3+1%)</f>
        <v>90400000</v>
      </c>
      <c r="H4" s="68">
        <f>$C$4*('7 Informacion Base'!I3+1%)</f>
        <v>90400000</v>
      </c>
      <c r="I4" s="68">
        <f>$C$4*('7 Informacion Base'!J3+1%)</f>
        <v>90400000</v>
      </c>
      <c r="J4" s="68">
        <f>$C$4*('7 Informacion Base'!K3+1%)</f>
        <v>90400000</v>
      </c>
      <c r="K4" s="68">
        <f>$C$4*('7 Informacion Base'!L3+1%)</f>
        <v>90400000</v>
      </c>
      <c r="L4" s="68">
        <f>$C$4*('7 Informacion Base'!M3+1%)</f>
        <v>90400000</v>
      </c>
      <c r="M4" s="68">
        <f>SUM(C4:L4)</f>
        <v>3073600000</v>
      </c>
    </row>
    <row r="7" spans="2:13" x14ac:dyDescent="0.25">
      <c r="B7" s="84" t="s">
        <v>162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</row>
    <row r="8" spans="2:13" x14ac:dyDescent="0.25">
      <c r="B8" s="85"/>
      <c r="C8" s="80">
        <v>2021</v>
      </c>
      <c r="D8" s="80">
        <v>2022</v>
      </c>
      <c r="E8" s="80">
        <v>2023</v>
      </c>
      <c r="F8" s="80">
        <v>2024</v>
      </c>
      <c r="G8" s="80">
        <v>2025</v>
      </c>
      <c r="H8" s="80">
        <v>2026</v>
      </c>
      <c r="I8" s="80">
        <v>2027</v>
      </c>
      <c r="J8" s="80">
        <v>2028</v>
      </c>
      <c r="K8" s="80">
        <v>2029</v>
      </c>
      <c r="L8" s="80">
        <v>2030</v>
      </c>
      <c r="M8" s="80">
        <v>2031</v>
      </c>
    </row>
    <row r="9" spans="2:13" x14ac:dyDescent="0.25">
      <c r="B9" s="45"/>
    </row>
    <row r="10" spans="2:13" x14ac:dyDescent="0.25">
      <c r="B10" s="48" t="s">
        <v>88</v>
      </c>
      <c r="C10" s="68">
        <f>'7 Informacion Base'!C30+'7 Informacion Base'!C31</f>
        <v>2260000000</v>
      </c>
      <c r="D10" s="68">
        <f>$C$10*('7 Informacion Base'!E3+1%)</f>
        <v>90400000</v>
      </c>
      <c r="E10" s="68">
        <f>D11*('7 Informacion Base'!F3+1%)</f>
        <v>94016000</v>
      </c>
      <c r="F10" s="68">
        <f>E11*('7 Informacion Base'!G3+1%)</f>
        <v>97776640</v>
      </c>
      <c r="G10" s="68">
        <f>F11*('7 Informacion Base'!H3+1%)</f>
        <v>101687705.60000001</v>
      </c>
      <c r="H10" s="68">
        <f>G11*('7 Informacion Base'!I3+1%)</f>
        <v>105755213.824</v>
      </c>
      <c r="I10" s="68">
        <f>H11*('7 Informacion Base'!J3+1%)</f>
        <v>109985422.37695999</v>
      </c>
      <c r="J10" s="68">
        <f>I11*('7 Informacion Base'!K3+1%)</f>
        <v>114384839.27203839</v>
      </c>
      <c r="K10" s="68">
        <f>J11*('7 Informacion Base'!L3+1%)</f>
        <v>118960232.84291993</v>
      </c>
      <c r="L10" s="68">
        <f>K11*('7 Informacion Base'!M3+1%)</f>
        <v>123718642.15663671</v>
      </c>
      <c r="M10" s="68">
        <f>L11*('7 Informacion Base'!N3+1%)</f>
        <v>128667387.84290218</v>
      </c>
    </row>
    <row r="11" spans="2:13" x14ac:dyDescent="0.25">
      <c r="D11" s="57">
        <f>C10+D10</f>
        <v>2350400000</v>
      </c>
      <c r="E11" s="57">
        <f>D11+E10</f>
        <v>2444416000</v>
      </c>
      <c r="F11" s="57">
        <f t="shared" ref="F11:M11" si="0">E11+F10</f>
        <v>2542192640</v>
      </c>
      <c r="G11" s="57">
        <f t="shared" si="0"/>
        <v>2643880345.5999999</v>
      </c>
      <c r="H11" s="57">
        <f t="shared" si="0"/>
        <v>2749635559.4239998</v>
      </c>
      <c r="I11" s="57">
        <f t="shared" si="0"/>
        <v>2859620981.8009596</v>
      </c>
      <c r="J11" s="57">
        <f t="shared" si="0"/>
        <v>2974005821.072998</v>
      </c>
      <c r="K11" s="57">
        <f t="shared" si="0"/>
        <v>3092966053.9159179</v>
      </c>
      <c r="L11" s="57">
        <f t="shared" si="0"/>
        <v>3216684696.0725546</v>
      </c>
      <c r="M11" s="57">
        <f t="shared" si="0"/>
        <v>3345352083.9154568</v>
      </c>
    </row>
  </sheetData>
  <mergeCells count="2">
    <mergeCell ref="B7:M7"/>
    <mergeCell ref="B1:M1"/>
  </mergeCells>
  <pageMargins left="0.70866141732283472" right="0.70866141732283472" top="0.74803149606299213" bottom="0.74803149606299213" header="0.31496062992125984" footer="0.31496062992125984"/>
  <pageSetup scale="6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C1:EE30"/>
  <sheetViews>
    <sheetView showGridLines="0" zoomScale="70" zoomScaleNormal="70" workbookViewId="0"/>
  </sheetViews>
  <sheetFormatPr defaultColWidth="11.44140625" defaultRowHeight="13.8" x14ac:dyDescent="0.25"/>
  <cols>
    <col min="1" max="2" width="1" style="36" customWidth="1"/>
    <col min="3" max="3" width="26.109375" style="36" customWidth="1"/>
    <col min="4" max="4" width="25" style="36" bestFit="1" customWidth="1"/>
    <col min="5" max="16" width="22.6640625" style="36" customWidth="1"/>
    <col min="17" max="135" width="17.33203125" style="36" customWidth="1"/>
    <col min="136" max="16384" width="11.44140625" style="36"/>
  </cols>
  <sheetData>
    <row r="1" spans="3:135" s="53" customFormat="1" ht="20.399999999999999" x14ac:dyDescent="0.35">
      <c r="D1" s="54">
        <v>2021</v>
      </c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>
        <v>2019</v>
      </c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>
        <v>2020</v>
      </c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>
        <v>2021</v>
      </c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>
        <v>2022</v>
      </c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>
        <v>2023</v>
      </c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>
        <v>2024</v>
      </c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/>
      <c r="CJ1" s="54">
        <v>2025</v>
      </c>
      <c r="CK1" s="54"/>
      <c r="CL1" s="54"/>
      <c r="CM1" s="54"/>
      <c r="CN1" s="54"/>
      <c r="CO1" s="54"/>
      <c r="CP1" s="54"/>
      <c r="CQ1" s="54"/>
      <c r="CR1" s="54"/>
      <c r="CS1" s="54"/>
      <c r="CT1" s="54"/>
      <c r="CU1" s="54"/>
      <c r="CV1" s="54">
        <v>2026</v>
      </c>
      <c r="CW1" s="54"/>
      <c r="CX1" s="54"/>
      <c r="CY1" s="54"/>
      <c r="CZ1" s="54"/>
      <c r="DA1" s="54"/>
      <c r="DB1" s="54"/>
      <c r="DC1" s="54"/>
      <c r="DD1" s="54"/>
      <c r="DE1" s="54"/>
      <c r="DF1" s="54"/>
      <c r="DG1" s="54"/>
      <c r="DH1" s="54">
        <v>2027</v>
      </c>
      <c r="DI1" s="54"/>
      <c r="DJ1" s="54"/>
      <c r="DK1" s="54"/>
      <c r="DL1" s="54"/>
      <c r="DM1" s="54"/>
      <c r="DN1" s="54"/>
      <c r="DO1" s="54"/>
      <c r="DP1" s="54"/>
      <c r="DQ1" s="54"/>
      <c r="DR1" s="54"/>
      <c r="DS1" s="54"/>
      <c r="DT1" s="54">
        <v>2028</v>
      </c>
      <c r="DU1" s="54"/>
      <c r="DV1" s="54"/>
      <c r="DW1" s="54"/>
      <c r="DX1" s="54"/>
      <c r="DY1" s="54"/>
      <c r="DZ1" s="54"/>
      <c r="EA1" s="54"/>
      <c r="EB1" s="54"/>
      <c r="EC1" s="54"/>
      <c r="ED1" s="54"/>
      <c r="EE1" s="54"/>
    </row>
    <row r="2" spans="3:135" s="55" customFormat="1" x14ac:dyDescent="0.25">
      <c r="D2" s="56" t="s">
        <v>69</v>
      </c>
      <c r="E2" s="56" t="s">
        <v>70</v>
      </c>
      <c r="F2" s="56" t="s">
        <v>71</v>
      </c>
      <c r="G2" s="56" t="s">
        <v>58</v>
      </c>
      <c r="H2" s="56" t="s">
        <v>72</v>
      </c>
      <c r="I2" s="56" t="s">
        <v>73</v>
      </c>
      <c r="J2" s="56" t="s">
        <v>74</v>
      </c>
      <c r="K2" s="56" t="s">
        <v>75</v>
      </c>
      <c r="L2" s="56" t="s">
        <v>76</v>
      </c>
      <c r="M2" s="56" t="s">
        <v>77</v>
      </c>
      <c r="N2" s="56" t="s">
        <v>78</v>
      </c>
      <c r="O2" s="56" t="s">
        <v>79</v>
      </c>
      <c r="P2" s="56" t="s">
        <v>69</v>
      </c>
      <c r="Q2" s="56" t="s">
        <v>70</v>
      </c>
      <c r="R2" s="56" t="s">
        <v>71</v>
      </c>
      <c r="S2" s="56" t="s">
        <v>58</v>
      </c>
      <c r="T2" s="56" t="s">
        <v>72</v>
      </c>
      <c r="U2" s="56" t="s">
        <v>73</v>
      </c>
      <c r="V2" s="56" t="s">
        <v>74</v>
      </c>
      <c r="W2" s="56" t="s">
        <v>75</v>
      </c>
      <c r="X2" s="56" t="s">
        <v>76</v>
      </c>
      <c r="Y2" s="56" t="s">
        <v>77</v>
      </c>
      <c r="Z2" s="56" t="s">
        <v>78</v>
      </c>
      <c r="AA2" s="56" t="s">
        <v>79</v>
      </c>
      <c r="AB2" s="56" t="s">
        <v>69</v>
      </c>
      <c r="AC2" s="56" t="s">
        <v>70</v>
      </c>
      <c r="AD2" s="56" t="s">
        <v>71</v>
      </c>
      <c r="AE2" s="56" t="s">
        <v>58</v>
      </c>
      <c r="AF2" s="56" t="s">
        <v>72</v>
      </c>
      <c r="AG2" s="56" t="s">
        <v>73</v>
      </c>
      <c r="AH2" s="56" t="s">
        <v>74</v>
      </c>
      <c r="AI2" s="56" t="s">
        <v>75</v>
      </c>
      <c r="AJ2" s="56" t="s">
        <v>76</v>
      </c>
      <c r="AK2" s="56" t="s">
        <v>77</v>
      </c>
      <c r="AL2" s="56" t="s">
        <v>78</v>
      </c>
      <c r="AM2" s="56" t="s">
        <v>79</v>
      </c>
      <c r="AN2" s="56" t="s">
        <v>69</v>
      </c>
      <c r="AO2" s="56" t="s">
        <v>70</v>
      </c>
      <c r="AP2" s="56" t="s">
        <v>71</v>
      </c>
      <c r="AQ2" s="56" t="s">
        <v>58</v>
      </c>
      <c r="AR2" s="56" t="s">
        <v>72</v>
      </c>
      <c r="AS2" s="56" t="s">
        <v>73</v>
      </c>
      <c r="AT2" s="56" t="s">
        <v>74</v>
      </c>
      <c r="AU2" s="56" t="s">
        <v>75</v>
      </c>
      <c r="AV2" s="56" t="s">
        <v>76</v>
      </c>
      <c r="AW2" s="56" t="s">
        <v>77</v>
      </c>
      <c r="AX2" s="56" t="s">
        <v>78</v>
      </c>
      <c r="AY2" s="56" t="s">
        <v>79</v>
      </c>
      <c r="AZ2" s="56" t="s">
        <v>69</v>
      </c>
      <c r="BA2" s="56" t="s">
        <v>70</v>
      </c>
      <c r="BB2" s="56" t="s">
        <v>71</v>
      </c>
      <c r="BC2" s="56" t="s">
        <v>58</v>
      </c>
      <c r="BD2" s="56" t="s">
        <v>72</v>
      </c>
      <c r="BE2" s="56" t="s">
        <v>73</v>
      </c>
      <c r="BF2" s="56" t="s">
        <v>74</v>
      </c>
      <c r="BG2" s="56" t="s">
        <v>75</v>
      </c>
      <c r="BH2" s="56" t="s">
        <v>76</v>
      </c>
      <c r="BI2" s="56" t="s">
        <v>77</v>
      </c>
      <c r="BJ2" s="56" t="s">
        <v>78</v>
      </c>
      <c r="BK2" s="56" t="s">
        <v>79</v>
      </c>
      <c r="BL2" s="56" t="s">
        <v>69</v>
      </c>
      <c r="BM2" s="56" t="s">
        <v>70</v>
      </c>
      <c r="BN2" s="56" t="s">
        <v>71</v>
      </c>
      <c r="BO2" s="56" t="s">
        <v>58</v>
      </c>
      <c r="BP2" s="56" t="s">
        <v>72</v>
      </c>
      <c r="BQ2" s="56" t="s">
        <v>73</v>
      </c>
      <c r="BR2" s="56" t="s">
        <v>74</v>
      </c>
      <c r="BS2" s="56" t="s">
        <v>75</v>
      </c>
      <c r="BT2" s="56" t="s">
        <v>76</v>
      </c>
      <c r="BU2" s="56" t="s">
        <v>77</v>
      </c>
      <c r="BV2" s="56" t="s">
        <v>78</v>
      </c>
      <c r="BW2" s="56" t="s">
        <v>79</v>
      </c>
      <c r="BX2" s="56" t="s">
        <v>69</v>
      </c>
      <c r="BY2" s="56" t="s">
        <v>70</v>
      </c>
      <c r="BZ2" s="56" t="s">
        <v>71</v>
      </c>
      <c r="CA2" s="56" t="s">
        <v>58</v>
      </c>
      <c r="CB2" s="56" t="s">
        <v>72</v>
      </c>
      <c r="CC2" s="56" t="s">
        <v>73</v>
      </c>
      <c r="CD2" s="56" t="s">
        <v>74</v>
      </c>
      <c r="CE2" s="56" t="s">
        <v>75</v>
      </c>
      <c r="CF2" s="56" t="s">
        <v>76</v>
      </c>
      <c r="CG2" s="56" t="s">
        <v>77</v>
      </c>
      <c r="CH2" s="56" t="s">
        <v>78</v>
      </c>
      <c r="CI2" s="56" t="s">
        <v>79</v>
      </c>
      <c r="CJ2" s="56" t="s">
        <v>69</v>
      </c>
      <c r="CK2" s="56" t="s">
        <v>70</v>
      </c>
      <c r="CL2" s="56" t="s">
        <v>71</v>
      </c>
      <c r="CM2" s="56" t="s">
        <v>58</v>
      </c>
      <c r="CN2" s="56" t="s">
        <v>72</v>
      </c>
      <c r="CO2" s="56" t="s">
        <v>73</v>
      </c>
      <c r="CP2" s="56" t="s">
        <v>74</v>
      </c>
      <c r="CQ2" s="56" t="s">
        <v>75</v>
      </c>
      <c r="CR2" s="56" t="s">
        <v>76</v>
      </c>
      <c r="CS2" s="56" t="s">
        <v>77</v>
      </c>
      <c r="CT2" s="56" t="s">
        <v>78</v>
      </c>
      <c r="CU2" s="56" t="s">
        <v>79</v>
      </c>
      <c r="CV2" s="56" t="s">
        <v>69</v>
      </c>
      <c r="CW2" s="56" t="s">
        <v>70</v>
      </c>
      <c r="CX2" s="56" t="s">
        <v>71</v>
      </c>
      <c r="CY2" s="56" t="s">
        <v>58</v>
      </c>
      <c r="CZ2" s="56" t="s">
        <v>72</v>
      </c>
      <c r="DA2" s="56" t="s">
        <v>73</v>
      </c>
      <c r="DB2" s="56" t="s">
        <v>74</v>
      </c>
      <c r="DC2" s="56" t="s">
        <v>75</v>
      </c>
      <c r="DD2" s="56" t="s">
        <v>76</v>
      </c>
      <c r="DE2" s="56" t="s">
        <v>77</v>
      </c>
      <c r="DF2" s="56" t="s">
        <v>78</v>
      </c>
      <c r="DG2" s="56" t="s">
        <v>79</v>
      </c>
      <c r="DH2" s="56" t="s">
        <v>69</v>
      </c>
      <c r="DI2" s="56" t="s">
        <v>70</v>
      </c>
      <c r="DJ2" s="56" t="s">
        <v>71</v>
      </c>
      <c r="DK2" s="56" t="s">
        <v>58</v>
      </c>
      <c r="DL2" s="56" t="s">
        <v>72</v>
      </c>
      <c r="DM2" s="56" t="s">
        <v>73</v>
      </c>
      <c r="DN2" s="56" t="s">
        <v>74</v>
      </c>
      <c r="DO2" s="56" t="s">
        <v>75</v>
      </c>
      <c r="DP2" s="56" t="s">
        <v>76</v>
      </c>
      <c r="DQ2" s="56" t="s">
        <v>77</v>
      </c>
      <c r="DR2" s="56" t="s">
        <v>78</v>
      </c>
      <c r="DS2" s="56" t="s">
        <v>79</v>
      </c>
      <c r="DT2" s="56" t="s">
        <v>69</v>
      </c>
      <c r="DU2" s="56" t="s">
        <v>70</v>
      </c>
      <c r="DV2" s="56" t="s">
        <v>71</v>
      </c>
      <c r="DW2" s="56" t="s">
        <v>58</v>
      </c>
      <c r="DX2" s="56" t="s">
        <v>72</v>
      </c>
      <c r="DY2" s="56" t="s">
        <v>73</v>
      </c>
      <c r="DZ2" s="56" t="s">
        <v>74</v>
      </c>
      <c r="EA2" s="56" t="s">
        <v>75</v>
      </c>
      <c r="EB2" s="56" t="s">
        <v>76</v>
      </c>
      <c r="EC2" s="56" t="s">
        <v>77</v>
      </c>
      <c r="ED2" s="56" t="s">
        <v>78</v>
      </c>
      <c r="EE2" s="56" t="s">
        <v>79</v>
      </c>
    </row>
    <row r="4" spans="3:135" s="48" customFormat="1" x14ac:dyDescent="0.25">
      <c r="C4" s="48" t="str">
        <f>+'6 Cash Flow Inversion'!B15</f>
        <v>FC INVERSIÓN</v>
      </c>
      <c r="D4" s="68">
        <f>+'6 Cash Flow Inversion'!C15</f>
        <v>-2900000000</v>
      </c>
      <c r="E4" s="68">
        <f>+'6 Cash Flow Inversion'!D15</f>
        <v>0</v>
      </c>
      <c r="F4" s="68">
        <f>+'6 Cash Flow Inversion'!E15</f>
        <v>0</v>
      </c>
      <c r="G4" s="68">
        <f>+'6 Cash Flow Inversion'!F15</f>
        <v>0</v>
      </c>
      <c r="H4" s="68">
        <f>+'6 Cash Flow Inversion'!G15</f>
        <v>0</v>
      </c>
      <c r="I4" s="68">
        <f>+'6 Cash Flow Inversion'!H15</f>
        <v>0</v>
      </c>
      <c r="J4" s="68">
        <f>+'6 Cash Flow Inversion'!I15</f>
        <v>0</v>
      </c>
      <c r="K4" s="68">
        <f>+'6 Cash Flow Inversion'!J15</f>
        <v>0</v>
      </c>
      <c r="L4" s="68">
        <f>+'6 Cash Flow Inversion'!K15</f>
        <v>0</v>
      </c>
      <c r="M4" s="68">
        <f>+'6 Cash Flow Inversion'!L15</f>
        <v>0</v>
      </c>
      <c r="N4" s="68">
        <f>+'6 Cash Flow Inversion'!M15</f>
        <v>0</v>
      </c>
      <c r="O4" s="68">
        <f>+'6 Cash Flow Inversion'!N15</f>
        <v>0</v>
      </c>
      <c r="P4" s="68">
        <f>+'6 Cash Flow Inversion'!O15</f>
        <v>0</v>
      </c>
      <c r="Q4" s="68">
        <f>+'6 Cash Flow Inversion'!P15</f>
        <v>0</v>
      </c>
      <c r="R4" s="68">
        <f>+'6 Cash Flow Inversion'!Q15</f>
        <v>0</v>
      </c>
      <c r="S4" s="68">
        <f>+'6 Cash Flow Inversion'!R15</f>
        <v>0</v>
      </c>
      <c r="T4" s="68">
        <f>+'6 Cash Flow Inversion'!S15</f>
        <v>0</v>
      </c>
      <c r="U4" s="68">
        <f>+'6 Cash Flow Inversion'!T15</f>
        <v>0</v>
      </c>
      <c r="V4" s="68">
        <f>+'6 Cash Flow Inversion'!U15</f>
        <v>0</v>
      </c>
      <c r="W4" s="68">
        <f>+'6 Cash Flow Inversion'!V15</f>
        <v>0</v>
      </c>
      <c r="X4" s="68">
        <f>+'6 Cash Flow Inversion'!W15</f>
        <v>0</v>
      </c>
      <c r="Y4" s="68">
        <f>+'6 Cash Flow Inversion'!X15</f>
        <v>0</v>
      </c>
      <c r="Z4" s="68">
        <f>+'6 Cash Flow Inversion'!Y15</f>
        <v>0</v>
      </c>
      <c r="AA4" s="68">
        <f>+'6 Cash Flow Inversion'!Z15</f>
        <v>0</v>
      </c>
      <c r="AB4" s="68">
        <f>+'6 Cash Flow Inversion'!AA15</f>
        <v>0</v>
      </c>
      <c r="AC4" s="68">
        <f>+'6 Cash Flow Inversion'!AB15</f>
        <v>0</v>
      </c>
      <c r="AD4" s="68">
        <f>+'6 Cash Flow Inversion'!AC15</f>
        <v>0</v>
      </c>
      <c r="AE4" s="68">
        <f>+'6 Cash Flow Inversion'!AD15</f>
        <v>0</v>
      </c>
      <c r="AF4" s="68">
        <f>+'6 Cash Flow Inversion'!AE15</f>
        <v>0</v>
      </c>
      <c r="AG4" s="68">
        <f>+'6 Cash Flow Inversion'!AF15</f>
        <v>0</v>
      </c>
      <c r="AH4" s="68">
        <f>+'6 Cash Flow Inversion'!AG15</f>
        <v>0</v>
      </c>
      <c r="AI4" s="68">
        <f>+'6 Cash Flow Inversion'!AH15</f>
        <v>0</v>
      </c>
      <c r="AJ4" s="68">
        <f>+'6 Cash Flow Inversion'!AI15</f>
        <v>0</v>
      </c>
      <c r="AK4" s="68">
        <f>+'6 Cash Flow Inversion'!AJ15</f>
        <v>0</v>
      </c>
      <c r="AL4" s="68">
        <f>+'6 Cash Flow Inversion'!AK15</f>
        <v>0</v>
      </c>
      <c r="AM4" s="68">
        <f>+'6 Cash Flow Inversion'!AL15</f>
        <v>0</v>
      </c>
      <c r="AN4" s="68">
        <f>+'6 Cash Flow Inversion'!AM15</f>
        <v>0</v>
      </c>
      <c r="AO4" s="68">
        <f>+'6 Cash Flow Inversion'!AN15</f>
        <v>0</v>
      </c>
      <c r="AP4" s="68">
        <f>+'6 Cash Flow Inversion'!AO15</f>
        <v>0</v>
      </c>
      <c r="AQ4" s="68">
        <f>+'6 Cash Flow Inversion'!AP15</f>
        <v>0</v>
      </c>
      <c r="AR4" s="68">
        <f>+'6 Cash Flow Inversion'!AQ15</f>
        <v>0</v>
      </c>
      <c r="AS4" s="68">
        <f>+'6 Cash Flow Inversion'!AR15</f>
        <v>0</v>
      </c>
      <c r="AT4" s="68">
        <f>+'6 Cash Flow Inversion'!AS15</f>
        <v>0</v>
      </c>
      <c r="AU4" s="68">
        <f>+'6 Cash Flow Inversion'!AT15</f>
        <v>0</v>
      </c>
      <c r="AV4" s="68">
        <f>+'6 Cash Flow Inversion'!AU15</f>
        <v>0</v>
      </c>
      <c r="AW4" s="68">
        <f>+'6 Cash Flow Inversion'!AV15</f>
        <v>0</v>
      </c>
      <c r="AX4" s="68">
        <f>+'6 Cash Flow Inversion'!AW15</f>
        <v>0</v>
      </c>
      <c r="AY4" s="68">
        <f>+'6 Cash Flow Inversion'!AX15</f>
        <v>0</v>
      </c>
      <c r="AZ4" s="68">
        <f>+'6 Cash Flow Inversion'!AY15</f>
        <v>0</v>
      </c>
      <c r="BA4" s="68">
        <f>+'6 Cash Flow Inversion'!AZ15</f>
        <v>0</v>
      </c>
      <c r="BB4" s="68">
        <f>+'6 Cash Flow Inversion'!BA15</f>
        <v>0</v>
      </c>
      <c r="BC4" s="68">
        <f>+'6 Cash Flow Inversion'!BB15</f>
        <v>0</v>
      </c>
      <c r="BD4" s="68">
        <f>+'6 Cash Flow Inversion'!BC15</f>
        <v>0</v>
      </c>
      <c r="BE4" s="68">
        <f>+'6 Cash Flow Inversion'!BD15</f>
        <v>0</v>
      </c>
      <c r="BF4" s="68">
        <f>+'6 Cash Flow Inversion'!BE15</f>
        <v>0</v>
      </c>
      <c r="BG4" s="68">
        <f>+'6 Cash Flow Inversion'!BF15</f>
        <v>0</v>
      </c>
      <c r="BH4" s="68">
        <f>+'6 Cash Flow Inversion'!BG15</f>
        <v>0</v>
      </c>
      <c r="BI4" s="68">
        <f>+'6 Cash Flow Inversion'!BH15</f>
        <v>0</v>
      </c>
      <c r="BJ4" s="68">
        <f>+'6 Cash Flow Inversion'!BI15</f>
        <v>0</v>
      </c>
      <c r="BK4" s="68">
        <f>+'6 Cash Flow Inversion'!BJ15</f>
        <v>0</v>
      </c>
      <c r="BL4" s="68">
        <f>+'6 Cash Flow Inversion'!BK15</f>
        <v>0</v>
      </c>
      <c r="BM4" s="68">
        <f>+'6 Cash Flow Inversion'!BL15</f>
        <v>0</v>
      </c>
      <c r="BN4" s="68">
        <f>+'6 Cash Flow Inversion'!BM15</f>
        <v>0</v>
      </c>
      <c r="BO4" s="68">
        <f>+'6 Cash Flow Inversion'!BN15</f>
        <v>0</v>
      </c>
      <c r="BP4" s="68">
        <f>+'6 Cash Flow Inversion'!BO15</f>
        <v>0</v>
      </c>
      <c r="BQ4" s="68">
        <f>+'6 Cash Flow Inversion'!BP15</f>
        <v>0</v>
      </c>
      <c r="BR4" s="68">
        <f>+'6 Cash Flow Inversion'!BQ15</f>
        <v>0</v>
      </c>
      <c r="BS4" s="68">
        <f>+'6 Cash Flow Inversion'!BR15</f>
        <v>0</v>
      </c>
      <c r="BT4" s="68">
        <f>+'6 Cash Flow Inversion'!BS15</f>
        <v>0</v>
      </c>
      <c r="BU4" s="68">
        <f>+'6 Cash Flow Inversion'!BT15</f>
        <v>0</v>
      </c>
      <c r="BV4" s="68">
        <f>+'6 Cash Flow Inversion'!BU15</f>
        <v>0</v>
      </c>
      <c r="BW4" s="68">
        <f>+'6 Cash Flow Inversion'!BV15</f>
        <v>0</v>
      </c>
      <c r="BX4" s="68">
        <f>+'6 Cash Flow Inversion'!BW15</f>
        <v>0</v>
      </c>
      <c r="BY4" s="68">
        <f>+'6 Cash Flow Inversion'!BX15</f>
        <v>0</v>
      </c>
      <c r="BZ4" s="68">
        <f>+'6 Cash Flow Inversion'!BY15</f>
        <v>0</v>
      </c>
      <c r="CA4" s="68">
        <f>+'6 Cash Flow Inversion'!BZ15</f>
        <v>0</v>
      </c>
      <c r="CB4" s="68">
        <f>+'6 Cash Flow Inversion'!CA15</f>
        <v>0</v>
      </c>
      <c r="CC4" s="68">
        <f>+'6 Cash Flow Inversion'!CB15</f>
        <v>0</v>
      </c>
      <c r="CD4" s="68">
        <f>+'6 Cash Flow Inversion'!CC15</f>
        <v>0</v>
      </c>
      <c r="CE4" s="68">
        <f>+'6 Cash Flow Inversion'!CD15</f>
        <v>0</v>
      </c>
      <c r="CF4" s="68">
        <f>+'6 Cash Flow Inversion'!CE15</f>
        <v>0</v>
      </c>
      <c r="CG4" s="68">
        <f>+'6 Cash Flow Inversion'!CF15</f>
        <v>0</v>
      </c>
      <c r="CH4" s="68">
        <f>+'6 Cash Flow Inversion'!CG15</f>
        <v>0</v>
      </c>
      <c r="CI4" s="68">
        <f>+'6 Cash Flow Inversion'!CH15</f>
        <v>0</v>
      </c>
      <c r="CJ4" s="68">
        <f>+'6 Cash Flow Inversion'!CI15</f>
        <v>0</v>
      </c>
      <c r="CK4" s="68">
        <f>+'6 Cash Flow Inversion'!CJ15</f>
        <v>0</v>
      </c>
      <c r="CL4" s="68">
        <f>+'6 Cash Flow Inversion'!CK15</f>
        <v>0</v>
      </c>
      <c r="CM4" s="68">
        <f>+'6 Cash Flow Inversion'!CL15</f>
        <v>0</v>
      </c>
      <c r="CN4" s="68">
        <f>+'6 Cash Flow Inversion'!CM15</f>
        <v>0</v>
      </c>
      <c r="CO4" s="68">
        <f>+'6 Cash Flow Inversion'!CN15</f>
        <v>0</v>
      </c>
      <c r="CP4" s="68">
        <f>+'6 Cash Flow Inversion'!CO15</f>
        <v>0</v>
      </c>
      <c r="CQ4" s="68">
        <f>+'6 Cash Flow Inversion'!CP15</f>
        <v>0</v>
      </c>
      <c r="CR4" s="68">
        <f>+'6 Cash Flow Inversion'!CQ15</f>
        <v>0</v>
      </c>
      <c r="CS4" s="68">
        <f>+'6 Cash Flow Inversion'!CR15</f>
        <v>0</v>
      </c>
      <c r="CT4" s="68">
        <f>+'6 Cash Flow Inversion'!CS15</f>
        <v>0</v>
      </c>
      <c r="CU4" s="68">
        <f>+'6 Cash Flow Inversion'!CT15</f>
        <v>0</v>
      </c>
      <c r="CV4" s="68">
        <f>+'6 Cash Flow Inversion'!CU15</f>
        <v>0</v>
      </c>
      <c r="CW4" s="68">
        <f>+'6 Cash Flow Inversion'!CV15</f>
        <v>0</v>
      </c>
      <c r="CX4" s="68">
        <f>+'6 Cash Flow Inversion'!CW15</f>
        <v>0</v>
      </c>
      <c r="CY4" s="68">
        <f>+'6 Cash Flow Inversion'!CX15</f>
        <v>0</v>
      </c>
      <c r="CZ4" s="68">
        <f>+'6 Cash Flow Inversion'!CY15</f>
        <v>0</v>
      </c>
      <c r="DA4" s="68">
        <f>+'6 Cash Flow Inversion'!CZ15</f>
        <v>0</v>
      </c>
      <c r="DB4" s="68">
        <f>+'6 Cash Flow Inversion'!DA15</f>
        <v>0</v>
      </c>
      <c r="DC4" s="68">
        <f>+'6 Cash Flow Inversion'!DB15</f>
        <v>0</v>
      </c>
      <c r="DD4" s="68">
        <f>+'6 Cash Flow Inversion'!DC15</f>
        <v>0</v>
      </c>
      <c r="DE4" s="68">
        <f>+'6 Cash Flow Inversion'!DD15</f>
        <v>0</v>
      </c>
      <c r="DF4" s="68">
        <f>+'6 Cash Flow Inversion'!DE15</f>
        <v>0</v>
      </c>
      <c r="DG4" s="68">
        <f>+'6 Cash Flow Inversion'!DF15</f>
        <v>0</v>
      </c>
      <c r="DH4" s="68">
        <f>+'6 Cash Flow Inversion'!DG15</f>
        <v>0</v>
      </c>
      <c r="DI4" s="68">
        <f>+'6 Cash Flow Inversion'!DH15</f>
        <v>0</v>
      </c>
      <c r="DJ4" s="68">
        <f>+'6 Cash Flow Inversion'!DI15</f>
        <v>0</v>
      </c>
      <c r="DK4" s="68">
        <f>+'6 Cash Flow Inversion'!DJ15</f>
        <v>0</v>
      </c>
      <c r="DL4" s="68">
        <f>+'6 Cash Flow Inversion'!DK15</f>
        <v>0</v>
      </c>
      <c r="DM4" s="68">
        <f>+'6 Cash Flow Inversion'!DL15</f>
        <v>0</v>
      </c>
      <c r="DN4" s="68">
        <f>+'6 Cash Flow Inversion'!DM15</f>
        <v>0</v>
      </c>
      <c r="DO4" s="68">
        <f>+'6 Cash Flow Inversion'!DN15</f>
        <v>0</v>
      </c>
      <c r="DP4" s="68">
        <f>+'6 Cash Flow Inversion'!DO15</f>
        <v>0</v>
      </c>
      <c r="DQ4" s="68">
        <f>+'6 Cash Flow Inversion'!DP15</f>
        <v>0</v>
      </c>
      <c r="DR4" s="68">
        <f>+'6 Cash Flow Inversion'!DQ15</f>
        <v>0</v>
      </c>
      <c r="DS4" s="68">
        <f>+'6 Cash Flow Inversion'!DR15</f>
        <v>0</v>
      </c>
      <c r="DT4" s="68">
        <f>+'6 Cash Flow Inversion'!DS15</f>
        <v>0</v>
      </c>
      <c r="DU4" s="68">
        <f>+'6 Cash Flow Inversion'!DT15</f>
        <v>0</v>
      </c>
      <c r="DV4" s="68">
        <f>+'6 Cash Flow Inversion'!DU15</f>
        <v>0</v>
      </c>
      <c r="DW4" s="68">
        <f>+'6 Cash Flow Inversion'!DV15</f>
        <v>0</v>
      </c>
      <c r="DX4" s="68">
        <f>+'6 Cash Flow Inversion'!DW15</f>
        <v>0</v>
      </c>
      <c r="DY4" s="68">
        <f>+'6 Cash Flow Inversion'!DX15</f>
        <v>0</v>
      </c>
      <c r="DZ4" s="68">
        <f>+'6 Cash Flow Inversion'!DY15</f>
        <v>0</v>
      </c>
      <c r="EA4" s="68">
        <f>+'6 Cash Flow Inversion'!DZ15</f>
        <v>0</v>
      </c>
      <c r="EB4" s="68">
        <f>+'6 Cash Flow Inversion'!EA15</f>
        <v>0</v>
      </c>
      <c r="EC4" s="68">
        <f>+'6 Cash Flow Inversion'!EB15</f>
        <v>0</v>
      </c>
      <c r="ED4" s="68">
        <f>+'6 Cash Flow Inversion'!EC15</f>
        <v>0</v>
      </c>
      <c r="EE4" s="68">
        <f>+'6 Cash Flow Inversion'!ED15</f>
        <v>3345352083.9154568</v>
      </c>
    </row>
    <row r="5" spans="3:135" s="48" customFormat="1" x14ac:dyDescent="0.25">
      <c r="C5" s="48" t="str">
        <f>+'5 Cash Flow Operativo'!D19</f>
        <v>FC OPERATIVO</v>
      </c>
      <c r="D5" s="68">
        <f>+'5 Cash Flow Operativo'!E19</f>
        <v>-12878875.000000002</v>
      </c>
      <c r="E5" s="68">
        <f>+'5 Cash Flow Operativo'!F19</f>
        <v>1463361.1177411936</v>
      </c>
      <c r="F5" s="68">
        <f>+'5 Cash Flow Operativo'!G19</f>
        <v>-260638.88225880638</v>
      </c>
      <c r="G5" s="68">
        <f>+'5 Cash Flow Operativo'!H19</f>
        <v>-4186638.8822588064</v>
      </c>
      <c r="H5" s="68">
        <f>+'5 Cash Flow Operativo'!I19</f>
        <v>1463361.1177411936</v>
      </c>
      <c r="I5" s="68">
        <f>+'5 Cash Flow Operativo'!J19</f>
        <v>1463361.1177411936</v>
      </c>
      <c r="J5" s="68">
        <f>+'5 Cash Flow Operativo'!K19</f>
        <v>-4186638.8822588064</v>
      </c>
      <c r="K5" s="68">
        <f>+'5 Cash Flow Operativo'!L19</f>
        <v>1463361.1177411936</v>
      </c>
      <c r="L5" s="68">
        <f>+'5 Cash Flow Operativo'!M19</f>
        <v>1463361.1177411936</v>
      </c>
      <c r="M5" s="68">
        <f>+'5 Cash Flow Operativo'!N19</f>
        <v>-4186638.8822588064</v>
      </c>
      <c r="N5" s="68">
        <f>+'5 Cash Flow Operativo'!O19</f>
        <v>1463361.1177411936</v>
      </c>
      <c r="O5" s="68">
        <f>+'5 Cash Flow Operativo'!P19</f>
        <v>1463361.1177411936</v>
      </c>
      <c r="P5" s="68">
        <f>+'5 Cash Flow Operativo'!Q19</f>
        <v>3406043.7948303595</v>
      </c>
      <c r="Q5" s="68">
        <f>+'5 Cash Flow Operativo'!R19</f>
        <v>9197293.7948303595</v>
      </c>
      <c r="R5" s="68">
        <f>+'5 Cash Flow Operativo'!S19</f>
        <v>7430193.7948303595</v>
      </c>
      <c r="S5" s="68">
        <f>+'5 Cash Flow Operativo'!T19</f>
        <v>3406043.7948303595</v>
      </c>
      <c r="T5" s="68">
        <f>+'5 Cash Flow Operativo'!U19</f>
        <v>9197293.7948303595</v>
      </c>
      <c r="U5" s="68">
        <f>+'5 Cash Flow Operativo'!V19</f>
        <v>9197293.7948303595</v>
      </c>
      <c r="V5" s="68">
        <f>+'5 Cash Flow Operativo'!W19</f>
        <v>3406043.7948303595</v>
      </c>
      <c r="W5" s="68">
        <f>+'5 Cash Flow Operativo'!X19</f>
        <v>9197293.7948303595</v>
      </c>
      <c r="X5" s="68">
        <f>+'5 Cash Flow Operativo'!Y19</f>
        <v>9197293.7948303595</v>
      </c>
      <c r="Y5" s="68">
        <f>+'5 Cash Flow Operativo'!Z19</f>
        <v>3406043.7948303595</v>
      </c>
      <c r="Z5" s="68">
        <f>+'5 Cash Flow Operativo'!AA19</f>
        <v>9197293.7948303595</v>
      </c>
      <c r="AA5" s="68">
        <f>+'5 Cash Flow Operativo'!AB19</f>
        <v>9197293.7948303595</v>
      </c>
      <c r="AB5" s="68">
        <f>+'5 Cash Flow Operativo'!AC19</f>
        <v>15155984.067313548</v>
      </c>
      <c r="AC5" s="68">
        <f>+'5 Cash Flow Operativo'!AD19</f>
        <v>21120971.567313548</v>
      </c>
      <c r="AD5" s="68">
        <f>+'5 Cash Flow Operativo'!AE19</f>
        <v>19300858.567313548</v>
      </c>
      <c r="AE5" s="68">
        <f>+'5 Cash Flow Operativo'!AF19</f>
        <v>15155984.067313548</v>
      </c>
      <c r="AF5" s="68">
        <f>+'5 Cash Flow Operativo'!AG19</f>
        <v>21120971.567313548</v>
      </c>
      <c r="AG5" s="68">
        <f>+'5 Cash Flow Operativo'!AH19</f>
        <v>21120971.567313548</v>
      </c>
      <c r="AH5" s="68">
        <f>+'5 Cash Flow Operativo'!AI19</f>
        <v>15155984.067313548</v>
      </c>
      <c r="AI5" s="68">
        <f>+'5 Cash Flow Operativo'!AJ19</f>
        <v>21120971.567313548</v>
      </c>
      <c r="AJ5" s="68">
        <f>+'5 Cash Flow Operativo'!AK19</f>
        <v>21120971.567313548</v>
      </c>
      <c r="AK5" s="68">
        <f>+'5 Cash Flow Operativo'!AL19</f>
        <v>15155984.067313548</v>
      </c>
      <c r="AL5" s="68">
        <f>+'5 Cash Flow Operativo'!AM19</f>
        <v>21120971.567313548</v>
      </c>
      <c r="AM5" s="68">
        <f>+'5 Cash Flow Operativo'!AN19</f>
        <v>21120971.567313548</v>
      </c>
      <c r="AN5" s="68">
        <f>+'5 Cash Flow Operativo'!AO19</f>
        <v>31574949.004362866</v>
      </c>
      <c r="AO5" s="68">
        <f>+'5 Cash Flow Operativo'!AP19</f>
        <v>37718886.129362866</v>
      </c>
      <c r="AP5" s="68">
        <f>+'5 Cash Flow Operativo'!AQ19</f>
        <v>35844169.739362866</v>
      </c>
      <c r="AQ5" s="68">
        <f>+'5 Cash Flow Operativo'!AR19</f>
        <v>25719648.052336521</v>
      </c>
      <c r="AR5" s="68">
        <f>+'5 Cash Flow Operativo'!AS19</f>
        <v>37718886.129362866</v>
      </c>
      <c r="AS5" s="68">
        <f>+'5 Cash Flow Operativo'!AT19</f>
        <v>37718886.129362866</v>
      </c>
      <c r="AT5" s="68">
        <f>+'5 Cash Flow Operativo'!AU19</f>
        <v>31574949.004362866</v>
      </c>
      <c r="AU5" s="68">
        <f>+'5 Cash Flow Operativo'!AV19</f>
        <v>37718886.129362866</v>
      </c>
      <c r="AV5" s="68">
        <f>+'5 Cash Flow Operativo'!AW19</f>
        <v>37718886.129362866</v>
      </c>
      <c r="AW5" s="68">
        <f>+'5 Cash Flow Operativo'!AX19</f>
        <v>31574949.004362866</v>
      </c>
      <c r="AX5" s="68">
        <f>+'5 Cash Flow Operativo'!AY19</f>
        <v>37718886.129362866</v>
      </c>
      <c r="AY5" s="68">
        <f>+'5 Cash Flow Operativo'!AZ19</f>
        <v>37718886.129362866</v>
      </c>
      <c r="AZ5" s="68">
        <f>+'5 Cash Flow Operativo'!BA19</f>
        <v>48908961.175154552</v>
      </c>
      <c r="BA5" s="68">
        <f>+'5 Cash Flow Operativo'!BB19</f>
        <v>55237216.413904555</v>
      </c>
      <c r="BB5" s="68">
        <f>+'5 Cash Flow Operativo'!BC19</f>
        <v>53306258.532204553</v>
      </c>
      <c r="BC5" s="68">
        <f>+'5 Cash Flow Operativo'!BD19</f>
        <v>24386699.994771063</v>
      </c>
      <c r="BD5" s="68">
        <f>+'5 Cash Flow Operativo'!BE19</f>
        <v>55237216.413904555</v>
      </c>
      <c r="BE5" s="68">
        <f>+'5 Cash Flow Operativo'!BF19</f>
        <v>55237216.413904555</v>
      </c>
      <c r="BF5" s="68">
        <f>+'5 Cash Flow Operativo'!BG19</f>
        <v>48908961.175154552</v>
      </c>
      <c r="BG5" s="68">
        <f>+'5 Cash Flow Operativo'!BH19</f>
        <v>55237216.413904555</v>
      </c>
      <c r="BH5" s="68">
        <f>+'5 Cash Flow Operativo'!BI19</f>
        <v>55237216.413904555</v>
      </c>
      <c r="BI5" s="68">
        <f>+'5 Cash Flow Operativo'!BJ19</f>
        <v>48908961.175154552</v>
      </c>
      <c r="BJ5" s="68">
        <f>+'5 Cash Flow Operativo'!BK19</f>
        <v>55237216.413904555</v>
      </c>
      <c r="BK5" s="68">
        <f>+'5 Cash Flow Operativo'!BL19</f>
        <v>55237216.413904555</v>
      </c>
      <c r="BL5" s="68">
        <f>+'5 Cash Flow Operativo'!BM19</f>
        <v>54621259.569321387</v>
      </c>
      <c r="BM5" s="68">
        <f>+'5 Cash Flow Operativo'!BN19</f>
        <v>61139362.465233885</v>
      </c>
      <c r="BN5" s="68">
        <f>+'5 Cash Flow Operativo'!BO19</f>
        <v>59150475.847082883</v>
      </c>
      <c r="BO5" s="68">
        <f>+'5 Cash Flow Operativo'!BP19</f>
        <v>10359868.159986854</v>
      </c>
      <c r="BP5" s="68">
        <f>+'5 Cash Flow Operativo'!BQ19</f>
        <v>61139362.465233885</v>
      </c>
      <c r="BQ5" s="68">
        <f>+'5 Cash Flow Operativo'!BR19</f>
        <v>61139362.465233885</v>
      </c>
      <c r="BR5" s="68">
        <f>+'5 Cash Flow Operativo'!BS19</f>
        <v>54621259.569321387</v>
      </c>
      <c r="BS5" s="68">
        <f>+'5 Cash Flow Operativo'!BT19</f>
        <v>61139362.465233885</v>
      </c>
      <c r="BT5" s="68">
        <f>+'5 Cash Flow Operativo'!BU19</f>
        <v>61139362.465233885</v>
      </c>
      <c r="BU5" s="68">
        <f>+'5 Cash Flow Operativo'!BV19</f>
        <v>54621259.569321387</v>
      </c>
      <c r="BV5" s="68">
        <f>+'5 Cash Flow Operativo'!BW19</f>
        <v>61139362.465233885</v>
      </c>
      <c r="BW5" s="68">
        <f>+'5 Cash Flow Operativo'!BX19</f>
        <v>61139362.465233885</v>
      </c>
      <c r="BX5" s="68">
        <f>+'5 Cash Flow Operativo'!BY19</f>
        <v>56378425.885035232</v>
      </c>
      <c r="BY5" s="68">
        <f>+'5 Cash Flow Operativo'!BZ19</f>
        <v>63092071.867825106</v>
      </c>
      <c r="BZ5" s="68">
        <f>+'5 Cash Flow Operativo'!CA19</f>
        <v>61043518.651129574</v>
      </c>
      <c r="CA5" s="68">
        <f>+'5 Cash Flow Operativo'!CB19</f>
        <v>4837311.1754033864</v>
      </c>
      <c r="CB5" s="68">
        <f>+'5 Cash Flow Operativo'!CC19</f>
        <v>63092071.867825106</v>
      </c>
      <c r="CC5" s="68">
        <f>+'5 Cash Flow Operativo'!CD19</f>
        <v>63092071.867825106</v>
      </c>
      <c r="CD5" s="68">
        <f>+'5 Cash Flow Operativo'!CE19</f>
        <v>56378425.885035232</v>
      </c>
      <c r="CE5" s="68">
        <f>+'5 Cash Flow Operativo'!CF19</f>
        <v>63092071.867825106</v>
      </c>
      <c r="CF5" s="68">
        <f>+'5 Cash Flow Operativo'!CG19</f>
        <v>63092071.867825106</v>
      </c>
      <c r="CG5" s="68">
        <f>+'5 Cash Flow Operativo'!CH19</f>
        <v>56378425.885035232</v>
      </c>
      <c r="CH5" s="68">
        <f>+'5 Cash Flow Operativo'!CI19</f>
        <v>63092071.867825106</v>
      </c>
      <c r="CI5" s="68">
        <f>+'5 Cash Flow Operativo'!CJ19</f>
        <v>63092071.867825106</v>
      </c>
      <c r="CJ5" s="68">
        <f>+'5 Cash Flow Operativo'!CK19</f>
        <v>57947694.277093053</v>
      </c>
      <c r="CK5" s="68">
        <f>+'5 Cash Flow Operativo'!CL19</f>
        <v>64862749.639366627</v>
      </c>
      <c r="CL5" s="68">
        <f>+'5 Cash Flow Operativo'!CM19</f>
        <v>62752739.826170228</v>
      </c>
      <c r="CM5" s="68">
        <f>+'5 Cash Flow Operativo'!CN19</f>
        <v>16494081.855966091</v>
      </c>
      <c r="CN5" s="68">
        <f>+'5 Cash Flow Operativo'!CO19</f>
        <v>64862749.639366627</v>
      </c>
      <c r="CO5" s="68">
        <f>+'5 Cash Flow Operativo'!CP19</f>
        <v>64862749.639366627</v>
      </c>
      <c r="CP5" s="68">
        <f>+'5 Cash Flow Operativo'!CQ19</f>
        <v>57947694.277093053</v>
      </c>
      <c r="CQ5" s="68">
        <f>+'5 Cash Flow Operativo'!CR19</f>
        <v>64862749.639366627</v>
      </c>
      <c r="CR5" s="68">
        <f>+'5 Cash Flow Operativo'!CS19</f>
        <v>64862749.639366627</v>
      </c>
      <c r="CS5" s="68">
        <f>+'5 Cash Flow Operativo'!CT19</f>
        <v>57947694.277093053</v>
      </c>
      <c r="CT5" s="68">
        <f>+'5 Cash Flow Operativo'!CU19</f>
        <v>64862749.639366627</v>
      </c>
      <c r="CU5" s="68">
        <f>+'5 Cash Flow Operativo'!CV19</f>
        <v>64862749.639366627</v>
      </c>
      <c r="CV5" s="68">
        <f>+'5 Cash Flow Operativo'!CW19</f>
        <v>59686125.105405845</v>
      </c>
      <c r="CW5" s="68">
        <f>+'5 Cash Flow Operativo'!CX19</f>
        <v>66808632.128547624</v>
      </c>
      <c r="CX5" s="68">
        <f>+'5 Cash Flow Operativo'!CY19</f>
        <v>64635322.020955339</v>
      </c>
      <c r="CY5" s="68">
        <f>+'5 Cash Flow Operativo'!CZ19</f>
        <v>2018834.5616777688</v>
      </c>
      <c r="CZ5" s="68">
        <f>+'5 Cash Flow Operativo'!DA19</f>
        <v>66808632.128547624</v>
      </c>
      <c r="DA5" s="68">
        <f>+'5 Cash Flow Operativo'!DB19</f>
        <v>66808632.128547624</v>
      </c>
      <c r="DB5" s="68">
        <f>+'5 Cash Flow Operativo'!DC19</f>
        <v>59686125.105405845</v>
      </c>
      <c r="DC5" s="68">
        <f>+'5 Cash Flow Operativo'!DD19</f>
        <v>66808632.128547624</v>
      </c>
      <c r="DD5" s="68">
        <f>+'5 Cash Flow Operativo'!DE19</f>
        <v>66808632.128547624</v>
      </c>
      <c r="DE5" s="68">
        <f>+'5 Cash Flow Operativo'!DF19</f>
        <v>59686125.105405845</v>
      </c>
      <c r="DF5" s="68">
        <f>+'5 Cash Flow Operativo'!DG19</f>
        <v>66808632.128547624</v>
      </c>
      <c r="DG5" s="68">
        <f>+'5 Cash Flow Operativo'!DH19</f>
        <v>66808632.128547624</v>
      </c>
      <c r="DH5" s="68">
        <f>+'5 Cash Flow Operativo'!DI19</f>
        <v>73706926.709071353</v>
      </c>
      <c r="DI5" s="68">
        <f>+'5 Cash Flow Operativo'!DJ19</f>
        <v>81043108.942907393</v>
      </c>
      <c r="DJ5" s="68">
        <f>+'5 Cash Flow Operativo'!DK19</f>
        <v>78804599.532087326</v>
      </c>
      <c r="DK5" s="68">
        <f>+'5 Cash Flow Operativo'!DL19</f>
        <v>12718333.027343631</v>
      </c>
      <c r="DL5" s="68">
        <f>+'5 Cash Flow Operativo'!DM19</f>
        <v>81043108.942907393</v>
      </c>
      <c r="DM5" s="68">
        <f>+'5 Cash Flow Operativo'!DN19</f>
        <v>81043108.942907393</v>
      </c>
      <c r="DN5" s="68">
        <f>+'5 Cash Flow Operativo'!DO19</f>
        <v>73706926.709071353</v>
      </c>
      <c r="DO5" s="68">
        <f>+'5 Cash Flow Operativo'!DP19</f>
        <v>81043108.942907393</v>
      </c>
      <c r="DP5" s="68">
        <f>+'5 Cash Flow Operativo'!DQ19</f>
        <v>81043108.942907393</v>
      </c>
      <c r="DQ5" s="68">
        <f>+'5 Cash Flow Operativo'!DR19</f>
        <v>73706926.709071353</v>
      </c>
      <c r="DR5" s="68">
        <f>+'5 Cash Flow Operativo'!DS19</f>
        <v>81043108.942907393</v>
      </c>
      <c r="DS5" s="68">
        <f>+'5 Cash Flow Operativo'!DT19</f>
        <v>81043108.942907393</v>
      </c>
      <c r="DT5" s="68">
        <f>+'5 Cash Flow Operativo'!DU19</f>
        <v>75918134.510343492</v>
      </c>
      <c r="DU5" s="68">
        <f>+'5 Cash Flow Operativo'!DV19</f>
        <v>83474402.21119462</v>
      </c>
      <c r="DV5" s="68">
        <f>+'5 Cash Flow Operativo'!DW19</f>
        <v>81168737.518049955</v>
      </c>
      <c r="DW5" s="68">
        <f>+'5 Cash Flow Operativo'!DX19</f>
        <v>-1790178.1082612574</v>
      </c>
      <c r="DX5" s="68">
        <f>+'5 Cash Flow Operativo'!DY19</f>
        <v>83474402.21119462</v>
      </c>
      <c r="DY5" s="68">
        <f>+'5 Cash Flow Operativo'!DZ19</f>
        <v>83474402.21119462</v>
      </c>
      <c r="DZ5" s="68">
        <f>+'5 Cash Flow Operativo'!EA19</f>
        <v>75918134.510343492</v>
      </c>
      <c r="EA5" s="68">
        <f>+'5 Cash Flow Operativo'!EB19</f>
        <v>83474402.21119462</v>
      </c>
      <c r="EB5" s="68">
        <f>+'5 Cash Flow Operativo'!EC19</f>
        <v>83474402.21119462</v>
      </c>
      <c r="EC5" s="68">
        <f>+'5 Cash Flow Operativo'!ED19</f>
        <v>75918134.510343492</v>
      </c>
      <c r="ED5" s="68">
        <f>+'5 Cash Flow Operativo'!EE19</f>
        <v>83474402.21119462</v>
      </c>
      <c r="EE5" s="68">
        <f>+'5 Cash Flow Operativo'!EF19</f>
        <v>-4486223.4451701343</v>
      </c>
    </row>
    <row r="6" spans="3:135" s="47" customFormat="1" x14ac:dyDescent="0.25"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68"/>
      <c r="DZ6" s="68"/>
      <c r="EA6" s="68"/>
      <c r="EB6" s="68"/>
      <c r="EC6" s="68"/>
      <c r="ED6" s="68"/>
      <c r="EE6" s="68"/>
    </row>
    <row r="7" spans="3:135" s="47" customFormat="1" x14ac:dyDescent="0.25">
      <c r="C7" s="47" t="s">
        <v>92</v>
      </c>
      <c r="D7" s="68">
        <f>+D4+D5</f>
        <v>-2912878875</v>
      </c>
      <c r="E7" s="68">
        <f t="shared" ref="E7:BP7" si="0">+E4+E5</f>
        <v>1463361.1177411936</v>
      </c>
      <c r="F7" s="68">
        <f t="shared" si="0"/>
        <v>-260638.88225880638</v>
      </c>
      <c r="G7" s="68">
        <f t="shared" si="0"/>
        <v>-4186638.8822588064</v>
      </c>
      <c r="H7" s="68">
        <f t="shared" si="0"/>
        <v>1463361.1177411936</v>
      </c>
      <c r="I7" s="68">
        <f t="shared" si="0"/>
        <v>1463361.1177411936</v>
      </c>
      <c r="J7" s="68">
        <f t="shared" si="0"/>
        <v>-4186638.8822588064</v>
      </c>
      <c r="K7" s="68">
        <f t="shared" si="0"/>
        <v>1463361.1177411936</v>
      </c>
      <c r="L7" s="68">
        <f t="shared" si="0"/>
        <v>1463361.1177411936</v>
      </c>
      <c r="M7" s="68">
        <f t="shared" si="0"/>
        <v>-4186638.8822588064</v>
      </c>
      <c r="N7" s="68">
        <f t="shared" si="0"/>
        <v>1463361.1177411936</v>
      </c>
      <c r="O7" s="68">
        <f t="shared" si="0"/>
        <v>1463361.1177411936</v>
      </c>
      <c r="P7" s="68">
        <f t="shared" si="0"/>
        <v>3406043.7948303595</v>
      </c>
      <c r="Q7" s="68">
        <f t="shared" si="0"/>
        <v>9197293.7948303595</v>
      </c>
      <c r="R7" s="68">
        <f t="shared" si="0"/>
        <v>7430193.7948303595</v>
      </c>
      <c r="S7" s="68">
        <f t="shared" si="0"/>
        <v>3406043.7948303595</v>
      </c>
      <c r="T7" s="68">
        <f t="shared" si="0"/>
        <v>9197293.7948303595</v>
      </c>
      <c r="U7" s="68">
        <f t="shared" si="0"/>
        <v>9197293.7948303595</v>
      </c>
      <c r="V7" s="68">
        <f t="shared" si="0"/>
        <v>3406043.7948303595</v>
      </c>
      <c r="W7" s="68">
        <f t="shared" si="0"/>
        <v>9197293.7948303595</v>
      </c>
      <c r="X7" s="68">
        <f t="shared" si="0"/>
        <v>9197293.7948303595</v>
      </c>
      <c r="Y7" s="68">
        <f t="shared" si="0"/>
        <v>3406043.7948303595</v>
      </c>
      <c r="Z7" s="68">
        <f t="shared" si="0"/>
        <v>9197293.7948303595</v>
      </c>
      <c r="AA7" s="68">
        <f t="shared" si="0"/>
        <v>9197293.7948303595</v>
      </c>
      <c r="AB7" s="68">
        <f t="shared" si="0"/>
        <v>15155984.067313548</v>
      </c>
      <c r="AC7" s="68">
        <f t="shared" si="0"/>
        <v>21120971.567313548</v>
      </c>
      <c r="AD7" s="68">
        <f t="shared" si="0"/>
        <v>19300858.567313548</v>
      </c>
      <c r="AE7" s="68">
        <f t="shared" si="0"/>
        <v>15155984.067313548</v>
      </c>
      <c r="AF7" s="68">
        <f t="shared" si="0"/>
        <v>21120971.567313548</v>
      </c>
      <c r="AG7" s="68">
        <f t="shared" si="0"/>
        <v>21120971.567313548</v>
      </c>
      <c r="AH7" s="68">
        <f t="shared" si="0"/>
        <v>15155984.067313548</v>
      </c>
      <c r="AI7" s="68">
        <f t="shared" si="0"/>
        <v>21120971.567313548</v>
      </c>
      <c r="AJ7" s="68">
        <f t="shared" si="0"/>
        <v>21120971.567313548</v>
      </c>
      <c r="AK7" s="68">
        <f t="shared" si="0"/>
        <v>15155984.067313548</v>
      </c>
      <c r="AL7" s="68">
        <f t="shared" si="0"/>
        <v>21120971.567313548</v>
      </c>
      <c r="AM7" s="68">
        <f t="shared" si="0"/>
        <v>21120971.567313548</v>
      </c>
      <c r="AN7" s="68">
        <f t="shared" si="0"/>
        <v>31574949.004362866</v>
      </c>
      <c r="AO7" s="68">
        <f t="shared" si="0"/>
        <v>37718886.129362866</v>
      </c>
      <c r="AP7" s="68">
        <f t="shared" si="0"/>
        <v>35844169.739362866</v>
      </c>
      <c r="AQ7" s="68">
        <f t="shared" si="0"/>
        <v>25719648.052336521</v>
      </c>
      <c r="AR7" s="68">
        <f t="shared" si="0"/>
        <v>37718886.129362866</v>
      </c>
      <c r="AS7" s="68">
        <f t="shared" si="0"/>
        <v>37718886.129362866</v>
      </c>
      <c r="AT7" s="68">
        <f t="shared" si="0"/>
        <v>31574949.004362866</v>
      </c>
      <c r="AU7" s="68">
        <f t="shared" si="0"/>
        <v>37718886.129362866</v>
      </c>
      <c r="AV7" s="68">
        <f t="shared" si="0"/>
        <v>37718886.129362866</v>
      </c>
      <c r="AW7" s="68">
        <f t="shared" si="0"/>
        <v>31574949.004362866</v>
      </c>
      <c r="AX7" s="68">
        <f t="shared" si="0"/>
        <v>37718886.129362866</v>
      </c>
      <c r="AY7" s="68">
        <f t="shared" si="0"/>
        <v>37718886.129362866</v>
      </c>
      <c r="AZ7" s="68">
        <f t="shared" si="0"/>
        <v>48908961.175154552</v>
      </c>
      <c r="BA7" s="68">
        <f t="shared" si="0"/>
        <v>55237216.413904555</v>
      </c>
      <c r="BB7" s="68">
        <f t="shared" si="0"/>
        <v>53306258.532204553</v>
      </c>
      <c r="BC7" s="68">
        <f t="shared" si="0"/>
        <v>24386699.994771063</v>
      </c>
      <c r="BD7" s="68">
        <f t="shared" si="0"/>
        <v>55237216.413904555</v>
      </c>
      <c r="BE7" s="68">
        <f t="shared" si="0"/>
        <v>55237216.413904555</v>
      </c>
      <c r="BF7" s="68">
        <f t="shared" si="0"/>
        <v>48908961.175154552</v>
      </c>
      <c r="BG7" s="68">
        <f t="shared" si="0"/>
        <v>55237216.413904555</v>
      </c>
      <c r="BH7" s="68">
        <f t="shared" si="0"/>
        <v>55237216.413904555</v>
      </c>
      <c r="BI7" s="68">
        <f t="shared" si="0"/>
        <v>48908961.175154552</v>
      </c>
      <c r="BJ7" s="68">
        <f t="shared" si="0"/>
        <v>55237216.413904555</v>
      </c>
      <c r="BK7" s="68">
        <f t="shared" si="0"/>
        <v>55237216.413904555</v>
      </c>
      <c r="BL7" s="68">
        <f t="shared" si="0"/>
        <v>54621259.569321387</v>
      </c>
      <c r="BM7" s="68">
        <f t="shared" si="0"/>
        <v>61139362.465233885</v>
      </c>
      <c r="BN7" s="68">
        <f t="shared" si="0"/>
        <v>59150475.847082883</v>
      </c>
      <c r="BO7" s="68">
        <f t="shared" si="0"/>
        <v>10359868.159986854</v>
      </c>
      <c r="BP7" s="68">
        <f t="shared" si="0"/>
        <v>61139362.465233885</v>
      </c>
      <c r="BQ7" s="68">
        <f t="shared" ref="BQ7:EB7" si="1">+BQ4+BQ5</f>
        <v>61139362.465233885</v>
      </c>
      <c r="BR7" s="68">
        <f t="shared" si="1"/>
        <v>54621259.569321387</v>
      </c>
      <c r="BS7" s="68">
        <f t="shared" si="1"/>
        <v>61139362.465233885</v>
      </c>
      <c r="BT7" s="68">
        <f t="shared" si="1"/>
        <v>61139362.465233885</v>
      </c>
      <c r="BU7" s="68">
        <f t="shared" si="1"/>
        <v>54621259.569321387</v>
      </c>
      <c r="BV7" s="68">
        <f t="shared" si="1"/>
        <v>61139362.465233885</v>
      </c>
      <c r="BW7" s="68">
        <f t="shared" si="1"/>
        <v>61139362.465233885</v>
      </c>
      <c r="BX7" s="68">
        <f t="shared" si="1"/>
        <v>56378425.885035232</v>
      </c>
      <c r="BY7" s="68">
        <f t="shared" si="1"/>
        <v>63092071.867825106</v>
      </c>
      <c r="BZ7" s="68">
        <f t="shared" si="1"/>
        <v>61043518.651129574</v>
      </c>
      <c r="CA7" s="68">
        <f t="shared" si="1"/>
        <v>4837311.1754033864</v>
      </c>
      <c r="CB7" s="68">
        <f t="shared" si="1"/>
        <v>63092071.867825106</v>
      </c>
      <c r="CC7" s="68">
        <f t="shared" si="1"/>
        <v>63092071.867825106</v>
      </c>
      <c r="CD7" s="68">
        <f t="shared" si="1"/>
        <v>56378425.885035232</v>
      </c>
      <c r="CE7" s="68">
        <f t="shared" si="1"/>
        <v>63092071.867825106</v>
      </c>
      <c r="CF7" s="68">
        <f t="shared" si="1"/>
        <v>63092071.867825106</v>
      </c>
      <c r="CG7" s="68">
        <f t="shared" si="1"/>
        <v>56378425.885035232</v>
      </c>
      <c r="CH7" s="68">
        <f t="shared" si="1"/>
        <v>63092071.867825106</v>
      </c>
      <c r="CI7" s="68">
        <f t="shared" si="1"/>
        <v>63092071.867825106</v>
      </c>
      <c r="CJ7" s="68">
        <f t="shared" si="1"/>
        <v>57947694.277093053</v>
      </c>
      <c r="CK7" s="68">
        <f t="shared" si="1"/>
        <v>64862749.639366627</v>
      </c>
      <c r="CL7" s="68">
        <f t="shared" si="1"/>
        <v>62752739.826170228</v>
      </c>
      <c r="CM7" s="68">
        <f t="shared" si="1"/>
        <v>16494081.855966091</v>
      </c>
      <c r="CN7" s="68">
        <f t="shared" si="1"/>
        <v>64862749.639366627</v>
      </c>
      <c r="CO7" s="68">
        <f t="shared" si="1"/>
        <v>64862749.639366627</v>
      </c>
      <c r="CP7" s="68">
        <f t="shared" si="1"/>
        <v>57947694.277093053</v>
      </c>
      <c r="CQ7" s="68">
        <f t="shared" si="1"/>
        <v>64862749.639366627</v>
      </c>
      <c r="CR7" s="68">
        <f t="shared" si="1"/>
        <v>64862749.639366627</v>
      </c>
      <c r="CS7" s="68">
        <f t="shared" si="1"/>
        <v>57947694.277093053</v>
      </c>
      <c r="CT7" s="68">
        <f t="shared" si="1"/>
        <v>64862749.639366627</v>
      </c>
      <c r="CU7" s="68">
        <f t="shared" si="1"/>
        <v>64862749.639366627</v>
      </c>
      <c r="CV7" s="68">
        <f t="shared" si="1"/>
        <v>59686125.105405845</v>
      </c>
      <c r="CW7" s="68">
        <f t="shared" si="1"/>
        <v>66808632.128547624</v>
      </c>
      <c r="CX7" s="68">
        <f t="shared" si="1"/>
        <v>64635322.020955339</v>
      </c>
      <c r="CY7" s="68">
        <f t="shared" si="1"/>
        <v>2018834.5616777688</v>
      </c>
      <c r="CZ7" s="68">
        <f t="shared" si="1"/>
        <v>66808632.128547624</v>
      </c>
      <c r="DA7" s="68">
        <f t="shared" si="1"/>
        <v>66808632.128547624</v>
      </c>
      <c r="DB7" s="68">
        <f t="shared" si="1"/>
        <v>59686125.105405845</v>
      </c>
      <c r="DC7" s="68">
        <f t="shared" si="1"/>
        <v>66808632.128547624</v>
      </c>
      <c r="DD7" s="68">
        <f t="shared" si="1"/>
        <v>66808632.128547624</v>
      </c>
      <c r="DE7" s="68">
        <f t="shared" si="1"/>
        <v>59686125.105405845</v>
      </c>
      <c r="DF7" s="68">
        <f t="shared" si="1"/>
        <v>66808632.128547624</v>
      </c>
      <c r="DG7" s="68">
        <f t="shared" si="1"/>
        <v>66808632.128547624</v>
      </c>
      <c r="DH7" s="68">
        <f t="shared" si="1"/>
        <v>73706926.709071353</v>
      </c>
      <c r="DI7" s="68">
        <f t="shared" si="1"/>
        <v>81043108.942907393</v>
      </c>
      <c r="DJ7" s="68">
        <f t="shared" si="1"/>
        <v>78804599.532087326</v>
      </c>
      <c r="DK7" s="68">
        <f t="shared" si="1"/>
        <v>12718333.027343631</v>
      </c>
      <c r="DL7" s="68">
        <f t="shared" si="1"/>
        <v>81043108.942907393</v>
      </c>
      <c r="DM7" s="68">
        <f t="shared" si="1"/>
        <v>81043108.942907393</v>
      </c>
      <c r="DN7" s="68">
        <f t="shared" si="1"/>
        <v>73706926.709071353</v>
      </c>
      <c r="DO7" s="68">
        <f t="shared" si="1"/>
        <v>81043108.942907393</v>
      </c>
      <c r="DP7" s="68">
        <f t="shared" si="1"/>
        <v>81043108.942907393</v>
      </c>
      <c r="DQ7" s="68">
        <f t="shared" si="1"/>
        <v>73706926.709071353</v>
      </c>
      <c r="DR7" s="68">
        <f t="shared" si="1"/>
        <v>81043108.942907393</v>
      </c>
      <c r="DS7" s="68">
        <f t="shared" si="1"/>
        <v>81043108.942907393</v>
      </c>
      <c r="DT7" s="68">
        <f t="shared" si="1"/>
        <v>75918134.510343492</v>
      </c>
      <c r="DU7" s="68">
        <f t="shared" si="1"/>
        <v>83474402.21119462</v>
      </c>
      <c r="DV7" s="68">
        <f t="shared" si="1"/>
        <v>81168737.518049955</v>
      </c>
      <c r="DW7" s="68">
        <f t="shared" si="1"/>
        <v>-1790178.1082612574</v>
      </c>
      <c r="DX7" s="68">
        <f t="shared" si="1"/>
        <v>83474402.21119462</v>
      </c>
      <c r="DY7" s="68">
        <f t="shared" si="1"/>
        <v>83474402.21119462</v>
      </c>
      <c r="DZ7" s="68">
        <f t="shared" si="1"/>
        <v>75918134.510343492</v>
      </c>
      <c r="EA7" s="68">
        <f t="shared" si="1"/>
        <v>83474402.21119462</v>
      </c>
      <c r="EB7" s="68">
        <f t="shared" si="1"/>
        <v>83474402.21119462</v>
      </c>
      <c r="EC7" s="68">
        <f>+EC4+EC5</f>
        <v>75918134.510343492</v>
      </c>
      <c r="ED7" s="68">
        <f>+ED4+ED5</f>
        <v>83474402.21119462</v>
      </c>
      <c r="EE7" s="68">
        <f>+EE4+EE5</f>
        <v>3340865860.4702868</v>
      </c>
    </row>
    <row r="9" spans="3:135" x14ac:dyDescent="0.25">
      <c r="C9" s="47" t="s">
        <v>93</v>
      </c>
      <c r="D9" s="75">
        <f>+IRR(D7:EE7)</f>
        <v>1.210288497726264E-2</v>
      </c>
      <c r="E9" s="47" t="s">
        <v>41</v>
      </c>
      <c r="F9" s="76">
        <f>+(1+D9)^12-1</f>
        <v>0.15530313991738232</v>
      </c>
      <c r="G9" s="47" t="s">
        <v>40</v>
      </c>
    </row>
    <row r="10" spans="3:135" x14ac:dyDescent="0.25">
      <c r="C10" s="47" t="s">
        <v>94</v>
      </c>
      <c r="D10" s="77">
        <f>+NPV('6 WACC'!E24,'7 Cash Flow Proyecto'!E7:EE7)+D7</f>
        <v>1042705505.1597118</v>
      </c>
      <c r="E10" s="51" t="s">
        <v>218</v>
      </c>
      <c r="F10" s="47"/>
      <c r="G10" s="47"/>
    </row>
    <row r="16" spans="3:135" ht="17.399999999999999" x14ac:dyDescent="0.3">
      <c r="C16" s="78" t="s">
        <v>213</v>
      </c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</row>
    <row r="18" spans="3:14" s="81" customFormat="1" x14ac:dyDescent="0.25">
      <c r="C18" s="79"/>
      <c r="D18" s="80">
        <v>2021</v>
      </c>
      <c r="E18" s="80">
        <f>+D18+1</f>
        <v>2022</v>
      </c>
      <c r="F18" s="80">
        <f t="shared" ref="F18:N18" si="2">+E18+1</f>
        <v>2023</v>
      </c>
      <c r="G18" s="80">
        <f t="shared" si="2"/>
        <v>2024</v>
      </c>
      <c r="H18" s="80">
        <f t="shared" si="2"/>
        <v>2025</v>
      </c>
      <c r="I18" s="80">
        <f t="shared" si="2"/>
        <v>2026</v>
      </c>
      <c r="J18" s="80">
        <f t="shared" si="2"/>
        <v>2027</v>
      </c>
      <c r="K18" s="80">
        <f t="shared" si="2"/>
        <v>2028</v>
      </c>
      <c r="L18" s="80">
        <f t="shared" si="2"/>
        <v>2029</v>
      </c>
      <c r="M18" s="80">
        <f t="shared" si="2"/>
        <v>2030</v>
      </c>
      <c r="N18" s="80">
        <f t="shared" si="2"/>
        <v>2031</v>
      </c>
    </row>
    <row r="19" spans="3:14" x14ac:dyDescent="0.25"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</row>
    <row r="20" spans="3:14" x14ac:dyDescent="0.25">
      <c r="C20" s="48" t="str">
        <f>+C4</f>
        <v>FC INVERSIÓN</v>
      </c>
      <c r="D20" s="68">
        <f>+'6 Cash Flow Inversion'!C36</f>
        <v>-2900000000</v>
      </c>
      <c r="E20" s="68">
        <f>+'6 Cash Flow Inversion'!D36</f>
        <v>0</v>
      </c>
      <c r="F20" s="68">
        <f>+'6 Cash Flow Inversion'!E36</f>
        <v>0</v>
      </c>
      <c r="G20" s="68">
        <f>+'6 Cash Flow Inversion'!F36</f>
        <v>0</v>
      </c>
      <c r="H20" s="68">
        <f>+'6 Cash Flow Inversion'!G36</f>
        <v>0</v>
      </c>
      <c r="I20" s="68">
        <f>+'6 Cash Flow Inversion'!H36</f>
        <v>0</v>
      </c>
      <c r="J20" s="68">
        <f>+'6 Cash Flow Inversion'!I36</f>
        <v>0</v>
      </c>
      <c r="K20" s="68">
        <f>+'6 Cash Flow Inversion'!J36</f>
        <v>0</v>
      </c>
      <c r="L20" s="68">
        <f>+'6 Cash Flow Inversion'!K36</f>
        <v>0</v>
      </c>
      <c r="M20" s="68">
        <f>+'6 Cash Flow Inversion'!L36</f>
        <v>0</v>
      </c>
      <c r="N20" s="68">
        <f>+'6 Cash Flow Inversion'!M36</f>
        <v>3345352083.9154568</v>
      </c>
    </row>
    <row r="21" spans="3:14" x14ac:dyDescent="0.25">
      <c r="C21" s="48" t="str">
        <f>+C5</f>
        <v>FC OPERATIVO</v>
      </c>
      <c r="D21" s="68">
        <f>+'5 Cash Flow Operativo'!E42</f>
        <v>-15455902.704846859</v>
      </c>
      <c r="E21" s="68">
        <f>+'5 Cash Flow Operativo'!F42</f>
        <v>85435425.537964284</v>
      </c>
      <c r="F21" s="68">
        <f>+'5 Cash Flow Operativo'!G42</f>
        <v>227771595.80776256</v>
      </c>
      <c r="G21" s="68">
        <f>+'5 Cash Flow Operativo'!H42</f>
        <v>420320867.7103281</v>
      </c>
      <c r="H21" s="68">
        <f>+'5 Cash Flow Operativo'!I42</f>
        <v>611080356.94977093</v>
      </c>
      <c r="I21" s="68">
        <f>+'5 Cash Flow Operativo'!J42</f>
        <v>661349659.97167099</v>
      </c>
      <c r="J21" s="68">
        <f>+'5 Cash Flow Operativo'!K42</f>
        <v>676660610.55641413</v>
      </c>
      <c r="K21" s="68">
        <f>+'5 Cash Flow Operativo'!L42</f>
        <v>707129151.98898172</v>
      </c>
      <c r="L21" s="68">
        <f>+'5 Cash Flow Operativo'!M42</f>
        <v>713372956.79868436</v>
      </c>
      <c r="M21" s="68">
        <f>+'5 Cash Flow Operativo'!N42</f>
        <v>879945475.28699684</v>
      </c>
      <c r="N21" s="68">
        <f>+'5 Cash Flow Operativo'!O42</f>
        <v>803493152.76281691</v>
      </c>
    </row>
    <row r="22" spans="3:14" x14ac:dyDescent="0.25">
      <c r="C22" s="48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</row>
    <row r="23" spans="3:14" x14ac:dyDescent="0.25">
      <c r="C23" s="48" t="str">
        <f>+C7</f>
        <v>FC PROYECTO</v>
      </c>
      <c r="D23" s="68">
        <f>+D20+D21</f>
        <v>-2915455902.7048469</v>
      </c>
      <c r="E23" s="68">
        <f t="shared" ref="E23:N23" si="3">+E20+E21</f>
        <v>85435425.537964284</v>
      </c>
      <c r="F23" s="68">
        <f t="shared" si="3"/>
        <v>227771595.80776256</v>
      </c>
      <c r="G23" s="68">
        <f t="shared" si="3"/>
        <v>420320867.7103281</v>
      </c>
      <c r="H23" s="68">
        <f t="shared" si="3"/>
        <v>611080356.94977093</v>
      </c>
      <c r="I23" s="68">
        <f t="shared" si="3"/>
        <v>661349659.97167099</v>
      </c>
      <c r="J23" s="68">
        <f t="shared" si="3"/>
        <v>676660610.55641413</v>
      </c>
      <c r="K23" s="68">
        <f t="shared" si="3"/>
        <v>707129151.98898172</v>
      </c>
      <c r="L23" s="68">
        <f t="shared" si="3"/>
        <v>713372956.79868436</v>
      </c>
      <c r="M23" s="68">
        <f t="shared" si="3"/>
        <v>879945475.28699684</v>
      </c>
      <c r="N23" s="68">
        <f t="shared" si="3"/>
        <v>4148845236.6782737</v>
      </c>
    </row>
    <row r="24" spans="3:14" x14ac:dyDescent="0.25">
      <c r="C24" s="48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  <row r="25" spans="3:14" x14ac:dyDescent="0.25">
      <c r="C25" s="48" t="str">
        <f>+C9</f>
        <v>TIR</v>
      </c>
      <c r="D25" s="58">
        <f>+IRR(D23:N23)</f>
        <v>0.16963890375145985</v>
      </c>
      <c r="E25" s="45" t="s">
        <v>95</v>
      </c>
      <c r="F25" s="45"/>
      <c r="G25" s="45"/>
      <c r="H25" s="45"/>
      <c r="I25" s="45"/>
      <c r="J25" s="45"/>
      <c r="K25" s="45"/>
      <c r="L25" s="45"/>
      <c r="M25" s="45"/>
      <c r="N25" s="45"/>
    </row>
    <row r="26" spans="3:14" x14ac:dyDescent="0.25">
      <c r="C26" s="48" t="str">
        <f>+C10</f>
        <v>VPN</v>
      </c>
      <c r="D26" s="57">
        <f>+NPV('6 WACC'!C24,'7 Cash Flow Proyecto'!E23:N23)+'7 Cash Flow Proyecto'!D23</f>
        <v>1292447796.7923641</v>
      </c>
      <c r="E26" s="82" t="s">
        <v>219</v>
      </c>
      <c r="F26" s="45"/>
      <c r="G26" s="45"/>
      <c r="H26" s="45"/>
      <c r="I26" s="45"/>
      <c r="J26" s="45"/>
      <c r="K26" s="45"/>
      <c r="L26" s="45"/>
      <c r="M26" s="45"/>
      <c r="N26" s="45"/>
    </row>
    <row r="27" spans="3:14" x14ac:dyDescent="0.25">
      <c r="D27" s="57"/>
    </row>
    <row r="28" spans="3:14" x14ac:dyDescent="0.25">
      <c r="D28" s="68">
        <f>SUM(D7:EE7)</f>
        <v>6216455434.5820026</v>
      </c>
    </row>
    <row r="29" spans="3:14" x14ac:dyDescent="0.25">
      <c r="D29" s="68">
        <f>SUM(D23:N23)</f>
        <v>6216455434.5820007</v>
      </c>
    </row>
    <row r="30" spans="3:14" x14ac:dyDescent="0.25">
      <c r="C30" s="42"/>
      <c r="D30" s="83">
        <f>+D28-D29</f>
        <v>0</v>
      </c>
      <c r="E30" s="42"/>
      <c r="F30" s="42"/>
      <c r="G30" s="42"/>
      <c r="H30" s="42"/>
      <c r="I30" s="42"/>
      <c r="J30" s="42"/>
      <c r="K30" s="42"/>
      <c r="L30" s="42"/>
      <c r="M30" s="42"/>
      <c r="N30" s="42"/>
    </row>
  </sheetData>
  <mergeCells count="12">
    <mergeCell ref="C16:N16"/>
    <mergeCell ref="BX1:CI1"/>
    <mergeCell ref="CJ1:CU1"/>
    <mergeCell ref="CV1:DG1"/>
    <mergeCell ref="DH1:DS1"/>
    <mergeCell ref="DT1:EE1"/>
    <mergeCell ref="BL1:BW1"/>
    <mergeCell ref="D1:O1"/>
    <mergeCell ref="P1:AA1"/>
    <mergeCell ref="AB1:AM1"/>
    <mergeCell ref="AN1:AY1"/>
    <mergeCell ref="AZ1:BK1"/>
  </mergeCells>
  <conditionalFormatting sqref="A4:XFD7">
    <cfRule type="cellIs" dxfId="76" priority="13" operator="lessThan">
      <formula>0</formula>
    </cfRule>
  </conditionalFormatting>
  <conditionalFormatting sqref="D10">
    <cfRule type="cellIs" dxfId="75" priority="12" operator="lessThan">
      <formula>0</formula>
    </cfRule>
  </conditionalFormatting>
  <conditionalFormatting sqref="D23:N23">
    <cfRule type="cellIs" dxfId="74" priority="8" operator="lessThan">
      <formula>0</formula>
    </cfRule>
  </conditionalFormatting>
  <conditionalFormatting sqref="C20:C26 D21:N21">
    <cfRule type="cellIs" dxfId="73" priority="10" operator="lessThan">
      <formula>0</formula>
    </cfRule>
  </conditionalFormatting>
  <conditionalFormatting sqref="D20:N20">
    <cfRule type="cellIs" dxfId="72" priority="9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scale="4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B1:ED23"/>
  <sheetViews>
    <sheetView showGridLines="0" zoomScale="85" zoomScaleNormal="85" workbookViewId="0"/>
  </sheetViews>
  <sheetFormatPr defaultColWidth="11.44140625" defaultRowHeight="13.8" x14ac:dyDescent="0.25"/>
  <cols>
    <col min="1" max="1" width="1" style="36" customWidth="1"/>
    <col min="2" max="2" width="26.109375" style="36" customWidth="1"/>
    <col min="3" max="13" width="21" style="64" customWidth="1"/>
    <col min="14" max="122" width="15.33203125" style="64" bestFit="1" customWidth="1"/>
    <col min="123" max="134" width="11.5546875" style="64" bestFit="1" customWidth="1"/>
    <col min="135" max="16384" width="11.44140625" style="36"/>
  </cols>
  <sheetData>
    <row r="1" spans="2:134" s="65" customFormat="1" ht="20.399999999999999" x14ac:dyDescent="0.35">
      <c r="C1" s="66">
        <v>2021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>
        <v>2022</v>
      </c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>
        <v>2023</v>
      </c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>
        <v>2024</v>
      </c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>
        <v>2025</v>
      </c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>
        <v>2026</v>
      </c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>
        <v>2027</v>
      </c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>
        <v>2028</v>
      </c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>
        <v>2029</v>
      </c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>
        <v>2030</v>
      </c>
      <c r="DH1" s="66"/>
      <c r="DI1" s="66"/>
      <c r="DJ1" s="66"/>
      <c r="DK1" s="66"/>
      <c r="DL1" s="66"/>
      <c r="DM1" s="66"/>
      <c r="DN1" s="66"/>
      <c r="DO1" s="66"/>
      <c r="DP1" s="66"/>
      <c r="DQ1" s="66"/>
      <c r="DR1" s="66"/>
      <c r="DS1" s="66">
        <v>2031</v>
      </c>
      <c r="DT1" s="66"/>
      <c r="DU1" s="66"/>
      <c r="DV1" s="66"/>
      <c r="DW1" s="66"/>
      <c r="DX1" s="66"/>
      <c r="DY1" s="66"/>
      <c r="DZ1" s="66"/>
      <c r="EA1" s="66"/>
      <c r="EB1" s="66"/>
      <c r="EC1" s="66"/>
      <c r="ED1" s="66"/>
    </row>
    <row r="2" spans="2:134" s="55" customFormat="1" x14ac:dyDescent="0.25">
      <c r="C2" s="67" t="s">
        <v>69</v>
      </c>
      <c r="D2" s="67" t="s">
        <v>70</v>
      </c>
      <c r="E2" s="67" t="s">
        <v>71</v>
      </c>
      <c r="F2" s="67" t="s">
        <v>58</v>
      </c>
      <c r="G2" s="67" t="s">
        <v>72</v>
      </c>
      <c r="H2" s="67" t="s">
        <v>73</v>
      </c>
      <c r="I2" s="67" t="s">
        <v>74</v>
      </c>
      <c r="J2" s="67" t="s">
        <v>75</v>
      </c>
      <c r="K2" s="67" t="s">
        <v>76</v>
      </c>
      <c r="L2" s="67" t="s">
        <v>77</v>
      </c>
      <c r="M2" s="67" t="s">
        <v>78</v>
      </c>
      <c r="N2" s="67" t="s">
        <v>79</v>
      </c>
      <c r="O2" s="67" t="s">
        <v>69</v>
      </c>
      <c r="P2" s="67" t="s">
        <v>70</v>
      </c>
      <c r="Q2" s="67" t="s">
        <v>71</v>
      </c>
      <c r="R2" s="67" t="s">
        <v>58</v>
      </c>
      <c r="S2" s="67" t="s">
        <v>72</v>
      </c>
      <c r="T2" s="67" t="s">
        <v>73</v>
      </c>
      <c r="U2" s="67" t="s">
        <v>74</v>
      </c>
      <c r="V2" s="67" t="s">
        <v>75</v>
      </c>
      <c r="W2" s="67" t="s">
        <v>76</v>
      </c>
      <c r="X2" s="67" t="s">
        <v>77</v>
      </c>
      <c r="Y2" s="67" t="s">
        <v>78</v>
      </c>
      <c r="Z2" s="67" t="s">
        <v>79</v>
      </c>
      <c r="AA2" s="67" t="s">
        <v>69</v>
      </c>
      <c r="AB2" s="67" t="s">
        <v>70</v>
      </c>
      <c r="AC2" s="67" t="s">
        <v>71</v>
      </c>
      <c r="AD2" s="67" t="s">
        <v>58</v>
      </c>
      <c r="AE2" s="67" t="s">
        <v>72</v>
      </c>
      <c r="AF2" s="67" t="s">
        <v>73</v>
      </c>
      <c r="AG2" s="67" t="s">
        <v>74</v>
      </c>
      <c r="AH2" s="67" t="s">
        <v>75</v>
      </c>
      <c r="AI2" s="67" t="s">
        <v>76</v>
      </c>
      <c r="AJ2" s="67" t="s">
        <v>77</v>
      </c>
      <c r="AK2" s="67" t="s">
        <v>78</v>
      </c>
      <c r="AL2" s="67" t="s">
        <v>79</v>
      </c>
      <c r="AM2" s="67" t="s">
        <v>69</v>
      </c>
      <c r="AN2" s="67" t="s">
        <v>70</v>
      </c>
      <c r="AO2" s="67" t="s">
        <v>71</v>
      </c>
      <c r="AP2" s="67" t="s">
        <v>58</v>
      </c>
      <c r="AQ2" s="67" t="s">
        <v>72</v>
      </c>
      <c r="AR2" s="67" t="s">
        <v>73</v>
      </c>
      <c r="AS2" s="67" t="s">
        <v>74</v>
      </c>
      <c r="AT2" s="67" t="s">
        <v>75</v>
      </c>
      <c r="AU2" s="67" t="s">
        <v>76</v>
      </c>
      <c r="AV2" s="67" t="s">
        <v>77</v>
      </c>
      <c r="AW2" s="67" t="s">
        <v>78</v>
      </c>
      <c r="AX2" s="67" t="s">
        <v>79</v>
      </c>
      <c r="AY2" s="67" t="s">
        <v>69</v>
      </c>
      <c r="AZ2" s="67" t="s">
        <v>70</v>
      </c>
      <c r="BA2" s="67" t="s">
        <v>71</v>
      </c>
      <c r="BB2" s="67" t="s">
        <v>58</v>
      </c>
      <c r="BC2" s="67" t="s">
        <v>72</v>
      </c>
      <c r="BD2" s="67" t="s">
        <v>73</v>
      </c>
      <c r="BE2" s="67" t="s">
        <v>74</v>
      </c>
      <c r="BF2" s="67" t="s">
        <v>75</v>
      </c>
      <c r="BG2" s="67" t="s">
        <v>76</v>
      </c>
      <c r="BH2" s="67" t="s">
        <v>77</v>
      </c>
      <c r="BI2" s="67" t="s">
        <v>78</v>
      </c>
      <c r="BJ2" s="67" t="s">
        <v>79</v>
      </c>
      <c r="BK2" s="67" t="s">
        <v>69</v>
      </c>
      <c r="BL2" s="67" t="s">
        <v>70</v>
      </c>
      <c r="BM2" s="67" t="s">
        <v>71</v>
      </c>
      <c r="BN2" s="67" t="s">
        <v>58</v>
      </c>
      <c r="BO2" s="67" t="s">
        <v>72</v>
      </c>
      <c r="BP2" s="67" t="s">
        <v>73</v>
      </c>
      <c r="BQ2" s="67" t="s">
        <v>74</v>
      </c>
      <c r="BR2" s="67" t="s">
        <v>75</v>
      </c>
      <c r="BS2" s="67" t="s">
        <v>76</v>
      </c>
      <c r="BT2" s="67" t="s">
        <v>77</v>
      </c>
      <c r="BU2" s="67" t="s">
        <v>78</v>
      </c>
      <c r="BV2" s="67" t="s">
        <v>79</v>
      </c>
      <c r="BW2" s="67" t="s">
        <v>69</v>
      </c>
      <c r="BX2" s="67" t="s">
        <v>70</v>
      </c>
      <c r="BY2" s="67" t="s">
        <v>71</v>
      </c>
      <c r="BZ2" s="67" t="s">
        <v>58</v>
      </c>
      <c r="CA2" s="67" t="s">
        <v>72</v>
      </c>
      <c r="CB2" s="67" t="s">
        <v>73</v>
      </c>
      <c r="CC2" s="67" t="s">
        <v>74</v>
      </c>
      <c r="CD2" s="67" t="s">
        <v>75</v>
      </c>
      <c r="CE2" s="67" t="s">
        <v>76</v>
      </c>
      <c r="CF2" s="67" t="s">
        <v>77</v>
      </c>
      <c r="CG2" s="67" t="s">
        <v>78</v>
      </c>
      <c r="CH2" s="67" t="s">
        <v>79</v>
      </c>
      <c r="CI2" s="67" t="s">
        <v>69</v>
      </c>
      <c r="CJ2" s="67" t="s">
        <v>70</v>
      </c>
      <c r="CK2" s="67" t="s">
        <v>71</v>
      </c>
      <c r="CL2" s="67" t="s">
        <v>58</v>
      </c>
      <c r="CM2" s="67" t="s">
        <v>72</v>
      </c>
      <c r="CN2" s="67" t="s">
        <v>73</v>
      </c>
      <c r="CO2" s="67" t="s">
        <v>74</v>
      </c>
      <c r="CP2" s="67" t="s">
        <v>75</v>
      </c>
      <c r="CQ2" s="67" t="s">
        <v>76</v>
      </c>
      <c r="CR2" s="67" t="s">
        <v>77</v>
      </c>
      <c r="CS2" s="67" t="s">
        <v>78</v>
      </c>
      <c r="CT2" s="67" t="s">
        <v>79</v>
      </c>
      <c r="CU2" s="67" t="s">
        <v>69</v>
      </c>
      <c r="CV2" s="67" t="s">
        <v>70</v>
      </c>
      <c r="CW2" s="67" t="s">
        <v>71</v>
      </c>
      <c r="CX2" s="67" t="s">
        <v>58</v>
      </c>
      <c r="CY2" s="67" t="s">
        <v>72</v>
      </c>
      <c r="CZ2" s="67" t="s">
        <v>73</v>
      </c>
      <c r="DA2" s="67" t="s">
        <v>74</v>
      </c>
      <c r="DB2" s="67" t="s">
        <v>75</v>
      </c>
      <c r="DC2" s="67" t="s">
        <v>76</v>
      </c>
      <c r="DD2" s="67" t="s">
        <v>77</v>
      </c>
      <c r="DE2" s="67" t="s">
        <v>78</v>
      </c>
      <c r="DF2" s="67" t="s">
        <v>79</v>
      </c>
      <c r="DG2" s="67" t="s">
        <v>69</v>
      </c>
      <c r="DH2" s="67" t="s">
        <v>70</v>
      </c>
      <c r="DI2" s="67" t="s">
        <v>71</v>
      </c>
      <c r="DJ2" s="67" t="s">
        <v>58</v>
      </c>
      <c r="DK2" s="67" t="s">
        <v>72</v>
      </c>
      <c r="DL2" s="67" t="s">
        <v>73</v>
      </c>
      <c r="DM2" s="67" t="s">
        <v>74</v>
      </c>
      <c r="DN2" s="67" t="s">
        <v>75</v>
      </c>
      <c r="DO2" s="67" t="s">
        <v>76</v>
      </c>
      <c r="DP2" s="67" t="s">
        <v>77</v>
      </c>
      <c r="DQ2" s="67" t="s">
        <v>78</v>
      </c>
      <c r="DR2" s="67" t="s">
        <v>79</v>
      </c>
      <c r="DS2" s="67" t="s">
        <v>69</v>
      </c>
      <c r="DT2" s="67" t="s">
        <v>70</v>
      </c>
      <c r="DU2" s="67" t="s">
        <v>71</v>
      </c>
      <c r="DV2" s="67" t="s">
        <v>58</v>
      </c>
      <c r="DW2" s="67" t="s">
        <v>72</v>
      </c>
      <c r="DX2" s="67" t="s">
        <v>73</v>
      </c>
      <c r="DY2" s="67" t="s">
        <v>74</v>
      </c>
      <c r="DZ2" s="67" t="s">
        <v>75</v>
      </c>
      <c r="EA2" s="67" t="s">
        <v>76</v>
      </c>
      <c r="EB2" s="67" t="s">
        <v>77</v>
      </c>
      <c r="EC2" s="67" t="s">
        <v>78</v>
      </c>
      <c r="ED2" s="67" t="s">
        <v>79</v>
      </c>
    </row>
    <row r="4" spans="2:134" x14ac:dyDescent="0.25">
      <c r="B4" s="36" t="str">
        <f>+'1 Financiacion'!B13</f>
        <v>INTERES</v>
      </c>
      <c r="C4" s="57">
        <f>-'1 Financiacion'!D13</f>
        <v>-9280000</v>
      </c>
      <c r="D4" s="57">
        <f>-'1 Financiacion'!E13</f>
        <v>-9233650.3981028739</v>
      </c>
      <c r="E4" s="57">
        <f>-'1 Financiacion'!F13</f>
        <v>-9186929.9993905686</v>
      </c>
      <c r="F4" s="57">
        <f>-'1 Financiacion'!G13</f>
        <v>-9139835.8374885637</v>
      </c>
      <c r="G4" s="57">
        <f>-'1 Financiacion'!H13</f>
        <v>-9092364.922291344</v>
      </c>
      <c r="H4" s="57">
        <f>-'1 Financiacion'!I13</f>
        <v>-9044514.239772547</v>
      </c>
      <c r="I4" s="57">
        <f>-'1 Financiacion'!J13</f>
        <v>-8996280.7517936006</v>
      </c>
      <c r="J4" s="57">
        <f>-'1 Financiacion'!K13</f>
        <v>-8947661.3959108219</v>
      </c>
      <c r="K4" s="57">
        <f>-'1 Financiacion'!L13</f>
        <v>-8898653.0851809811</v>
      </c>
      <c r="L4" s="57">
        <f>-'1 Financiacion'!M13</f>
        <v>-8849252.7079653013</v>
      </c>
      <c r="M4" s="57">
        <f>-'1 Financiacion'!N13</f>
        <v>-8799457.1277318951</v>
      </c>
      <c r="N4" s="57">
        <f>-'1 Financiacion'!O13</f>
        <v>-8749263.1828566231</v>
      </c>
      <c r="O4" s="57">
        <f>-'1 Financiacion'!P13</f>
        <v>-8698667.686422348</v>
      </c>
      <c r="P4" s="57">
        <f>-'1 Financiacion'!Q13</f>
        <v>-8647667.4260165989</v>
      </c>
      <c r="Q4" s="57">
        <f>-'1 Financiacion'!R13</f>
        <v>-8596259.1635276061</v>
      </c>
      <c r="R4" s="57">
        <f>-'1 Financiacion'!S13</f>
        <v>-8544439.6349386983</v>
      </c>
      <c r="S4" s="57">
        <f>-'1 Financiacion'!T13</f>
        <v>-8492205.5501210801</v>
      </c>
      <c r="T4" s="57">
        <f>-'1 Financiacion'!U13</f>
        <v>-8439553.5926249195</v>
      </c>
      <c r="U4" s="57">
        <f>-'1 Financiacion'!V13</f>
        <v>-8386480.4194687912</v>
      </c>
      <c r="V4" s="57">
        <f>-'1 Financiacion'!W13</f>
        <v>-8332982.660927414</v>
      </c>
      <c r="W4" s="57">
        <f>-'1 Financiacion'!X13</f>
        <v>-8279056.9203177057</v>
      </c>
      <c r="X4" s="57">
        <f>-'1 Financiacion'!Y13</f>
        <v>-8224699.7737831194</v>
      </c>
      <c r="Y4" s="57">
        <f>-'1 Financiacion'!Z13</f>
        <v>-8169907.7700762572</v>
      </c>
      <c r="Z4" s="57">
        <f>-'1 Financiacion'!AA13</f>
        <v>-8114677.4303397387</v>
      </c>
      <c r="AA4" s="57">
        <f>-'1 Financiacion'!AB13</f>
        <v>-8059005.2478853296</v>
      </c>
      <c r="AB4" s="57">
        <f>-'1 Financiacion'!AC13</f>
        <v>-8002887.6879712837</v>
      </c>
      <c r="AC4" s="57">
        <f>-'1 Financiacion'!AD13</f>
        <v>-7946321.1875779266</v>
      </c>
      <c r="AD4" s="57">
        <f>-'1 Financiacion'!AE13</f>
        <v>-7889302.1551814228</v>
      </c>
      <c r="AE4" s="57">
        <f>-'1 Financiacion'!AF13</f>
        <v>-7831826.9705257453</v>
      </c>
      <c r="AF4" s="57">
        <f>-'1 Financiacion'!AG13</f>
        <v>-7773891.9843928237</v>
      </c>
      <c r="AG4" s="57">
        <f>-'1 Financiacion'!AH13</f>
        <v>-7715493.5183708379</v>
      </c>
      <c r="AH4" s="57">
        <f>-'1 Financiacion'!AI13</f>
        <v>-7656627.8646206772</v>
      </c>
      <c r="AI4" s="57">
        <f>-'1 Financiacion'!AJ13</f>
        <v>-7597291.2856405145</v>
      </c>
      <c r="AJ4" s="57">
        <f>-'1 Financiacion'!AK13</f>
        <v>-7537480.014028511</v>
      </c>
      <c r="AK4" s="57">
        <f>-'1 Financiacion'!AL13</f>
        <v>-7477190.252243611</v>
      </c>
      <c r="AL4" s="57">
        <f>-'1 Financiacion'!AM13</f>
        <v>-7416418.1723644324</v>
      </c>
      <c r="AM4" s="57">
        <f>-'1 Financiacion'!AN13</f>
        <v>-7355159.9158462202</v>
      </c>
      <c r="AN4" s="57">
        <f>-'1 Financiacion'!AO13</f>
        <v>-7293411.5932758618</v>
      </c>
      <c r="AO4" s="57">
        <f>-'1 Financiacion'!AP13</f>
        <v>-7231169.2841249406</v>
      </c>
      <c r="AP4" s="57">
        <f>-'1 Financiacion'!AQ13</f>
        <v>-7168429.0365008125</v>
      </c>
      <c r="AQ4" s="57">
        <f>-'1 Financiacion'!AR13</f>
        <v>-7105186.8668956915</v>
      </c>
      <c r="AR4" s="57">
        <f>-'1 Financiacion'!AS13</f>
        <v>-7041438.7599337287</v>
      </c>
      <c r="AS4" s="57">
        <f>-'1 Financiacion'!AT13</f>
        <v>-6977180.6681160703</v>
      </c>
      <c r="AT4" s="57">
        <f>-'1 Financiacion'!AU13</f>
        <v>-6912408.5115638701</v>
      </c>
      <c r="AU4" s="57">
        <f>-'1 Financiacion'!AV13</f>
        <v>-6847118.1777592534</v>
      </c>
      <c r="AV4" s="57">
        <f>-'1 Financiacion'!AW13</f>
        <v>-6781305.5212842003</v>
      </c>
      <c r="AW4" s="57">
        <f>-'1 Financiacion'!AX13</f>
        <v>-6714966.3635573452</v>
      </c>
      <c r="AX4" s="57">
        <f>-'1 Financiacion'!AY13</f>
        <v>-6648096.4925686764</v>
      </c>
      <c r="AY4" s="57">
        <f>-'1 Financiacion'!AZ13</f>
        <v>-6580691.6626120983</v>
      </c>
      <c r="AZ4" s="57">
        <f>-'1 Financiacion'!BA13</f>
        <v>-6512747.5940158665</v>
      </c>
      <c r="BA4" s="57">
        <f>-'1 Financiacion'!BB13</f>
        <v>-6444259.9728708649</v>
      </c>
      <c r="BB4" s="57">
        <f>-'1 Financiacion'!BC13</f>
        <v>-6375224.4507567044</v>
      </c>
      <c r="BC4" s="57">
        <f>-'1 Financiacion'!BD13</f>
        <v>-6305636.6444656309</v>
      </c>
      <c r="BD4" s="57">
        <f>-'1 Financiacion'!BE13</f>
        <v>-6235492.1357242279</v>
      </c>
      <c r="BE4" s="57">
        <f>-'1 Financiacion'!BF13</f>
        <v>-6164786.4709128942</v>
      </c>
      <c r="BF4" s="57">
        <f>-'1 Financiacion'!BG13</f>
        <v>-6093515.1607830701</v>
      </c>
      <c r="BG4" s="57">
        <f>-'1 Financiacion'!BH13</f>
        <v>-6021673.6801722059</v>
      </c>
      <c r="BH4" s="57">
        <f>-'1 Financiacion'!BI13</f>
        <v>-5949257.4677164555</v>
      </c>
      <c r="BI4" s="57">
        <f>-'1 Financiacion'!BJ13</f>
        <v>-5876261.9255610593</v>
      </c>
      <c r="BJ4" s="57">
        <f>-'1 Financiacion'!BK13</f>
        <v>-5802682.4190684194</v>
      </c>
      <c r="BK4" s="57">
        <f>-'1 Financiacion'!BL13</f>
        <v>-5728514.2765238388</v>
      </c>
      <c r="BL4" s="57">
        <f>-'1 Financiacion'!BM13</f>
        <v>-5653752.7888389016</v>
      </c>
      <c r="BM4" s="57">
        <f>-'1 Financiacion'!BN13</f>
        <v>-5578393.2092524851</v>
      </c>
      <c r="BN4" s="57">
        <f>-'1 Financiacion'!BO13</f>
        <v>-5502430.7530293772</v>
      </c>
      <c r="BO4" s="57">
        <f>-'1 Financiacion'!BP13</f>
        <v>-5425860.5971564846</v>
      </c>
      <c r="BP4" s="57">
        <f>-'1 Financiacion'!BQ13</f>
        <v>-5348677.8800366092</v>
      </c>
      <c r="BQ4" s="57">
        <f>-'1 Financiacion'!BR13</f>
        <v>-5270877.7011797735</v>
      </c>
      <c r="BR4" s="57">
        <f>-'1 Financiacion'!BS13</f>
        <v>-5192455.1208920842</v>
      </c>
      <c r="BS4" s="57">
        <f>-'1 Financiacion'!BT13</f>
        <v>-5113405.1599620935</v>
      </c>
      <c r="BT4" s="57">
        <f>-'1 Financiacion'!BU13</f>
        <v>-5033722.7993446626</v>
      </c>
      <c r="BU4" s="57">
        <f>-'1 Financiacion'!BV13</f>
        <v>-4953402.9798422921</v>
      </c>
      <c r="BV4" s="57">
        <f>-'1 Financiacion'!BW13</f>
        <v>-4872440.6017839024</v>
      </c>
      <c r="BW4" s="57">
        <f>-'1 Financiacion'!BX13</f>
        <v>-4790830.5247010458</v>
      </c>
      <c r="BX4" s="57">
        <f>-'1 Financiacion'!BY13</f>
        <v>-4708567.5670015272</v>
      </c>
      <c r="BY4" s="57">
        <f>-'1 Financiacion'!BZ13</f>
        <v>-4625646.5056404117</v>
      </c>
      <c r="BZ4" s="57">
        <f>-'1 Financiacion'!CA13</f>
        <v>-4542062.0757884067</v>
      </c>
      <c r="CA4" s="57">
        <f>-'1 Financiacion'!CB13</f>
        <v>-4457808.9704975858</v>
      </c>
      <c r="CB4" s="57">
        <f>-'1 Financiacion'!CC13</f>
        <v>-4372881.8403644385</v>
      </c>
      <c r="CC4" s="57">
        <f>-'1 Financiacion'!CD13</f>
        <v>-4287275.293190226</v>
      </c>
      <c r="CD4" s="57">
        <f>-'1 Financiacion'!CE13</f>
        <v>-4200983.8936386192</v>
      </c>
      <c r="CE4" s="57">
        <f>-'1 Financiacion'!CF13</f>
        <v>-4114002.162890601</v>
      </c>
      <c r="CF4" s="57">
        <f>-'1 Financiacion'!CG13</f>
        <v>-4026324.5782965976</v>
      </c>
      <c r="CG4" s="57">
        <f>-'1 Financiacion'!CH13</f>
        <v>-3937945.5730258422</v>
      </c>
      <c r="CH4" s="57">
        <f>-'1 Financiacion'!CI13</f>
        <v>-3848859.5357129211</v>
      </c>
      <c r="CI4" s="57">
        <f>-'1 Financiacion'!CJ13</f>
        <v>-3759060.810101497</v>
      </c>
      <c r="CJ4" s="57">
        <f>-'1 Financiacion'!CK13</f>
        <v>-3668543.6946851807</v>
      </c>
      <c r="CK4" s="57">
        <f>-'1 Financiacion'!CL13</f>
        <v>-3577302.4423455345</v>
      </c>
      <c r="CL4" s="57">
        <f>-'1 Financiacion'!CM13</f>
        <v>-3485331.2599871708</v>
      </c>
      <c r="CM4" s="57">
        <f>-'1 Financiacion'!CN13</f>
        <v>-3392624.30816994</v>
      </c>
      <c r="CN4" s="57">
        <f>-'1 Financiacion'!CO13</f>
        <v>-3299175.7007381716</v>
      </c>
      <c r="CO4" s="57">
        <f>-'1 Financiacion'!CP13</f>
        <v>-3204979.5044469489</v>
      </c>
      <c r="CP4" s="57">
        <f>-'1 Financiacion'!CQ13</f>
        <v>-3110029.7385853967</v>
      </c>
      <c r="CQ4" s="57">
        <f>-'1 Financiacion'!CR13</f>
        <v>-3014320.374596952</v>
      </c>
      <c r="CR4" s="57">
        <f>-'1 Financiacion'!CS13</f>
        <v>-2917845.3356965994</v>
      </c>
      <c r="CS4" s="57">
        <f>-'1 Financiacion'!CT13</f>
        <v>-2820598.4964850447</v>
      </c>
      <c r="CT4" s="57">
        <f>-'1 Financiacion'!CU13</f>
        <v>-2722573.6825597971</v>
      </c>
      <c r="CU4" s="57">
        <f>-'1 Financiacion'!CV13</f>
        <v>-2623764.6701231473</v>
      </c>
      <c r="CV4" s="57">
        <f>-'1 Financiacion'!CW13</f>
        <v>-2524165.1855870048</v>
      </c>
      <c r="CW4" s="57">
        <f>-'1 Financiacion'!CX13</f>
        <v>-2423768.905174573</v>
      </c>
      <c r="CX4" s="57">
        <f>-'1 Financiacion'!CY13</f>
        <v>-2322569.4545188416</v>
      </c>
      <c r="CY4" s="57">
        <f>-'1 Financiacion'!CZ13</f>
        <v>-2220560.4082578644</v>
      </c>
      <c r="CZ4" s="57">
        <f>-'1 Financiacion'!DA13</f>
        <v>-2117735.2896267995</v>
      </c>
      <c r="DA4" s="57">
        <f>-'1 Financiacion'!DB13</f>
        <v>-2014087.5700466861</v>
      </c>
      <c r="DB4" s="57">
        <f>-'1 Financiacion'!DC13</f>
        <v>-1909610.6687099319</v>
      </c>
      <c r="DC4" s="57">
        <f>-'1 Financiacion'!DD13</f>
        <v>-1804297.9521624835</v>
      </c>
      <c r="DD4" s="57">
        <f>-'1 Financiacion'!DE13</f>
        <v>-1698142.7338826554</v>
      </c>
      <c r="DE4" s="57">
        <f>-'1 Financiacion'!DF13</f>
        <v>-1591138.2738565889</v>
      </c>
      <c r="DF4" s="57">
        <f>-'1 Financiacion'!DG13</f>
        <v>-1483277.7781503135</v>
      </c>
      <c r="DG4" s="57">
        <f>-'1 Financiacion'!DH13</f>
        <v>-1374554.3984783883</v>
      </c>
      <c r="DH4" s="57">
        <f>-'1 Financiacion'!DI13</f>
        <v>-1264961.2317690875</v>
      </c>
      <c r="DI4" s="57">
        <f>-'1 Financiacion'!DJ13</f>
        <v>-1154491.3197261123</v>
      </c>
      <c r="DJ4" s="57">
        <f>-'1 Financiacion'!DK13</f>
        <v>-1043137.6483867934</v>
      </c>
      <c r="DK4" s="57">
        <f>-'1 Financiacion'!DL13</f>
        <v>-930893.14767675987</v>
      </c>
      <c r="DL4" s="57">
        <f>-'1 Financiacion'!DM13</f>
        <v>-817750.69096104614</v>
      </c>
      <c r="DM4" s="57">
        <f>-'1 Financiacion'!DN13</f>
        <v>-703703.09459160664</v>
      </c>
      <c r="DN4" s="57">
        <f>-'1 Financiacion'!DO13</f>
        <v>-588743.11745121155</v>
      </c>
      <c r="DO4" s="57">
        <f>-'1 Financiacion'!DP13</f>
        <v>-472863.46049369342</v>
      </c>
      <c r="DP4" s="57">
        <f>-'1 Financiacion'!DQ13</f>
        <v>-356056.76628051506</v>
      </c>
      <c r="DQ4" s="57">
        <f>-'1 Financiacion'!DR13</f>
        <v>-238315.61851363134</v>
      </c>
      <c r="DR4" s="57">
        <f>-'1 Financiacion'!DS13</f>
        <v>-119632.54156461252</v>
      </c>
      <c r="DS4" s="57">
        <f>-'1 Financiacion'!DT13</f>
        <v>0</v>
      </c>
      <c r="DT4" s="57">
        <f>-'1 Financiacion'!DU13</f>
        <v>0</v>
      </c>
      <c r="DU4" s="57">
        <f>-'1 Financiacion'!DV13</f>
        <v>0</v>
      </c>
      <c r="DV4" s="57">
        <f>-'1 Financiacion'!DW13</f>
        <v>0</v>
      </c>
      <c r="DW4" s="57">
        <f>-'1 Financiacion'!DX13</f>
        <v>0</v>
      </c>
      <c r="DX4" s="57">
        <f>-'1 Financiacion'!DY13</f>
        <v>0</v>
      </c>
      <c r="DY4" s="57">
        <f>-'1 Financiacion'!DZ13</f>
        <v>0</v>
      </c>
      <c r="DZ4" s="57">
        <f>-'1 Financiacion'!EA13</f>
        <v>0</v>
      </c>
      <c r="EA4" s="57">
        <f>-'1 Financiacion'!EB13</f>
        <v>0</v>
      </c>
      <c r="EB4" s="57">
        <f>-'1 Financiacion'!EC13</f>
        <v>0</v>
      </c>
      <c r="EC4" s="57">
        <f>-'1 Financiacion'!ED13</f>
        <v>0</v>
      </c>
      <c r="ED4" s="57">
        <f>-'1 Financiacion'!EE13</f>
        <v>0</v>
      </c>
    </row>
    <row r="5" spans="2:134" x14ac:dyDescent="0.25">
      <c r="B5" s="36" t="str">
        <f>+'1 Financiacion'!B14</f>
        <v>KTAL</v>
      </c>
      <c r="C5" s="57">
        <f>-'1 Financiacion'!D14</f>
        <v>-5793700.2371409833</v>
      </c>
      <c r="D5" s="57">
        <f>-'1 Financiacion'!E14</f>
        <v>-5840049.8390381094</v>
      </c>
      <c r="E5" s="57">
        <f>-'1 Financiacion'!F14</f>
        <v>-5886770.2377504148</v>
      </c>
      <c r="F5" s="57">
        <f>-'1 Financiacion'!G14</f>
        <v>-5933864.3996524196</v>
      </c>
      <c r="G5" s="57">
        <f>-'1 Financiacion'!H14</f>
        <v>-5981335.3148496393</v>
      </c>
      <c r="H5" s="57">
        <f>-'1 Financiacion'!I14</f>
        <v>-6029185.9973684363</v>
      </c>
      <c r="I5" s="57">
        <f>-'1 Financiacion'!J14</f>
        <v>-6077419.4853473827</v>
      </c>
      <c r="J5" s="57">
        <f>-'1 Financiacion'!K14</f>
        <v>-6126038.8412301615</v>
      </c>
      <c r="K5" s="57">
        <f>-'1 Financiacion'!L14</f>
        <v>-6175047.1519600023</v>
      </c>
      <c r="L5" s="57">
        <f>-'1 Financiacion'!M14</f>
        <v>-6224447.529175682</v>
      </c>
      <c r="M5" s="57">
        <f>-'1 Financiacion'!N14</f>
        <v>-6274243.1094090883</v>
      </c>
      <c r="N5" s="57">
        <f>-'1 Financiacion'!O14</f>
        <v>-6324437.0542843603</v>
      </c>
      <c r="O5" s="57">
        <f>-'1 Financiacion'!P14</f>
        <v>-6375032.5507186353</v>
      </c>
      <c r="P5" s="57">
        <f>-'1 Financiacion'!Q14</f>
        <v>-6426032.8111243844</v>
      </c>
      <c r="Q5" s="57">
        <f>-'1 Financiacion'!R14</f>
        <v>-6477441.0736133773</v>
      </c>
      <c r="R5" s="57">
        <f>-'1 Financiacion'!S14</f>
        <v>-6529260.6022022851</v>
      </c>
      <c r="S5" s="57">
        <f>-'1 Financiacion'!T14</f>
        <v>-6581494.6870199032</v>
      </c>
      <c r="T5" s="57">
        <f>-'1 Financiacion'!U14</f>
        <v>-6634146.6445160639</v>
      </c>
      <c r="U5" s="57">
        <f>-'1 Financiacion'!V14</f>
        <v>-6687219.8176721921</v>
      </c>
      <c r="V5" s="57">
        <f>-'1 Financiacion'!W14</f>
        <v>-6740717.5762135694</v>
      </c>
      <c r="W5" s="57">
        <f>-'1 Financiacion'!X14</f>
        <v>-6794643.3168232776</v>
      </c>
      <c r="X5" s="57">
        <f>-'1 Financiacion'!Y14</f>
        <v>-6849000.4633578639</v>
      </c>
      <c r="Y5" s="57">
        <f>-'1 Financiacion'!Z14</f>
        <v>-6903792.4670647262</v>
      </c>
      <c r="Z5" s="57">
        <f>-'1 Financiacion'!AA14</f>
        <v>-6959022.8068012446</v>
      </c>
      <c r="AA5" s="57">
        <f>-'1 Financiacion'!AB14</f>
        <v>-7014694.9892556537</v>
      </c>
      <c r="AB5" s="57">
        <f>-'1 Financiacion'!AC14</f>
        <v>-7070812.5491696997</v>
      </c>
      <c r="AC5" s="57">
        <f>-'1 Financiacion'!AD14</f>
        <v>-7127379.0495630568</v>
      </c>
      <c r="AD5" s="57">
        <f>-'1 Financiacion'!AE14</f>
        <v>-7184398.0819595605</v>
      </c>
      <c r="AE5" s="57">
        <f>-'1 Financiacion'!AF14</f>
        <v>-7241873.266615238</v>
      </c>
      <c r="AF5" s="57">
        <f>-'1 Financiacion'!AG14</f>
        <v>-7299808.2527481597</v>
      </c>
      <c r="AG5" s="57">
        <f>-'1 Financiacion'!AH14</f>
        <v>-7358206.7187701454</v>
      </c>
      <c r="AH5" s="57">
        <f>-'1 Financiacion'!AI14</f>
        <v>-7417072.3725203061</v>
      </c>
      <c r="AI5" s="57">
        <f>-'1 Financiacion'!AJ14</f>
        <v>-7476408.9515004689</v>
      </c>
      <c r="AJ5" s="57">
        <f>-'1 Financiacion'!AK14</f>
        <v>-7536220.2231124723</v>
      </c>
      <c r="AK5" s="57">
        <f>-'1 Financiacion'!AL14</f>
        <v>-7596509.9848973723</v>
      </c>
      <c r="AL5" s="57">
        <f>-'1 Financiacion'!AM14</f>
        <v>-7657282.064776551</v>
      </c>
      <c r="AM5" s="57">
        <f>-'1 Financiacion'!AN14</f>
        <v>-7718540.3212947631</v>
      </c>
      <c r="AN5" s="57">
        <f>-'1 Financiacion'!AO14</f>
        <v>-7780288.6438651215</v>
      </c>
      <c r="AO5" s="57">
        <f>-'1 Financiacion'!AP14</f>
        <v>-7842530.9530160427</v>
      </c>
      <c r="AP5" s="57">
        <f>-'1 Financiacion'!AQ14</f>
        <v>-7905271.2006401708</v>
      </c>
      <c r="AQ5" s="57">
        <f>-'1 Financiacion'!AR14</f>
        <v>-7968513.3702452919</v>
      </c>
      <c r="AR5" s="57">
        <f>-'1 Financiacion'!AS14</f>
        <v>-8032261.4772072546</v>
      </c>
      <c r="AS5" s="57">
        <f>-'1 Financiacion'!AT14</f>
        <v>-8096519.569024913</v>
      </c>
      <c r="AT5" s="57">
        <f>-'1 Financiacion'!AU14</f>
        <v>-8161291.7255771132</v>
      </c>
      <c r="AU5" s="57">
        <f>-'1 Financiacion'!AV14</f>
        <v>-8226582.0593817299</v>
      </c>
      <c r="AV5" s="57">
        <f>-'1 Financiacion'!AW14</f>
        <v>-8292394.7158567831</v>
      </c>
      <c r="AW5" s="57">
        <f>-'1 Financiacion'!AX14</f>
        <v>-8358733.8735836381</v>
      </c>
      <c r="AX5" s="57">
        <f>-'1 Financiacion'!AY14</f>
        <v>-8425603.7445723079</v>
      </c>
      <c r="AY5" s="57">
        <f>-'1 Financiacion'!AZ14</f>
        <v>-8493008.5745288841</v>
      </c>
      <c r="AZ5" s="57">
        <f>-'1 Financiacion'!BA14</f>
        <v>-8560952.6431251168</v>
      </c>
      <c r="BA5" s="57">
        <f>-'1 Financiacion'!BB14</f>
        <v>-8629440.2642701194</v>
      </c>
      <c r="BB5" s="57">
        <f>-'1 Financiacion'!BC14</f>
        <v>-8698475.7863842789</v>
      </c>
      <c r="BC5" s="57">
        <f>-'1 Financiacion'!BD14</f>
        <v>-8768063.5926753525</v>
      </c>
      <c r="BD5" s="57">
        <f>-'1 Financiacion'!BE14</f>
        <v>-8838208.1014167555</v>
      </c>
      <c r="BE5" s="57">
        <f>-'1 Financiacion'!BF14</f>
        <v>-8908913.7662280891</v>
      </c>
      <c r="BF5" s="57">
        <f>-'1 Financiacion'!BG14</f>
        <v>-8980185.0763579123</v>
      </c>
      <c r="BG5" s="57">
        <f>-'1 Financiacion'!BH14</f>
        <v>-9052026.5569687784</v>
      </c>
      <c r="BH5" s="57">
        <f>-'1 Financiacion'!BI14</f>
        <v>-9124442.7694245279</v>
      </c>
      <c r="BI5" s="57">
        <f>-'1 Financiacion'!BJ14</f>
        <v>-9197438.3115799241</v>
      </c>
      <c r="BJ5" s="57">
        <f>-'1 Financiacion'!BK14</f>
        <v>-9271017.8180725649</v>
      </c>
      <c r="BK5" s="57">
        <f>-'1 Financiacion'!BL14</f>
        <v>-9345185.9606171437</v>
      </c>
      <c r="BL5" s="57">
        <f>-'1 Financiacion'!BM14</f>
        <v>-9419947.4483020827</v>
      </c>
      <c r="BM5" s="57">
        <f>-'1 Financiacion'!BN14</f>
        <v>-9495307.0278884992</v>
      </c>
      <c r="BN5" s="57">
        <f>-'1 Financiacion'!BO14</f>
        <v>-9571269.4841116071</v>
      </c>
      <c r="BO5" s="57">
        <f>-'1 Financiacion'!BP14</f>
        <v>-9647839.6399844997</v>
      </c>
      <c r="BP5" s="57">
        <f>-'1 Financiacion'!BQ14</f>
        <v>-9725022.3571043741</v>
      </c>
      <c r="BQ5" s="57">
        <f>-'1 Financiacion'!BR14</f>
        <v>-9802822.5359612107</v>
      </c>
      <c r="BR5" s="57">
        <f>-'1 Financiacion'!BS14</f>
        <v>-9881245.1162488982</v>
      </c>
      <c r="BS5" s="57">
        <f>-'1 Financiacion'!BT14</f>
        <v>-9960295.0771788899</v>
      </c>
      <c r="BT5" s="57">
        <f>-'1 Financiacion'!BU14</f>
        <v>-10039977.437796321</v>
      </c>
      <c r="BU5" s="57">
        <f>-'1 Financiacion'!BV14</f>
        <v>-10120297.257298691</v>
      </c>
      <c r="BV5" s="57">
        <f>-'1 Financiacion'!BW14</f>
        <v>-10201259.635357082</v>
      </c>
      <c r="BW5" s="57">
        <f>-'1 Financiacion'!BX14</f>
        <v>-10282869.712439938</v>
      </c>
      <c r="BX5" s="57">
        <f>-'1 Financiacion'!BY14</f>
        <v>-10365132.670139456</v>
      </c>
      <c r="BY5" s="57">
        <f>-'1 Financiacion'!BZ14</f>
        <v>-10448053.731500572</v>
      </c>
      <c r="BZ5" s="57">
        <f>-'1 Financiacion'!CA14</f>
        <v>-10531638.161352577</v>
      </c>
      <c r="CA5" s="57">
        <f>-'1 Financiacion'!CB14</f>
        <v>-10615891.266643398</v>
      </c>
      <c r="CB5" s="57">
        <f>-'1 Financiacion'!CC14</f>
        <v>-10700818.396776546</v>
      </c>
      <c r="CC5" s="57">
        <f>-'1 Financiacion'!CD14</f>
        <v>-10786424.943950757</v>
      </c>
      <c r="CD5" s="57">
        <f>-'1 Financiacion'!CE14</f>
        <v>-10872716.343502365</v>
      </c>
      <c r="CE5" s="57">
        <f>-'1 Financiacion'!CF14</f>
        <v>-10959698.074250381</v>
      </c>
      <c r="CF5" s="57">
        <f>-'1 Financiacion'!CG14</f>
        <v>-11047375.658844385</v>
      </c>
      <c r="CG5" s="57">
        <f>-'1 Financiacion'!CH14</f>
        <v>-11135754.664115142</v>
      </c>
      <c r="CH5" s="57">
        <f>-'1 Financiacion'!CI14</f>
        <v>-11224840.701428063</v>
      </c>
      <c r="CI5" s="57">
        <f>-'1 Financiacion'!CJ14</f>
        <v>-11314639.427039485</v>
      </c>
      <c r="CJ5" s="57">
        <f>-'1 Financiacion'!CK14</f>
        <v>-11405156.542455804</v>
      </c>
      <c r="CK5" s="57">
        <f>-'1 Financiacion'!CL14</f>
        <v>-11496397.79479545</v>
      </c>
      <c r="CL5" s="57">
        <f>-'1 Financiacion'!CM14</f>
        <v>-11588368.977153812</v>
      </c>
      <c r="CM5" s="57">
        <f>-'1 Financiacion'!CN14</f>
        <v>-11681075.928971043</v>
      </c>
      <c r="CN5" s="57">
        <f>-'1 Financiacion'!CO14</f>
        <v>-11774524.536402812</v>
      </c>
      <c r="CO5" s="57">
        <f>-'1 Financiacion'!CP14</f>
        <v>-11868720.732694034</v>
      </c>
      <c r="CP5" s="57">
        <f>-'1 Financiacion'!CQ14</f>
        <v>-11963670.498555586</v>
      </c>
      <c r="CQ5" s="57">
        <f>-'1 Financiacion'!CR14</f>
        <v>-12059379.862544032</v>
      </c>
      <c r="CR5" s="57">
        <f>-'1 Financiacion'!CS14</f>
        <v>-12155854.901444383</v>
      </c>
      <c r="CS5" s="57">
        <f>-'1 Financiacion'!CT14</f>
        <v>-12253101.740655938</v>
      </c>
      <c r="CT5" s="57">
        <f>-'1 Financiacion'!CU14</f>
        <v>-12351126.554581186</v>
      </c>
      <c r="CU5" s="57">
        <f>-'1 Financiacion'!CV14</f>
        <v>-12449935.567017836</v>
      </c>
      <c r="CV5" s="57">
        <f>-'1 Financiacion'!CW14</f>
        <v>-12549535.05155398</v>
      </c>
      <c r="CW5" s="57">
        <f>-'1 Financiacion'!CX14</f>
        <v>-12649931.331966411</v>
      </c>
      <c r="CX5" s="57">
        <f>-'1 Financiacion'!CY14</f>
        <v>-12751130.782622142</v>
      </c>
      <c r="CY5" s="57">
        <f>-'1 Financiacion'!CZ14</f>
        <v>-12853139.828883119</v>
      </c>
      <c r="CZ5" s="57">
        <f>-'1 Financiacion'!DA14</f>
        <v>-12955964.947514184</v>
      </c>
      <c r="DA5" s="57">
        <f>-'1 Financiacion'!DB14</f>
        <v>-13059612.667094298</v>
      </c>
      <c r="DB5" s="57">
        <f>-'1 Financiacion'!DC14</f>
        <v>-13164089.568431051</v>
      </c>
      <c r="DC5" s="57">
        <f>-'1 Financiacion'!DD14</f>
        <v>-13269402.2849785</v>
      </c>
      <c r="DD5" s="57">
        <f>-'1 Financiacion'!DE14</f>
        <v>-13375557.503258329</v>
      </c>
      <c r="DE5" s="57">
        <f>-'1 Financiacion'!DF14</f>
        <v>-13482561.963284394</v>
      </c>
      <c r="DF5" s="57">
        <f>-'1 Financiacion'!DG14</f>
        <v>-13590422.458990671</v>
      </c>
      <c r="DG5" s="57">
        <f>-'1 Financiacion'!DH14</f>
        <v>-13699145.838662595</v>
      </c>
      <c r="DH5" s="57">
        <f>-'1 Financiacion'!DI14</f>
        <v>-13808739.005371897</v>
      </c>
      <c r="DI5" s="57">
        <f>-'1 Financiacion'!DJ14</f>
        <v>-13919208.91741487</v>
      </c>
      <c r="DJ5" s="57">
        <f>-'1 Financiacion'!DK14</f>
        <v>-14030562.58875419</v>
      </c>
      <c r="DK5" s="57">
        <f>-'1 Financiacion'!DL14</f>
        <v>-14142807.089464223</v>
      </c>
      <c r="DL5" s="57">
        <f>-'1 Financiacion'!DM14</f>
        <v>-14255949.546179937</v>
      </c>
      <c r="DM5" s="57">
        <f>-'1 Financiacion'!DN14</f>
        <v>-14369997.142549377</v>
      </c>
      <c r="DN5" s="57">
        <f>-'1 Financiacion'!DO14</f>
        <v>-14484957.119689772</v>
      </c>
      <c r="DO5" s="57">
        <f>-'1 Financiacion'!DP14</f>
        <v>-14600836.77664729</v>
      </c>
      <c r="DP5" s="57">
        <f>-'1 Financiacion'!DQ14</f>
        <v>-14717643.470860468</v>
      </c>
      <c r="DQ5" s="57">
        <f>-'1 Financiacion'!DR14</f>
        <v>-14835384.618627353</v>
      </c>
      <c r="DR5" s="57">
        <f>-'1 Financiacion'!DS14</f>
        <v>-14954067.695576372</v>
      </c>
      <c r="DS5" s="57">
        <f>-'1 Financiacion'!DT14</f>
        <v>0</v>
      </c>
      <c r="DT5" s="57">
        <f>-'1 Financiacion'!DU14</f>
        <v>0</v>
      </c>
      <c r="DU5" s="57">
        <f>-'1 Financiacion'!DV14</f>
        <v>0</v>
      </c>
      <c r="DV5" s="57">
        <f>-'1 Financiacion'!DW14</f>
        <v>0</v>
      </c>
      <c r="DW5" s="57">
        <f>-'1 Financiacion'!DX14</f>
        <v>0</v>
      </c>
      <c r="DX5" s="57">
        <f>-'1 Financiacion'!DY14</f>
        <v>0</v>
      </c>
      <c r="DY5" s="57">
        <f>-'1 Financiacion'!DZ14</f>
        <v>0</v>
      </c>
      <c r="DZ5" s="57">
        <f>-'1 Financiacion'!EA14</f>
        <v>0</v>
      </c>
      <c r="EA5" s="57">
        <f>-'1 Financiacion'!EB14</f>
        <v>0</v>
      </c>
      <c r="EB5" s="57">
        <f>-'1 Financiacion'!EC14</f>
        <v>0</v>
      </c>
      <c r="EC5" s="57">
        <f>-'1 Financiacion'!ED14</f>
        <v>0</v>
      </c>
      <c r="ED5" s="57">
        <f>-'1 Financiacion'!EE14</f>
        <v>0</v>
      </c>
    </row>
    <row r="6" spans="2:134" s="45" customFormat="1" x14ac:dyDescent="0.25">
      <c r="B6" s="45" t="str">
        <f>+'1 Financiacion'!B12</f>
        <v>CUOTA</v>
      </c>
      <c r="C6" s="57">
        <f>+C4+C5</f>
        <v>-15073700.237140983</v>
      </c>
      <c r="D6" s="57">
        <f t="shared" ref="D6:BO6" si="0">+D4+D5</f>
        <v>-15073700.237140983</v>
      </c>
      <c r="E6" s="57">
        <f t="shared" si="0"/>
        <v>-15073700.237140983</v>
      </c>
      <c r="F6" s="57">
        <f t="shared" si="0"/>
        <v>-15073700.237140983</v>
      </c>
      <c r="G6" s="57">
        <f t="shared" si="0"/>
        <v>-15073700.237140983</v>
      </c>
      <c r="H6" s="57">
        <f t="shared" si="0"/>
        <v>-15073700.237140983</v>
      </c>
      <c r="I6" s="57">
        <f t="shared" si="0"/>
        <v>-15073700.237140983</v>
      </c>
      <c r="J6" s="57">
        <f t="shared" si="0"/>
        <v>-15073700.237140983</v>
      </c>
      <c r="K6" s="57">
        <f t="shared" si="0"/>
        <v>-15073700.237140983</v>
      </c>
      <c r="L6" s="57">
        <f t="shared" si="0"/>
        <v>-15073700.237140983</v>
      </c>
      <c r="M6" s="57">
        <f t="shared" si="0"/>
        <v>-15073700.237140983</v>
      </c>
      <c r="N6" s="57">
        <f t="shared" si="0"/>
        <v>-15073700.237140983</v>
      </c>
      <c r="O6" s="57">
        <f t="shared" si="0"/>
        <v>-15073700.237140983</v>
      </c>
      <c r="P6" s="57">
        <f t="shared" si="0"/>
        <v>-15073700.237140983</v>
      </c>
      <c r="Q6" s="57">
        <f t="shared" si="0"/>
        <v>-15073700.237140983</v>
      </c>
      <c r="R6" s="57">
        <f t="shared" si="0"/>
        <v>-15073700.237140983</v>
      </c>
      <c r="S6" s="57">
        <f t="shared" si="0"/>
        <v>-15073700.237140983</v>
      </c>
      <c r="T6" s="57">
        <f t="shared" si="0"/>
        <v>-15073700.237140983</v>
      </c>
      <c r="U6" s="57">
        <f t="shared" si="0"/>
        <v>-15073700.237140983</v>
      </c>
      <c r="V6" s="57">
        <f t="shared" si="0"/>
        <v>-15073700.237140983</v>
      </c>
      <c r="W6" s="57">
        <f t="shared" si="0"/>
        <v>-15073700.237140983</v>
      </c>
      <c r="X6" s="57">
        <f t="shared" si="0"/>
        <v>-15073700.237140983</v>
      </c>
      <c r="Y6" s="57">
        <f t="shared" si="0"/>
        <v>-15073700.237140983</v>
      </c>
      <c r="Z6" s="57">
        <f t="shared" si="0"/>
        <v>-15073700.237140983</v>
      </c>
      <c r="AA6" s="57">
        <f t="shared" si="0"/>
        <v>-15073700.237140983</v>
      </c>
      <c r="AB6" s="57">
        <f t="shared" si="0"/>
        <v>-15073700.237140983</v>
      </c>
      <c r="AC6" s="57">
        <f t="shared" si="0"/>
        <v>-15073700.237140983</v>
      </c>
      <c r="AD6" s="57">
        <f t="shared" si="0"/>
        <v>-15073700.237140983</v>
      </c>
      <c r="AE6" s="57">
        <f t="shared" si="0"/>
        <v>-15073700.237140983</v>
      </c>
      <c r="AF6" s="57">
        <f t="shared" si="0"/>
        <v>-15073700.237140983</v>
      </c>
      <c r="AG6" s="57">
        <f t="shared" si="0"/>
        <v>-15073700.237140983</v>
      </c>
      <c r="AH6" s="57">
        <f t="shared" si="0"/>
        <v>-15073700.237140983</v>
      </c>
      <c r="AI6" s="57">
        <f t="shared" si="0"/>
        <v>-15073700.237140983</v>
      </c>
      <c r="AJ6" s="57">
        <f t="shared" si="0"/>
        <v>-15073700.237140983</v>
      </c>
      <c r="AK6" s="57">
        <f t="shared" si="0"/>
        <v>-15073700.237140983</v>
      </c>
      <c r="AL6" s="57">
        <f t="shared" si="0"/>
        <v>-15073700.237140983</v>
      </c>
      <c r="AM6" s="57">
        <f t="shared" si="0"/>
        <v>-15073700.237140983</v>
      </c>
      <c r="AN6" s="57">
        <f t="shared" si="0"/>
        <v>-15073700.237140983</v>
      </c>
      <c r="AO6" s="57">
        <f t="shared" si="0"/>
        <v>-15073700.237140983</v>
      </c>
      <c r="AP6" s="57">
        <f t="shared" si="0"/>
        <v>-15073700.237140983</v>
      </c>
      <c r="AQ6" s="57">
        <f t="shared" si="0"/>
        <v>-15073700.237140983</v>
      </c>
      <c r="AR6" s="57">
        <f t="shared" si="0"/>
        <v>-15073700.237140983</v>
      </c>
      <c r="AS6" s="57">
        <f t="shared" si="0"/>
        <v>-15073700.237140983</v>
      </c>
      <c r="AT6" s="57">
        <f t="shared" si="0"/>
        <v>-15073700.237140983</v>
      </c>
      <c r="AU6" s="57">
        <f t="shared" si="0"/>
        <v>-15073700.237140983</v>
      </c>
      <c r="AV6" s="57">
        <f t="shared" si="0"/>
        <v>-15073700.237140983</v>
      </c>
      <c r="AW6" s="57">
        <f t="shared" si="0"/>
        <v>-15073700.237140983</v>
      </c>
      <c r="AX6" s="57">
        <f t="shared" si="0"/>
        <v>-15073700.237140983</v>
      </c>
      <c r="AY6" s="57">
        <f t="shared" si="0"/>
        <v>-15073700.237140983</v>
      </c>
      <c r="AZ6" s="57">
        <f t="shared" si="0"/>
        <v>-15073700.237140983</v>
      </c>
      <c r="BA6" s="57">
        <f t="shared" si="0"/>
        <v>-15073700.237140983</v>
      </c>
      <c r="BB6" s="57">
        <f t="shared" si="0"/>
        <v>-15073700.237140983</v>
      </c>
      <c r="BC6" s="57">
        <f t="shared" si="0"/>
        <v>-15073700.237140983</v>
      </c>
      <c r="BD6" s="57">
        <f t="shared" si="0"/>
        <v>-15073700.237140983</v>
      </c>
      <c r="BE6" s="57">
        <f t="shared" si="0"/>
        <v>-15073700.237140983</v>
      </c>
      <c r="BF6" s="57">
        <f t="shared" si="0"/>
        <v>-15073700.237140983</v>
      </c>
      <c r="BG6" s="57">
        <f t="shared" si="0"/>
        <v>-15073700.237140983</v>
      </c>
      <c r="BH6" s="57">
        <f t="shared" si="0"/>
        <v>-15073700.237140983</v>
      </c>
      <c r="BI6" s="57">
        <f t="shared" si="0"/>
        <v>-15073700.237140983</v>
      </c>
      <c r="BJ6" s="57">
        <f t="shared" si="0"/>
        <v>-15073700.237140983</v>
      </c>
      <c r="BK6" s="57">
        <f t="shared" si="0"/>
        <v>-15073700.237140983</v>
      </c>
      <c r="BL6" s="57">
        <f t="shared" si="0"/>
        <v>-15073700.237140983</v>
      </c>
      <c r="BM6" s="57">
        <f t="shared" si="0"/>
        <v>-15073700.237140983</v>
      </c>
      <c r="BN6" s="57">
        <f t="shared" si="0"/>
        <v>-15073700.237140983</v>
      </c>
      <c r="BO6" s="57">
        <f t="shared" si="0"/>
        <v>-15073700.237140983</v>
      </c>
      <c r="BP6" s="57">
        <f t="shared" ref="BP6:EA6" si="1">+BP4+BP5</f>
        <v>-15073700.237140983</v>
      </c>
      <c r="BQ6" s="57">
        <f t="shared" si="1"/>
        <v>-15073700.237140983</v>
      </c>
      <c r="BR6" s="57">
        <f t="shared" si="1"/>
        <v>-15073700.237140983</v>
      </c>
      <c r="BS6" s="57">
        <f t="shared" si="1"/>
        <v>-15073700.237140983</v>
      </c>
      <c r="BT6" s="57">
        <f t="shared" si="1"/>
        <v>-15073700.237140983</v>
      </c>
      <c r="BU6" s="57">
        <f t="shared" si="1"/>
        <v>-15073700.237140983</v>
      </c>
      <c r="BV6" s="57">
        <f t="shared" si="1"/>
        <v>-15073700.237140983</v>
      </c>
      <c r="BW6" s="57">
        <f t="shared" si="1"/>
        <v>-15073700.237140983</v>
      </c>
      <c r="BX6" s="57">
        <f t="shared" si="1"/>
        <v>-15073700.237140983</v>
      </c>
      <c r="BY6" s="57">
        <f t="shared" si="1"/>
        <v>-15073700.237140983</v>
      </c>
      <c r="BZ6" s="57">
        <f t="shared" si="1"/>
        <v>-15073700.237140983</v>
      </c>
      <c r="CA6" s="57">
        <f t="shared" si="1"/>
        <v>-15073700.237140983</v>
      </c>
      <c r="CB6" s="57">
        <f t="shared" si="1"/>
        <v>-15073700.237140983</v>
      </c>
      <c r="CC6" s="57">
        <f t="shared" si="1"/>
        <v>-15073700.237140983</v>
      </c>
      <c r="CD6" s="57">
        <f t="shared" si="1"/>
        <v>-15073700.237140983</v>
      </c>
      <c r="CE6" s="57">
        <f t="shared" si="1"/>
        <v>-15073700.237140983</v>
      </c>
      <c r="CF6" s="57">
        <f t="shared" si="1"/>
        <v>-15073700.237140983</v>
      </c>
      <c r="CG6" s="57">
        <f t="shared" si="1"/>
        <v>-15073700.237140983</v>
      </c>
      <c r="CH6" s="57">
        <f t="shared" si="1"/>
        <v>-15073700.237140983</v>
      </c>
      <c r="CI6" s="57">
        <f t="shared" si="1"/>
        <v>-15073700.237140983</v>
      </c>
      <c r="CJ6" s="57">
        <f t="shared" si="1"/>
        <v>-15073700.237140983</v>
      </c>
      <c r="CK6" s="57">
        <f t="shared" si="1"/>
        <v>-15073700.237140983</v>
      </c>
      <c r="CL6" s="57">
        <f t="shared" si="1"/>
        <v>-15073700.237140983</v>
      </c>
      <c r="CM6" s="57">
        <f t="shared" si="1"/>
        <v>-15073700.237140983</v>
      </c>
      <c r="CN6" s="57">
        <f t="shared" si="1"/>
        <v>-15073700.237140983</v>
      </c>
      <c r="CO6" s="57">
        <f t="shared" si="1"/>
        <v>-15073700.237140983</v>
      </c>
      <c r="CP6" s="57">
        <f t="shared" si="1"/>
        <v>-15073700.237140983</v>
      </c>
      <c r="CQ6" s="57">
        <f t="shared" si="1"/>
        <v>-15073700.237140983</v>
      </c>
      <c r="CR6" s="57">
        <f t="shared" si="1"/>
        <v>-15073700.237140983</v>
      </c>
      <c r="CS6" s="57">
        <f t="shared" si="1"/>
        <v>-15073700.237140983</v>
      </c>
      <c r="CT6" s="57">
        <f t="shared" si="1"/>
        <v>-15073700.237140983</v>
      </c>
      <c r="CU6" s="57">
        <f t="shared" si="1"/>
        <v>-15073700.237140983</v>
      </c>
      <c r="CV6" s="57">
        <f t="shared" si="1"/>
        <v>-15073700.237140983</v>
      </c>
      <c r="CW6" s="57">
        <f t="shared" si="1"/>
        <v>-15073700.237140983</v>
      </c>
      <c r="CX6" s="57">
        <f t="shared" si="1"/>
        <v>-15073700.237140983</v>
      </c>
      <c r="CY6" s="57">
        <f t="shared" si="1"/>
        <v>-15073700.237140983</v>
      </c>
      <c r="CZ6" s="57">
        <f t="shared" si="1"/>
        <v>-15073700.237140983</v>
      </c>
      <c r="DA6" s="57">
        <f t="shared" si="1"/>
        <v>-15073700.237140983</v>
      </c>
      <c r="DB6" s="57">
        <f t="shared" si="1"/>
        <v>-15073700.237140983</v>
      </c>
      <c r="DC6" s="57">
        <f t="shared" si="1"/>
        <v>-15073700.237140983</v>
      </c>
      <c r="DD6" s="57">
        <f t="shared" si="1"/>
        <v>-15073700.237140983</v>
      </c>
      <c r="DE6" s="57">
        <f t="shared" si="1"/>
        <v>-15073700.237140983</v>
      </c>
      <c r="DF6" s="57">
        <f t="shared" si="1"/>
        <v>-15073700.237140983</v>
      </c>
      <c r="DG6" s="57">
        <f t="shared" si="1"/>
        <v>-15073700.237140983</v>
      </c>
      <c r="DH6" s="57">
        <f t="shared" si="1"/>
        <v>-15073700.237140983</v>
      </c>
      <c r="DI6" s="57">
        <f t="shared" si="1"/>
        <v>-15073700.237140983</v>
      </c>
      <c r="DJ6" s="57">
        <f t="shared" si="1"/>
        <v>-15073700.237140983</v>
      </c>
      <c r="DK6" s="57">
        <f t="shared" si="1"/>
        <v>-15073700.237140983</v>
      </c>
      <c r="DL6" s="57">
        <f t="shared" si="1"/>
        <v>-15073700.237140983</v>
      </c>
      <c r="DM6" s="57">
        <f t="shared" si="1"/>
        <v>-15073700.237140983</v>
      </c>
      <c r="DN6" s="57">
        <f t="shared" si="1"/>
        <v>-15073700.237140983</v>
      </c>
      <c r="DO6" s="57">
        <f t="shared" si="1"/>
        <v>-15073700.237140983</v>
      </c>
      <c r="DP6" s="57">
        <f t="shared" si="1"/>
        <v>-15073700.237140983</v>
      </c>
      <c r="DQ6" s="57">
        <f t="shared" si="1"/>
        <v>-15073700.237140983</v>
      </c>
      <c r="DR6" s="57">
        <f t="shared" si="1"/>
        <v>-15073700.237140983</v>
      </c>
      <c r="DS6" s="57">
        <f t="shared" si="1"/>
        <v>0</v>
      </c>
      <c r="DT6" s="57">
        <f t="shared" si="1"/>
        <v>0</v>
      </c>
      <c r="DU6" s="57">
        <f t="shared" si="1"/>
        <v>0</v>
      </c>
      <c r="DV6" s="57">
        <f t="shared" si="1"/>
        <v>0</v>
      </c>
      <c r="DW6" s="57">
        <f t="shared" si="1"/>
        <v>0</v>
      </c>
      <c r="DX6" s="57">
        <f t="shared" si="1"/>
        <v>0</v>
      </c>
      <c r="DY6" s="57">
        <f t="shared" si="1"/>
        <v>0</v>
      </c>
      <c r="DZ6" s="57">
        <f t="shared" si="1"/>
        <v>0</v>
      </c>
      <c r="EA6" s="57">
        <f t="shared" si="1"/>
        <v>0</v>
      </c>
      <c r="EB6" s="57">
        <f>+EB4+EB5</f>
        <v>0</v>
      </c>
      <c r="EC6" s="57">
        <f>+EC4+EC5</f>
        <v>0</v>
      </c>
      <c r="ED6" s="57">
        <f>+ED4+ED5</f>
        <v>0</v>
      </c>
    </row>
    <row r="7" spans="2:134" x14ac:dyDescent="0.25"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  <c r="BT7" s="57"/>
      <c r="BU7" s="57"/>
      <c r="BV7" s="57"/>
      <c r="BW7" s="57"/>
      <c r="BX7" s="57"/>
      <c r="BY7" s="57"/>
      <c r="BZ7" s="57"/>
      <c r="CA7" s="57"/>
      <c r="CB7" s="57"/>
      <c r="CC7" s="57"/>
      <c r="CD7" s="57"/>
      <c r="CE7" s="57"/>
      <c r="CF7" s="57"/>
      <c r="CG7" s="57"/>
      <c r="CH7" s="57"/>
      <c r="CI7" s="57"/>
      <c r="CJ7" s="57"/>
      <c r="CK7" s="57"/>
      <c r="CL7" s="57"/>
      <c r="CM7" s="57"/>
      <c r="CN7" s="57"/>
      <c r="CO7" s="57"/>
      <c r="CP7" s="57"/>
      <c r="CQ7" s="57"/>
      <c r="CR7" s="57"/>
      <c r="CS7" s="57"/>
      <c r="CT7" s="57"/>
      <c r="CU7" s="57"/>
      <c r="CV7" s="57"/>
      <c r="CW7" s="57"/>
      <c r="CX7" s="57"/>
      <c r="CY7" s="57"/>
      <c r="CZ7" s="57"/>
      <c r="DA7" s="57"/>
      <c r="DB7" s="57"/>
      <c r="DC7" s="57"/>
      <c r="DD7" s="57"/>
      <c r="DE7" s="57"/>
      <c r="DF7" s="57"/>
      <c r="DG7" s="57"/>
      <c r="DH7" s="57"/>
      <c r="DI7" s="57"/>
      <c r="DJ7" s="57"/>
      <c r="DK7" s="57"/>
      <c r="DL7" s="57"/>
      <c r="DM7" s="57"/>
      <c r="DN7" s="57"/>
      <c r="DO7" s="57"/>
      <c r="DP7" s="57"/>
      <c r="DQ7" s="57"/>
      <c r="DR7" s="57"/>
      <c r="DS7" s="57"/>
      <c r="DT7" s="57"/>
      <c r="DU7" s="57"/>
      <c r="DV7" s="57"/>
      <c r="DW7" s="57"/>
      <c r="DX7" s="57"/>
      <c r="DY7" s="57"/>
      <c r="DZ7" s="57"/>
      <c r="EA7" s="57"/>
      <c r="EB7" s="57"/>
      <c r="EC7" s="57"/>
      <c r="ED7" s="57"/>
    </row>
    <row r="8" spans="2:134" s="47" customFormat="1" x14ac:dyDescent="0.25">
      <c r="B8" s="47" t="s">
        <v>96</v>
      </c>
      <c r="C8" s="68">
        <f>+C6+'1 Financiacion'!C15</f>
        <v>1144926299.7628591</v>
      </c>
      <c r="D8" s="68">
        <f>+D6</f>
        <v>-15073700.237140983</v>
      </c>
      <c r="E8" s="68">
        <f t="shared" ref="E8:BP8" si="2">+E6</f>
        <v>-15073700.237140983</v>
      </c>
      <c r="F8" s="68">
        <f t="shared" si="2"/>
        <v>-15073700.237140983</v>
      </c>
      <c r="G8" s="68">
        <f t="shared" si="2"/>
        <v>-15073700.237140983</v>
      </c>
      <c r="H8" s="68">
        <f t="shared" si="2"/>
        <v>-15073700.237140983</v>
      </c>
      <c r="I8" s="68">
        <f t="shared" si="2"/>
        <v>-15073700.237140983</v>
      </c>
      <c r="J8" s="68">
        <f t="shared" si="2"/>
        <v>-15073700.237140983</v>
      </c>
      <c r="K8" s="68">
        <f t="shared" si="2"/>
        <v>-15073700.237140983</v>
      </c>
      <c r="L8" s="68">
        <f t="shared" si="2"/>
        <v>-15073700.237140983</v>
      </c>
      <c r="M8" s="68">
        <f t="shared" si="2"/>
        <v>-15073700.237140983</v>
      </c>
      <c r="N8" s="68">
        <f t="shared" si="2"/>
        <v>-15073700.237140983</v>
      </c>
      <c r="O8" s="68">
        <f t="shared" si="2"/>
        <v>-15073700.237140983</v>
      </c>
      <c r="P8" s="68">
        <f t="shared" si="2"/>
        <v>-15073700.237140983</v>
      </c>
      <c r="Q8" s="68">
        <f t="shared" si="2"/>
        <v>-15073700.237140983</v>
      </c>
      <c r="R8" s="68">
        <f t="shared" si="2"/>
        <v>-15073700.237140983</v>
      </c>
      <c r="S8" s="68">
        <f t="shared" si="2"/>
        <v>-15073700.237140983</v>
      </c>
      <c r="T8" s="68">
        <f t="shared" si="2"/>
        <v>-15073700.237140983</v>
      </c>
      <c r="U8" s="68">
        <f t="shared" si="2"/>
        <v>-15073700.237140983</v>
      </c>
      <c r="V8" s="68">
        <f t="shared" si="2"/>
        <v>-15073700.237140983</v>
      </c>
      <c r="W8" s="68">
        <f t="shared" si="2"/>
        <v>-15073700.237140983</v>
      </c>
      <c r="X8" s="68">
        <f t="shared" si="2"/>
        <v>-15073700.237140983</v>
      </c>
      <c r="Y8" s="68">
        <f t="shared" si="2"/>
        <v>-15073700.237140983</v>
      </c>
      <c r="Z8" s="68">
        <f t="shared" si="2"/>
        <v>-15073700.237140983</v>
      </c>
      <c r="AA8" s="68">
        <f t="shared" si="2"/>
        <v>-15073700.237140983</v>
      </c>
      <c r="AB8" s="68">
        <f t="shared" si="2"/>
        <v>-15073700.237140983</v>
      </c>
      <c r="AC8" s="68">
        <f t="shared" si="2"/>
        <v>-15073700.237140983</v>
      </c>
      <c r="AD8" s="68">
        <f t="shared" si="2"/>
        <v>-15073700.237140983</v>
      </c>
      <c r="AE8" s="68">
        <f t="shared" si="2"/>
        <v>-15073700.237140983</v>
      </c>
      <c r="AF8" s="68">
        <f t="shared" si="2"/>
        <v>-15073700.237140983</v>
      </c>
      <c r="AG8" s="68">
        <f t="shared" si="2"/>
        <v>-15073700.237140983</v>
      </c>
      <c r="AH8" s="68">
        <f t="shared" si="2"/>
        <v>-15073700.237140983</v>
      </c>
      <c r="AI8" s="68">
        <f t="shared" si="2"/>
        <v>-15073700.237140983</v>
      </c>
      <c r="AJ8" s="68">
        <f t="shared" si="2"/>
        <v>-15073700.237140983</v>
      </c>
      <c r="AK8" s="68">
        <f t="shared" si="2"/>
        <v>-15073700.237140983</v>
      </c>
      <c r="AL8" s="68">
        <f t="shared" si="2"/>
        <v>-15073700.237140983</v>
      </c>
      <c r="AM8" s="68">
        <f t="shared" si="2"/>
        <v>-15073700.237140983</v>
      </c>
      <c r="AN8" s="68">
        <f t="shared" si="2"/>
        <v>-15073700.237140983</v>
      </c>
      <c r="AO8" s="68">
        <f t="shared" si="2"/>
        <v>-15073700.237140983</v>
      </c>
      <c r="AP8" s="68">
        <f t="shared" si="2"/>
        <v>-15073700.237140983</v>
      </c>
      <c r="AQ8" s="68">
        <f t="shared" si="2"/>
        <v>-15073700.237140983</v>
      </c>
      <c r="AR8" s="68">
        <f t="shared" si="2"/>
        <v>-15073700.237140983</v>
      </c>
      <c r="AS8" s="68">
        <f t="shared" si="2"/>
        <v>-15073700.237140983</v>
      </c>
      <c r="AT8" s="68">
        <f t="shared" si="2"/>
        <v>-15073700.237140983</v>
      </c>
      <c r="AU8" s="68">
        <f t="shared" si="2"/>
        <v>-15073700.237140983</v>
      </c>
      <c r="AV8" s="68">
        <f t="shared" si="2"/>
        <v>-15073700.237140983</v>
      </c>
      <c r="AW8" s="68">
        <f t="shared" si="2"/>
        <v>-15073700.237140983</v>
      </c>
      <c r="AX8" s="68">
        <f t="shared" si="2"/>
        <v>-15073700.237140983</v>
      </c>
      <c r="AY8" s="68">
        <f t="shared" si="2"/>
        <v>-15073700.237140983</v>
      </c>
      <c r="AZ8" s="68">
        <f t="shared" si="2"/>
        <v>-15073700.237140983</v>
      </c>
      <c r="BA8" s="68">
        <f t="shared" si="2"/>
        <v>-15073700.237140983</v>
      </c>
      <c r="BB8" s="68">
        <f t="shared" si="2"/>
        <v>-15073700.237140983</v>
      </c>
      <c r="BC8" s="68">
        <f t="shared" si="2"/>
        <v>-15073700.237140983</v>
      </c>
      <c r="BD8" s="68">
        <f t="shared" si="2"/>
        <v>-15073700.237140983</v>
      </c>
      <c r="BE8" s="68">
        <f t="shared" si="2"/>
        <v>-15073700.237140983</v>
      </c>
      <c r="BF8" s="68">
        <f t="shared" si="2"/>
        <v>-15073700.237140983</v>
      </c>
      <c r="BG8" s="68">
        <f t="shared" si="2"/>
        <v>-15073700.237140983</v>
      </c>
      <c r="BH8" s="68">
        <f t="shared" si="2"/>
        <v>-15073700.237140983</v>
      </c>
      <c r="BI8" s="68">
        <f t="shared" si="2"/>
        <v>-15073700.237140983</v>
      </c>
      <c r="BJ8" s="68">
        <f t="shared" si="2"/>
        <v>-15073700.237140983</v>
      </c>
      <c r="BK8" s="68">
        <f t="shared" si="2"/>
        <v>-15073700.237140983</v>
      </c>
      <c r="BL8" s="68">
        <f t="shared" si="2"/>
        <v>-15073700.237140983</v>
      </c>
      <c r="BM8" s="68">
        <f t="shared" si="2"/>
        <v>-15073700.237140983</v>
      </c>
      <c r="BN8" s="68">
        <f t="shared" si="2"/>
        <v>-15073700.237140983</v>
      </c>
      <c r="BO8" s="68">
        <f t="shared" si="2"/>
        <v>-15073700.237140983</v>
      </c>
      <c r="BP8" s="68">
        <f t="shared" si="2"/>
        <v>-15073700.237140983</v>
      </c>
      <c r="BQ8" s="68">
        <f t="shared" ref="BQ8:EB8" si="3">+BQ6</f>
        <v>-15073700.237140983</v>
      </c>
      <c r="BR8" s="68">
        <f t="shared" si="3"/>
        <v>-15073700.237140983</v>
      </c>
      <c r="BS8" s="68">
        <f t="shared" si="3"/>
        <v>-15073700.237140983</v>
      </c>
      <c r="BT8" s="68">
        <f t="shared" si="3"/>
        <v>-15073700.237140983</v>
      </c>
      <c r="BU8" s="68">
        <f t="shared" si="3"/>
        <v>-15073700.237140983</v>
      </c>
      <c r="BV8" s="68">
        <f t="shared" si="3"/>
        <v>-15073700.237140983</v>
      </c>
      <c r="BW8" s="68">
        <f t="shared" si="3"/>
        <v>-15073700.237140983</v>
      </c>
      <c r="BX8" s="68">
        <f t="shared" si="3"/>
        <v>-15073700.237140983</v>
      </c>
      <c r="BY8" s="68">
        <f t="shared" si="3"/>
        <v>-15073700.237140983</v>
      </c>
      <c r="BZ8" s="68">
        <f t="shared" si="3"/>
        <v>-15073700.237140983</v>
      </c>
      <c r="CA8" s="68">
        <f t="shared" si="3"/>
        <v>-15073700.237140983</v>
      </c>
      <c r="CB8" s="68">
        <f t="shared" si="3"/>
        <v>-15073700.237140983</v>
      </c>
      <c r="CC8" s="68">
        <f t="shared" si="3"/>
        <v>-15073700.237140983</v>
      </c>
      <c r="CD8" s="68">
        <f t="shared" si="3"/>
        <v>-15073700.237140983</v>
      </c>
      <c r="CE8" s="68">
        <f t="shared" si="3"/>
        <v>-15073700.237140983</v>
      </c>
      <c r="CF8" s="68">
        <f t="shared" si="3"/>
        <v>-15073700.237140983</v>
      </c>
      <c r="CG8" s="68">
        <f t="shared" si="3"/>
        <v>-15073700.237140983</v>
      </c>
      <c r="CH8" s="68">
        <f t="shared" si="3"/>
        <v>-15073700.237140983</v>
      </c>
      <c r="CI8" s="68">
        <f t="shared" si="3"/>
        <v>-15073700.237140983</v>
      </c>
      <c r="CJ8" s="68">
        <f t="shared" si="3"/>
        <v>-15073700.237140983</v>
      </c>
      <c r="CK8" s="68">
        <f t="shared" si="3"/>
        <v>-15073700.237140983</v>
      </c>
      <c r="CL8" s="68">
        <f t="shared" si="3"/>
        <v>-15073700.237140983</v>
      </c>
      <c r="CM8" s="68">
        <f t="shared" si="3"/>
        <v>-15073700.237140983</v>
      </c>
      <c r="CN8" s="68">
        <f t="shared" si="3"/>
        <v>-15073700.237140983</v>
      </c>
      <c r="CO8" s="68">
        <f t="shared" si="3"/>
        <v>-15073700.237140983</v>
      </c>
      <c r="CP8" s="68">
        <f t="shared" si="3"/>
        <v>-15073700.237140983</v>
      </c>
      <c r="CQ8" s="68">
        <f t="shared" si="3"/>
        <v>-15073700.237140983</v>
      </c>
      <c r="CR8" s="68">
        <f t="shared" si="3"/>
        <v>-15073700.237140983</v>
      </c>
      <c r="CS8" s="68">
        <f t="shared" si="3"/>
        <v>-15073700.237140983</v>
      </c>
      <c r="CT8" s="68">
        <f t="shared" si="3"/>
        <v>-15073700.237140983</v>
      </c>
      <c r="CU8" s="68">
        <f t="shared" si="3"/>
        <v>-15073700.237140983</v>
      </c>
      <c r="CV8" s="68">
        <f t="shared" si="3"/>
        <v>-15073700.237140983</v>
      </c>
      <c r="CW8" s="68">
        <f t="shared" si="3"/>
        <v>-15073700.237140983</v>
      </c>
      <c r="CX8" s="68">
        <f t="shared" si="3"/>
        <v>-15073700.237140983</v>
      </c>
      <c r="CY8" s="68">
        <f t="shared" si="3"/>
        <v>-15073700.237140983</v>
      </c>
      <c r="CZ8" s="68">
        <f t="shared" si="3"/>
        <v>-15073700.237140983</v>
      </c>
      <c r="DA8" s="68">
        <f t="shared" si="3"/>
        <v>-15073700.237140983</v>
      </c>
      <c r="DB8" s="68">
        <f t="shared" si="3"/>
        <v>-15073700.237140983</v>
      </c>
      <c r="DC8" s="68">
        <f t="shared" si="3"/>
        <v>-15073700.237140983</v>
      </c>
      <c r="DD8" s="68">
        <f t="shared" si="3"/>
        <v>-15073700.237140983</v>
      </c>
      <c r="DE8" s="68">
        <f t="shared" si="3"/>
        <v>-15073700.237140983</v>
      </c>
      <c r="DF8" s="68">
        <f t="shared" si="3"/>
        <v>-15073700.237140983</v>
      </c>
      <c r="DG8" s="68">
        <f t="shared" si="3"/>
        <v>-15073700.237140983</v>
      </c>
      <c r="DH8" s="68">
        <f t="shared" si="3"/>
        <v>-15073700.237140983</v>
      </c>
      <c r="DI8" s="68">
        <f t="shared" si="3"/>
        <v>-15073700.237140983</v>
      </c>
      <c r="DJ8" s="68">
        <f t="shared" si="3"/>
        <v>-15073700.237140983</v>
      </c>
      <c r="DK8" s="68">
        <f t="shared" si="3"/>
        <v>-15073700.237140983</v>
      </c>
      <c r="DL8" s="68">
        <f t="shared" si="3"/>
        <v>-15073700.237140983</v>
      </c>
      <c r="DM8" s="68">
        <f t="shared" si="3"/>
        <v>-15073700.237140983</v>
      </c>
      <c r="DN8" s="68">
        <f t="shared" si="3"/>
        <v>-15073700.237140983</v>
      </c>
      <c r="DO8" s="68">
        <f t="shared" si="3"/>
        <v>-15073700.237140983</v>
      </c>
      <c r="DP8" s="68">
        <f t="shared" si="3"/>
        <v>-15073700.237140983</v>
      </c>
      <c r="DQ8" s="68">
        <f t="shared" si="3"/>
        <v>-15073700.237140983</v>
      </c>
      <c r="DR8" s="68">
        <f t="shared" si="3"/>
        <v>-15073700.237140983</v>
      </c>
      <c r="DS8" s="68">
        <f t="shared" si="3"/>
        <v>0</v>
      </c>
      <c r="DT8" s="68">
        <f t="shared" si="3"/>
        <v>0</v>
      </c>
      <c r="DU8" s="68">
        <f t="shared" si="3"/>
        <v>0</v>
      </c>
      <c r="DV8" s="68">
        <f t="shared" si="3"/>
        <v>0</v>
      </c>
      <c r="DW8" s="68">
        <f t="shared" si="3"/>
        <v>0</v>
      </c>
      <c r="DX8" s="68">
        <f t="shared" si="3"/>
        <v>0</v>
      </c>
      <c r="DY8" s="68">
        <f t="shared" si="3"/>
        <v>0</v>
      </c>
      <c r="DZ8" s="68">
        <f t="shared" si="3"/>
        <v>0</v>
      </c>
      <c r="EA8" s="68">
        <f t="shared" si="3"/>
        <v>0</v>
      </c>
      <c r="EB8" s="68">
        <f t="shared" si="3"/>
        <v>0</v>
      </c>
      <c r="EC8" s="68">
        <f>+EC6</f>
        <v>0</v>
      </c>
      <c r="ED8" s="68">
        <f>+ED6</f>
        <v>0</v>
      </c>
    </row>
    <row r="14" spans="2:134" s="70" customFormat="1" ht="18" x14ac:dyDescent="0.35">
      <c r="B14" s="40" t="s">
        <v>214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  <c r="DI14" s="69"/>
      <c r="DJ14" s="69"/>
      <c r="DK14" s="69"/>
      <c r="DL14" s="69"/>
      <c r="DM14" s="69"/>
      <c r="DN14" s="69"/>
      <c r="DO14" s="69"/>
      <c r="DP14" s="69"/>
      <c r="DQ14" s="69"/>
      <c r="DR14" s="69"/>
      <c r="DS14" s="69"/>
      <c r="DT14" s="69"/>
      <c r="DU14" s="69"/>
      <c r="DV14" s="69"/>
      <c r="DW14" s="69"/>
      <c r="DX14" s="69"/>
      <c r="DY14" s="69"/>
      <c r="DZ14" s="69"/>
      <c r="EA14" s="69"/>
      <c r="EB14" s="69"/>
      <c r="EC14" s="69"/>
      <c r="ED14" s="69"/>
    </row>
    <row r="15" spans="2:134" s="73" customFormat="1" ht="18" x14ac:dyDescent="0.35">
      <c r="B15" s="71"/>
      <c r="C15" s="72">
        <v>2021</v>
      </c>
      <c r="D15" s="72">
        <f>+C15+1</f>
        <v>2022</v>
      </c>
      <c r="E15" s="72">
        <f>+D15+1</f>
        <v>2023</v>
      </c>
      <c r="F15" s="72">
        <f t="shared" ref="F15:M15" si="4">+E15+1</f>
        <v>2024</v>
      </c>
      <c r="G15" s="72">
        <f t="shared" si="4"/>
        <v>2025</v>
      </c>
      <c r="H15" s="72">
        <f t="shared" si="4"/>
        <v>2026</v>
      </c>
      <c r="I15" s="72">
        <f t="shared" si="4"/>
        <v>2027</v>
      </c>
      <c r="J15" s="72">
        <f t="shared" si="4"/>
        <v>2028</v>
      </c>
      <c r="K15" s="72">
        <f t="shared" si="4"/>
        <v>2029</v>
      </c>
      <c r="L15" s="72">
        <f t="shared" si="4"/>
        <v>2030</v>
      </c>
      <c r="M15" s="72">
        <f t="shared" si="4"/>
        <v>2031</v>
      </c>
    </row>
    <row r="16" spans="2:134" x14ac:dyDescent="0.25">
      <c r="B16" s="45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</row>
    <row r="17" spans="2:13" x14ac:dyDescent="0.25">
      <c r="B17" s="48" t="str">
        <f>+B4</f>
        <v>INTERES</v>
      </c>
      <c r="C17" s="68">
        <f>+SUM(C4:N4)</f>
        <v>-108217863.64848511</v>
      </c>
      <c r="D17" s="68">
        <f>+SUM(O4:Z4)</f>
        <v>-100926598.02856429</v>
      </c>
      <c r="E17" s="68">
        <f>+SUM(AA4:AL4)</f>
        <v>-92903736.340803102</v>
      </c>
      <c r="F17" s="68">
        <f>+SUM(AM4:AX4)</f>
        <v>-84075871.191426665</v>
      </c>
      <c r="G17" s="68">
        <f>+SUM(AY4:BJ4)</f>
        <v>-74362229.584659502</v>
      </c>
      <c r="H17" s="68">
        <f>+SUM(BK4:BV4)</f>
        <v>-63673933.867842495</v>
      </c>
      <c r="I17" s="68">
        <f>+SUM(BW4:CH4)</f>
        <v>-51913188.52074822</v>
      </c>
      <c r="J17" s="68">
        <f>+SUM(CI4:CT4)</f>
        <v>-38972385.348398238</v>
      </c>
      <c r="K17" s="68">
        <f>+SUM(CU4:DF4)</f>
        <v>-24733118.890096884</v>
      </c>
      <c r="L17" s="68">
        <f>+SUM(DG4:DR4)</f>
        <v>-9065103.0358934551</v>
      </c>
      <c r="M17" s="68">
        <f>+SUM(DS4:ED4)</f>
        <v>0</v>
      </c>
    </row>
    <row r="18" spans="2:13" x14ac:dyDescent="0.25">
      <c r="B18" s="48" t="str">
        <f>+B5</f>
        <v>KTAL</v>
      </c>
      <c r="C18" s="68">
        <f>+SUM(C5:N5)</f>
        <v>-72666539.197206676</v>
      </c>
      <c r="D18" s="68">
        <f>+SUM(O5:Z5)</f>
        <v>-79957804.817127526</v>
      </c>
      <c r="E18" s="68">
        <f>+SUM(AA5:AL5)</f>
        <v>-87980666.504888698</v>
      </c>
      <c r="F18" s="68">
        <f>+SUM(AM5:AX5)</f>
        <v>-96808531.654265136</v>
      </c>
      <c r="G18" s="68">
        <f>+SUM(AY5:BJ5)</f>
        <v>-106522173.26103231</v>
      </c>
      <c r="H18" s="68">
        <f>+SUM(BK5:BV5)</f>
        <v>-117210468.97784932</v>
      </c>
      <c r="I18" s="68">
        <f>+SUM(BW5:CH5)</f>
        <v>-128971214.32494357</v>
      </c>
      <c r="J18" s="68">
        <f>+SUM(CI5:CT5)</f>
        <v>-141912017.49729356</v>
      </c>
      <c r="K18" s="68">
        <f>+SUM(CU5:DF5)</f>
        <v>-156151283.95559493</v>
      </c>
      <c r="L18" s="68">
        <f>+SUM(DG5:DR5)</f>
        <v>-171819299.80979833</v>
      </c>
      <c r="M18" s="68">
        <f>+SUM(DS5:ED5)</f>
        <v>0</v>
      </c>
    </row>
    <row r="19" spans="2:13" x14ac:dyDescent="0.25">
      <c r="B19" s="48" t="str">
        <f>+B6</f>
        <v>CUOTA</v>
      </c>
      <c r="C19" s="68">
        <f>+SUM(C6:N6)</f>
        <v>-180884402.8456918</v>
      </c>
      <c r="D19" s="68">
        <f>+SUM(O6:Z6)</f>
        <v>-180884402.8456918</v>
      </c>
      <c r="E19" s="68">
        <f>+SUM(AA6:AL6)</f>
        <v>-180884402.8456918</v>
      </c>
      <c r="F19" s="68">
        <f>+SUM(AM6:AX6)</f>
        <v>-180884402.8456918</v>
      </c>
      <c r="G19" s="68">
        <f>+SUM(AY6:BJ6)</f>
        <v>-180884402.8456918</v>
      </c>
      <c r="H19" s="68">
        <f>+SUM(BK6:BV6)</f>
        <v>-180884402.8456918</v>
      </c>
      <c r="I19" s="68">
        <f>+SUM(BW6:CH6)</f>
        <v>-180884402.8456918</v>
      </c>
      <c r="J19" s="68">
        <f>+SUM(CI6:CT6)</f>
        <v>-180884402.8456918</v>
      </c>
      <c r="K19" s="68">
        <f>+SUM(CU6:DF6)</f>
        <v>-180884402.8456918</v>
      </c>
      <c r="L19" s="68">
        <f>+SUM(DG6:DR6)</f>
        <v>-180884402.8456918</v>
      </c>
      <c r="M19" s="68">
        <f>+SUM(DS6:ED6)</f>
        <v>0</v>
      </c>
    </row>
    <row r="20" spans="2:13" x14ac:dyDescent="0.25">
      <c r="B20" s="48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</row>
    <row r="21" spans="2:13" x14ac:dyDescent="0.25">
      <c r="B21" s="48" t="str">
        <f>+B8</f>
        <v>FC FINANCIACIÓN</v>
      </c>
      <c r="C21" s="57">
        <f>+C19+'1 Financiacion'!C15</f>
        <v>979115597.1543082</v>
      </c>
      <c r="D21" s="68">
        <f>+D19</f>
        <v>-180884402.8456918</v>
      </c>
      <c r="E21" s="68">
        <f t="shared" ref="E21:M21" si="5">+E19</f>
        <v>-180884402.8456918</v>
      </c>
      <c r="F21" s="68">
        <f t="shared" si="5"/>
        <v>-180884402.8456918</v>
      </c>
      <c r="G21" s="68">
        <f t="shared" si="5"/>
        <v>-180884402.8456918</v>
      </c>
      <c r="H21" s="68">
        <f t="shared" si="5"/>
        <v>-180884402.8456918</v>
      </c>
      <c r="I21" s="68">
        <f t="shared" si="5"/>
        <v>-180884402.8456918</v>
      </c>
      <c r="J21" s="68">
        <f t="shared" si="5"/>
        <v>-180884402.8456918</v>
      </c>
      <c r="K21" s="68">
        <f t="shared" si="5"/>
        <v>-180884402.8456918</v>
      </c>
      <c r="L21" s="68">
        <f t="shared" si="5"/>
        <v>-180884402.8456918</v>
      </c>
      <c r="M21" s="68">
        <f t="shared" si="5"/>
        <v>0</v>
      </c>
    </row>
    <row r="22" spans="2:13" x14ac:dyDescent="0.25">
      <c r="B22" s="45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2:13" x14ac:dyDescent="0.25">
      <c r="B23" s="45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</row>
  </sheetData>
  <mergeCells count="12">
    <mergeCell ref="B14:M14"/>
    <mergeCell ref="BW1:CH1"/>
    <mergeCell ref="CI1:CT1"/>
    <mergeCell ref="CU1:DF1"/>
    <mergeCell ref="DG1:DR1"/>
    <mergeCell ref="DS1:ED1"/>
    <mergeCell ref="BK1:BV1"/>
    <mergeCell ref="C1:N1"/>
    <mergeCell ref="O1:Z1"/>
    <mergeCell ref="AA1:AL1"/>
    <mergeCell ref="AM1:AX1"/>
    <mergeCell ref="AY1:BJ1"/>
  </mergeCells>
  <conditionalFormatting sqref="A4:XFD8">
    <cfRule type="cellIs" dxfId="71" priority="7" operator="lessThan">
      <formula>0</formula>
    </cfRule>
  </conditionalFormatting>
  <conditionalFormatting sqref="B17:M17 B18:B20 C18:M19">
    <cfRule type="cellIs" dxfId="70" priority="6" operator="lessThan">
      <formula>0</formula>
    </cfRule>
  </conditionalFormatting>
  <conditionalFormatting sqref="B21">
    <cfRule type="cellIs" dxfId="69" priority="5" operator="lessThan">
      <formula>0</formula>
    </cfRule>
  </conditionalFormatting>
  <conditionalFormatting sqref="D21:M21">
    <cfRule type="cellIs" dxfId="68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scale="4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B1:ED23"/>
  <sheetViews>
    <sheetView showGridLines="0" zoomScale="85" zoomScaleNormal="85" workbookViewId="0"/>
  </sheetViews>
  <sheetFormatPr defaultColWidth="11.44140625" defaultRowHeight="13.8" x14ac:dyDescent="0.25"/>
  <cols>
    <col min="1" max="1" width="1" style="36" customWidth="1"/>
    <col min="2" max="2" width="26.109375" style="36" customWidth="1"/>
    <col min="3" max="3" width="21.109375" style="36" bestFit="1" customWidth="1"/>
    <col min="4" max="4" width="18.88671875" style="36" customWidth="1"/>
    <col min="5" max="10" width="19.6640625" style="36" bestFit="1" customWidth="1"/>
    <col min="11" max="11" width="18.88671875" style="36" customWidth="1"/>
    <col min="12" max="12" width="20.21875" style="36" bestFit="1" customWidth="1"/>
    <col min="13" max="13" width="19.6640625" style="36" bestFit="1" customWidth="1"/>
    <col min="14" max="122" width="15.21875" style="36" bestFit="1" customWidth="1"/>
    <col min="123" max="125" width="14.6640625" style="36" bestFit="1" customWidth="1"/>
    <col min="126" max="126" width="12.44140625" style="36" bestFit="1" customWidth="1"/>
    <col min="127" max="133" width="14.6640625" style="36" bestFit="1" customWidth="1"/>
    <col min="134" max="134" width="14.21875" style="36" bestFit="1" customWidth="1"/>
    <col min="135" max="16384" width="11.44140625" style="36"/>
  </cols>
  <sheetData>
    <row r="1" spans="2:134" s="53" customFormat="1" ht="20.399999999999999" x14ac:dyDescent="0.35">
      <c r="C1" s="54">
        <v>2021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>
        <v>2022</v>
      </c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>
        <v>2023</v>
      </c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>
        <v>2024</v>
      </c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>
        <v>2025</v>
      </c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>
        <v>2026</v>
      </c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>
        <v>2027</v>
      </c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>
        <v>2028</v>
      </c>
      <c r="CJ1" s="54"/>
      <c r="CK1" s="54"/>
      <c r="CL1" s="54"/>
      <c r="CM1" s="54"/>
      <c r="CN1" s="54"/>
      <c r="CO1" s="54"/>
      <c r="CP1" s="54"/>
      <c r="CQ1" s="54"/>
      <c r="CR1" s="54"/>
      <c r="CS1" s="54"/>
      <c r="CT1" s="54"/>
      <c r="CU1" s="54">
        <v>2029</v>
      </c>
      <c r="CV1" s="54"/>
      <c r="CW1" s="54"/>
      <c r="CX1" s="54"/>
      <c r="CY1" s="54"/>
      <c r="CZ1" s="54"/>
      <c r="DA1" s="54"/>
      <c r="DB1" s="54"/>
      <c r="DC1" s="54"/>
      <c r="DD1" s="54"/>
      <c r="DE1" s="54"/>
      <c r="DF1" s="54"/>
      <c r="DG1" s="54">
        <v>2030</v>
      </c>
      <c r="DH1" s="54"/>
      <c r="DI1" s="54"/>
      <c r="DJ1" s="54"/>
      <c r="DK1" s="54"/>
      <c r="DL1" s="54"/>
      <c r="DM1" s="54"/>
      <c r="DN1" s="54"/>
      <c r="DO1" s="54"/>
      <c r="DP1" s="54"/>
      <c r="DQ1" s="54"/>
      <c r="DR1" s="54"/>
      <c r="DS1" s="54">
        <v>2031</v>
      </c>
      <c r="DT1" s="54"/>
      <c r="DU1" s="54"/>
      <c r="DV1" s="54"/>
      <c r="DW1" s="54"/>
      <c r="DX1" s="54"/>
      <c r="DY1" s="54"/>
      <c r="DZ1" s="54"/>
      <c r="EA1" s="54"/>
      <c r="EB1" s="54"/>
      <c r="EC1" s="54"/>
      <c r="ED1" s="54"/>
    </row>
    <row r="2" spans="2:134" s="55" customFormat="1" x14ac:dyDescent="0.25">
      <c r="C2" s="56" t="s">
        <v>69</v>
      </c>
      <c r="D2" s="56" t="s">
        <v>70</v>
      </c>
      <c r="E2" s="56" t="s">
        <v>71</v>
      </c>
      <c r="F2" s="56" t="s">
        <v>58</v>
      </c>
      <c r="G2" s="56" t="s">
        <v>72</v>
      </c>
      <c r="H2" s="56" t="s">
        <v>73</v>
      </c>
      <c r="I2" s="56" t="s">
        <v>74</v>
      </c>
      <c r="J2" s="56" t="s">
        <v>75</v>
      </c>
      <c r="K2" s="56" t="s">
        <v>76</v>
      </c>
      <c r="L2" s="56" t="s">
        <v>77</v>
      </c>
      <c r="M2" s="56" t="s">
        <v>78</v>
      </c>
      <c r="N2" s="56" t="s">
        <v>79</v>
      </c>
      <c r="O2" s="56" t="s">
        <v>69</v>
      </c>
      <c r="P2" s="56" t="s">
        <v>70</v>
      </c>
      <c r="Q2" s="56" t="s">
        <v>71</v>
      </c>
      <c r="R2" s="56" t="s">
        <v>58</v>
      </c>
      <c r="S2" s="56" t="s">
        <v>72</v>
      </c>
      <c r="T2" s="56" t="s">
        <v>73</v>
      </c>
      <c r="U2" s="56" t="s">
        <v>74</v>
      </c>
      <c r="V2" s="56" t="s">
        <v>75</v>
      </c>
      <c r="W2" s="56" t="s">
        <v>76</v>
      </c>
      <c r="X2" s="56" t="s">
        <v>77</v>
      </c>
      <c r="Y2" s="56" t="s">
        <v>78</v>
      </c>
      <c r="Z2" s="56" t="s">
        <v>79</v>
      </c>
      <c r="AA2" s="56" t="s">
        <v>69</v>
      </c>
      <c r="AB2" s="56" t="s">
        <v>70</v>
      </c>
      <c r="AC2" s="56" t="s">
        <v>71</v>
      </c>
      <c r="AD2" s="56" t="s">
        <v>58</v>
      </c>
      <c r="AE2" s="56" t="s">
        <v>72</v>
      </c>
      <c r="AF2" s="56" t="s">
        <v>73</v>
      </c>
      <c r="AG2" s="56" t="s">
        <v>74</v>
      </c>
      <c r="AH2" s="56" t="s">
        <v>75</v>
      </c>
      <c r="AI2" s="56" t="s">
        <v>76</v>
      </c>
      <c r="AJ2" s="56" t="s">
        <v>77</v>
      </c>
      <c r="AK2" s="56" t="s">
        <v>78</v>
      </c>
      <c r="AL2" s="56" t="s">
        <v>79</v>
      </c>
      <c r="AM2" s="56" t="s">
        <v>69</v>
      </c>
      <c r="AN2" s="56" t="s">
        <v>70</v>
      </c>
      <c r="AO2" s="56" t="s">
        <v>71</v>
      </c>
      <c r="AP2" s="56" t="s">
        <v>58</v>
      </c>
      <c r="AQ2" s="56" t="s">
        <v>72</v>
      </c>
      <c r="AR2" s="56" t="s">
        <v>73</v>
      </c>
      <c r="AS2" s="56" t="s">
        <v>74</v>
      </c>
      <c r="AT2" s="56" t="s">
        <v>75</v>
      </c>
      <c r="AU2" s="56" t="s">
        <v>76</v>
      </c>
      <c r="AV2" s="56" t="s">
        <v>77</v>
      </c>
      <c r="AW2" s="56" t="s">
        <v>78</v>
      </c>
      <c r="AX2" s="56" t="s">
        <v>79</v>
      </c>
      <c r="AY2" s="56" t="s">
        <v>69</v>
      </c>
      <c r="AZ2" s="56" t="s">
        <v>70</v>
      </c>
      <c r="BA2" s="56" t="s">
        <v>71</v>
      </c>
      <c r="BB2" s="56" t="s">
        <v>58</v>
      </c>
      <c r="BC2" s="56" t="s">
        <v>72</v>
      </c>
      <c r="BD2" s="56" t="s">
        <v>73</v>
      </c>
      <c r="BE2" s="56" t="s">
        <v>74</v>
      </c>
      <c r="BF2" s="56" t="s">
        <v>75</v>
      </c>
      <c r="BG2" s="56" t="s">
        <v>76</v>
      </c>
      <c r="BH2" s="56" t="s">
        <v>77</v>
      </c>
      <c r="BI2" s="56" t="s">
        <v>78</v>
      </c>
      <c r="BJ2" s="56" t="s">
        <v>79</v>
      </c>
      <c r="BK2" s="56" t="s">
        <v>69</v>
      </c>
      <c r="BL2" s="56" t="s">
        <v>70</v>
      </c>
      <c r="BM2" s="56" t="s">
        <v>71</v>
      </c>
      <c r="BN2" s="56" t="s">
        <v>58</v>
      </c>
      <c r="BO2" s="56" t="s">
        <v>72</v>
      </c>
      <c r="BP2" s="56" t="s">
        <v>73</v>
      </c>
      <c r="BQ2" s="56" t="s">
        <v>74</v>
      </c>
      <c r="BR2" s="56" t="s">
        <v>75</v>
      </c>
      <c r="BS2" s="56" t="s">
        <v>76</v>
      </c>
      <c r="BT2" s="56" t="s">
        <v>77</v>
      </c>
      <c r="BU2" s="56" t="s">
        <v>78</v>
      </c>
      <c r="BV2" s="56" t="s">
        <v>79</v>
      </c>
      <c r="BW2" s="56" t="s">
        <v>69</v>
      </c>
      <c r="BX2" s="56" t="s">
        <v>70</v>
      </c>
      <c r="BY2" s="56" t="s">
        <v>71</v>
      </c>
      <c r="BZ2" s="56" t="s">
        <v>58</v>
      </c>
      <c r="CA2" s="56" t="s">
        <v>72</v>
      </c>
      <c r="CB2" s="56" t="s">
        <v>73</v>
      </c>
      <c r="CC2" s="56" t="s">
        <v>74</v>
      </c>
      <c r="CD2" s="56" t="s">
        <v>75</v>
      </c>
      <c r="CE2" s="56" t="s">
        <v>76</v>
      </c>
      <c r="CF2" s="56" t="s">
        <v>77</v>
      </c>
      <c r="CG2" s="56" t="s">
        <v>78</v>
      </c>
      <c r="CH2" s="56" t="s">
        <v>79</v>
      </c>
      <c r="CI2" s="56" t="s">
        <v>69</v>
      </c>
      <c r="CJ2" s="56" t="s">
        <v>70</v>
      </c>
      <c r="CK2" s="56" t="s">
        <v>71</v>
      </c>
      <c r="CL2" s="56" t="s">
        <v>58</v>
      </c>
      <c r="CM2" s="56" t="s">
        <v>72</v>
      </c>
      <c r="CN2" s="56" t="s">
        <v>73</v>
      </c>
      <c r="CO2" s="56" t="s">
        <v>74</v>
      </c>
      <c r="CP2" s="56" t="s">
        <v>75</v>
      </c>
      <c r="CQ2" s="56" t="s">
        <v>76</v>
      </c>
      <c r="CR2" s="56" t="s">
        <v>77</v>
      </c>
      <c r="CS2" s="56" t="s">
        <v>78</v>
      </c>
      <c r="CT2" s="56" t="s">
        <v>79</v>
      </c>
      <c r="CU2" s="56" t="s">
        <v>69</v>
      </c>
      <c r="CV2" s="56" t="s">
        <v>70</v>
      </c>
      <c r="CW2" s="56" t="s">
        <v>71</v>
      </c>
      <c r="CX2" s="56" t="s">
        <v>58</v>
      </c>
      <c r="CY2" s="56" t="s">
        <v>72</v>
      </c>
      <c r="CZ2" s="56" t="s">
        <v>73</v>
      </c>
      <c r="DA2" s="56" t="s">
        <v>74</v>
      </c>
      <c r="DB2" s="56" t="s">
        <v>75</v>
      </c>
      <c r="DC2" s="56" t="s">
        <v>76</v>
      </c>
      <c r="DD2" s="56" t="s">
        <v>77</v>
      </c>
      <c r="DE2" s="56" t="s">
        <v>78</v>
      </c>
      <c r="DF2" s="56" t="s">
        <v>79</v>
      </c>
      <c r="DG2" s="56" t="s">
        <v>69</v>
      </c>
      <c r="DH2" s="56" t="s">
        <v>70</v>
      </c>
      <c r="DI2" s="56" t="s">
        <v>71</v>
      </c>
      <c r="DJ2" s="56" t="s">
        <v>58</v>
      </c>
      <c r="DK2" s="56" t="s">
        <v>72</v>
      </c>
      <c r="DL2" s="56" t="s">
        <v>73</v>
      </c>
      <c r="DM2" s="56" t="s">
        <v>74</v>
      </c>
      <c r="DN2" s="56" t="s">
        <v>75</v>
      </c>
      <c r="DO2" s="56" t="s">
        <v>76</v>
      </c>
      <c r="DP2" s="56" t="s">
        <v>77</v>
      </c>
      <c r="DQ2" s="56" t="s">
        <v>78</v>
      </c>
      <c r="DR2" s="56" t="s">
        <v>79</v>
      </c>
      <c r="DS2" s="56" t="s">
        <v>69</v>
      </c>
      <c r="DT2" s="56" t="s">
        <v>70</v>
      </c>
      <c r="DU2" s="56" t="s">
        <v>71</v>
      </c>
      <c r="DV2" s="56" t="s">
        <v>58</v>
      </c>
      <c r="DW2" s="56" t="s">
        <v>72</v>
      </c>
      <c r="DX2" s="56" t="s">
        <v>73</v>
      </c>
      <c r="DY2" s="56" t="s">
        <v>74</v>
      </c>
      <c r="DZ2" s="56" t="s">
        <v>75</v>
      </c>
      <c r="EA2" s="56" t="s">
        <v>76</v>
      </c>
      <c r="EB2" s="56" t="s">
        <v>77</v>
      </c>
      <c r="EC2" s="56" t="s">
        <v>78</v>
      </c>
      <c r="ED2" s="56" t="s">
        <v>79</v>
      </c>
    </row>
    <row r="4" spans="2:134" x14ac:dyDescent="0.25">
      <c r="B4" s="47" t="str">
        <f>+'7 Cash Flow Proyecto'!C7</f>
        <v>FC PROYECTO</v>
      </c>
      <c r="C4" s="57">
        <f>+'7 Cash Flow Proyecto'!D7</f>
        <v>-2912878875</v>
      </c>
      <c r="D4" s="57">
        <f>+'7 Cash Flow Proyecto'!E7</f>
        <v>1463361.1177411936</v>
      </c>
      <c r="E4" s="57">
        <f>+'7 Cash Flow Proyecto'!F7</f>
        <v>-260638.88225880638</v>
      </c>
      <c r="F4" s="57">
        <f>+'7 Cash Flow Proyecto'!G7</f>
        <v>-4186638.8822588064</v>
      </c>
      <c r="G4" s="57">
        <f>+'7 Cash Flow Proyecto'!H7</f>
        <v>1463361.1177411936</v>
      </c>
      <c r="H4" s="57">
        <f>+'7 Cash Flow Proyecto'!I7</f>
        <v>1463361.1177411936</v>
      </c>
      <c r="I4" s="57">
        <f>+'7 Cash Flow Proyecto'!J7</f>
        <v>-4186638.8822588064</v>
      </c>
      <c r="J4" s="57">
        <f>+'7 Cash Flow Proyecto'!K7</f>
        <v>1463361.1177411936</v>
      </c>
      <c r="K4" s="57">
        <f>+'7 Cash Flow Proyecto'!L7</f>
        <v>1463361.1177411936</v>
      </c>
      <c r="L4" s="57">
        <f>+'7 Cash Flow Proyecto'!M7</f>
        <v>-4186638.8822588064</v>
      </c>
      <c r="M4" s="57">
        <f>+'7 Cash Flow Proyecto'!N7</f>
        <v>1463361.1177411936</v>
      </c>
      <c r="N4" s="57">
        <f>+'7 Cash Flow Proyecto'!O7</f>
        <v>1463361.1177411936</v>
      </c>
      <c r="O4" s="57">
        <f>+'7 Cash Flow Proyecto'!P7</f>
        <v>3406043.7948303595</v>
      </c>
      <c r="P4" s="57">
        <f>+'7 Cash Flow Proyecto'!Q7</f>
        <v>9197293.7948303595</v>
      </c>
      <c r="Q4" s="57">
        <f>+'7 Cash Flow Proyecto'!R7</f>
        <v>7430193.7948303595</v>
      </c>
      <c r="R4" s="57">
        <f>+'7 Cash Flow Proyecto'!S7</f>
        <v>3406043.7948303595</v>
      </c>
      <c r="S4" s="57">
        <f>+'7 Cash Flow Proyecto'!T7</f>
        <v>9197293.7948303595</v>
      </c>
      <c r="T4" s="57">
        <f>+'7 Cash Flow Proyecto'!U7</f>
        <v>9197293.7948303595</v>
      </c>
      <c r="U4" s="57">
        <f>+'7 Cash Flow Proyecto'!V7</f>
        <v>3406043.7948303595</v>
      </c>
      <c r="V4" s="57">
        <f>+'7 Cash Flow Proyecto'!W7</f>
        <v>9197293.7948303595</v>
      </c>
      <c r="W4" s="57">
        <f>+'7 Cash Flow Proyecto'!X7</f>
        <v>9197293.7948303595</v>
      </c>
      <c r="X4" s="57">
        <f>+'7 Cash Flow Proyecto'!Y7</f>
        <v>3406043.7948303595</v>
      </c>
      <c r="Y4" s="57">
        <f>+'7 Cash Flow Proyecto'!Z7</f>
        <v>9197293.7948303595</v>
      </c>
      <c r="Z4" s="57">
        <f>+'7 Cash Flow Proyecto'!AA7</f>
        <v>9197293.7948303595</v>
      </c>
      <c r="AA4" s="57">
        <f>+'7 Cash Flow Proyecto'!AB7</f>
        <v>15155984.067313548</v>
      </c>
      <c r="AB4" s="57">
        <f>+'7 Cash Flow Proyecto'!AC7</f>
        <v>21120971.567313548</v>
      </c>
      <c r="AC4" s="57">
        <f>+'7 Cash Flow Proyecto'!AD7</f>
        <v>19300858.567313548</v>
      </c>
      <c r="AD4" s="57">
        <f>+'7 Cash Flow Proyecto'!AE7</f>
        <v>15155984.067313548</v>
      </c>
      <c r="AE4" s="57">
        <f>+'7 Cash Flow Proyecto'!AF7</f>
        <v>21120971.567313548</v>
      </c>
      <c r="AF4" s="57">
        <f>+'7 Cash Flow Proyecto'!AG7</f>
        <v>21120971.567313548</v>
      </c>
      <c r="AG4" s="57">
        <f>+'7 Cash Flow Proyecto'!AH7</f>
        <v>15155984.067313548</v>
      </c>
      <c r="AH4" s="57">
        <f>+'7 Cash Flow Proyecto'!AI7</f>
        <v>21120971.567313548</v>
      </c>
      <c r="AI4" s="57">
        <f>+'7 Cash Flow Proyecto'!AJ7</f>
        <v>21120971.567313548</v>
      </c>
      <c r="AJ4" s="57">
        <f>+'7 Cash Flow Proyecto'!AK7</f>
        <v>15155984.067313548</v>
      </c>
      <c r="AK4" s="57">
        <f>+'7 Cash Flow Proyecto'!AL7</f>
        <v>21120971.567313548</v>
      </c>
      <c r="AL4" s="57">
        <f>+'7 Cash Flow Proyecto'!AM7</f>
        <v>21120971.567313548</v>
      </c>
      <c r="AM4" s="57">
        <f>+'7 Cash Flow Proyecto'!AN7</f>
        <v>31574949.004362866</v>
      </c>
      <c r="AN4" s="57">
        <f>+'7 Cash Flow Proyecto'!AO7</f>
        <v>37718886.129362866</v>
      </c>
      <c r="AO4" s="57">
        <f>+'7 Cash Flow Proyecto'!AP7</f>
        <v>35844169.739362866</v>
      </c>
      <c r="AP4" s="57">
        <f>+'7 Cash Flow Proyecto'!AQ7</f>
        <v>25719648.052336521</v>
      </c>
      <c r="AQ4" s="57">
        <f>+'7 Cash Flow Proyecto'!AR7</f>
        <v>37718886.129362866</v>
      </c>
      <c r="AR4" s="57">
        <f>+'7 Cash Flow Proyecto'!AS7</f>
        <v>37718886.129362866</v>
      </c>
      <c r="AS4" s="57">
        <f>+'7 Cash Flow Proyecto'!AT7</f>
        <v>31574949.004362866</v>
      </c>
      <c r="AT4" s="57">
        <f>+'7 Cash Flow Proyecto'!AU7</f>
        <v>37718886.129362866</v>
      </c>
      <c r="AU4" s="57">
        <f>+'7 Cash Flow Proyecto'!AV7</f>
        <v>37718886.129362866</v>
      </c>
      <c r="AV4" s="57">
        <f>+'7 Cash Flow Proyecto'!AW7</f>
        <v>31574949.004362866</v>
      </c>
      <c r="AW4" s="57">
        <f>+'7 Cash Flow Proyecto'!AX7</f>
        <v>37718886.129362866</v>
      </c>
      <c r="AX4" s="57">
        <f>+'7 Cash Flow Proyecto'!AY7</f>
        <v>37718886.129362866</v>
      </c>
      <c r="AY4" s="57">
        <f>+'7 Cash Flow Proyecto'!AZ7</f>
        <v>48908961.175154552</v>
      </c>
      <c r="AZ4" s="57">
        <f>+'7 Cash Flow Proyecto'!BA7</f>
        <v>55237216.413904555</v>
      </c>
      <c r="BA4" s="57">
        <f>+'7 Cash Flow Proyecto'!BB7</f>
        <v>53306258.532204553</v>
      </c>
      <c r="BB4" s="57">
        <f>+'7 Cash Flow Proyecto'!BC7</f>
        <v>24386699.994771063</v>
      </c>
      <c r="BC4" s="57">
        <f>+'7 Cash Flow Proyecto'!BD7</f>
        <v>55237216.413904555</v>
      </c>
      <c r="BD4" s="57">
        <f>+'7 Cash Flow Proyecto'!BE7</f>
        <v>55237216.413904555</v>
      </c>
      <c r="BE4" s="57">
        <f>+'7 Cash Flow Proyecto'!BF7</f>
        <v>48908961.175154552</v>
      </c>
      <c r="BF4" s="57">
        <f>+'7 Cash Flow Proyecto'!BG7</f>
        <v>55237216.413904555</v>
      </c>
      <c r="BG4" s="57">
        <f>+'7 Cash Flow Proyecto'!BH7</f>
        <v>55237216.413904555</v>
      </c>
      <c r="BH4" s="57">
        <f>+'7 Cash Flow Proyecto'!BI7</f>
        <v>48908961.175154552</v>
      </c>
      <c r="BI4" s="57">
        <f>+'7 Cash Flow Proyecto'!BJ7</f>
        <v>55237216.413904555</v>
      </c>
      <c r="BJ4" s="57">
        <f>+'7 Cash Flow Proyecto'!BK7</f>
        <v>55237216.413904555</v>
      </c>
      <c r="BK4" s="57">
        <f>+'7 Cash Flow Proyecto'!BL7</f>
        <v>54621259.569321387</v>
      </c>
      <c r="BL4" s="57">
        <f>+'7 Cash Flow Proyecto'!BM7</f>
        <v>61139362.465233885</v>
      </c>
      <c r="BM4" s="57">
        <f>+'7 Cash Flow Proyecto'!BN7</f>
        <v>59150475.847082883</v>
      </c>
      <c r="BN4" s="57">
        <f>+'7 Cash Flow Proyecto'!BO7</f>
        <v>10359868.159986854</v>
      </c>
      <c r="BO4" s="57">
        <f>+'7 Cash Flow Proyecto'!BP7</f>
        <v>61139362.465233885</v>
      </c>
      <c r="BP4" s="57">
        <f>+'7 Cash Flow Proyecto'!BQ7</f>
        <v>61139362.465233885</v>
      </c>
      <c r="BQ4" s="57">
        <f>+'7 Cash Flow Proyecto'!BR7</f>
        <v>54621259.569321387</v>
      </c>
      <c r="BR4" s="57">
        <f>+'7 Cash Flow Proyecto'!BS7</f>
        <v>61139362.465233885</v>
      </c>
      <c r="BS4" s="57">
        <f>+'7 Cash Flow Proyecto'!BT7</f>
        <v>61139362.465233885</v>
      </c>
      <c r="BT4" s="57">
        <f>+'7 Cash Flow Proyecto'!BU7</f>
        <v>54621259.569321387</v>
      </c>
      <c r="BU4" s="57">
        <f>+'7 Cash Flow Proyecto'!BV7</f>
        <v>61139362.465233885</v>
      </c>
      <c r="BV4" s="57">
        <f>+'7 Cash Flow Proyecto'!BW7</f>
        <v>61139362.465233885</v>
      </c>
      <c r="BW4" s="57">
        <f>+'7 Cash Flow Proyecto'!BX7</f>
        <v>56378425.885035232</v>
      </c>
      <c r="BX4" s="57">
        <f>+'7 Cash Flow Proyecto'!BY7</f>
        <v>63092071.867825106</v>
      </c>
      <c r="BY4" s="57">
        <f>+'7 Cash Flow Proyecto'!BZ7</f>
        <v>61043518.651129574</v>
      </c>
      <c r="BZ4" s="57">
        <f>+'7 Cash Flow Proyecto'!CA7</f>
        <v>4837311.1754033864</v>
      </c>
      <c r="CA4" s="57">
        <f>+'7 Cash Flow Proyecto'!CB7</f>
        <v>63092071.867825106</v>
      </c>
      <c r="CB4" s="57">
        <f>+'7 Cash Flow Proyecto'!CC7</f>
        <v>63092071.867825106</v>
      </c>
      <c r="CC4" s="57">
        <f>+'7 Cash Flow Proyecto'!CD7</f>
        <v>56378425.885035232</v>
      </c>
      <c r="CD4" s="57">
        <f>+'7 Cash Flow Proyecto'!CE7</f>
        <v>63092071.867825106</v>
      </c>
      <c r="CE4" s="57">
        <f>+'7 Cash Flow Proyecto'!CF7</f>
        <v>63092071.867825106</v>
      </c>
      <c r="CF4" s="57">
        <f>+'7 Cash Flow Proyecto'!CG7</f>
        <v>56378425.885035232</v>
      </c>
      <c r="CG4" s="57">
        <f>+'7 Cash Flow Proyecto'!CH7</f>
        <v>63092071.867825106</v>
      </c>
      <c r="CH4" s="57">
        <f>+'7 Cash Flow Proyecto'!CI7</f>
        <v>63092071.867825106</v>
      </c>
      <c r="CI4" s="57">
        <f>+'7 Cash Flow Proyecto'!CJ7</f>
        <v>57947694.277093053</v>
      </c>
      <c r="CJ4" s="57">
        <f>+'7 Cash Flow Proyecto'!CK7</f>
        <v>64862749.639366627</v>
      </c>
      <c r="CK4" s="57">
        <f>+'7 Cash Flow Proyecto'!CL7</f>
        <v>62752739.826170228</v>
      </c>
      <c r="CL4" s="57">
        <f>+'7 Cash Flow Proyecto'!CM7</f>
        <v>16494081.855966091</v>
      </c>
      <c r="CM4" s="57">
        <f>+'7 Cash Flow Proyecto'!CN7</f>
        <v>64862749.639366627</v>
      </c>
      <c r="CN4" s="57">
        <f>+'7 Cash Flow Proyecto'!CO7</f>
        <v>64862749.639366627</v>
      </c>
      <c r="CO4" s="57">
        <f>+'7 Cash Flow Proyecto'!CP7</f>
        <v>57947694.277093053</v>
      </c>
      <c r="CP4" s="57">
        <f>+'7 Cash Flow Proyecto'!CQ7</f>
        <v>64862749.639366627</v>
      </c>
      <c r="CQ4" s="57">
        <f>+'7 Cash Flow Proyecto'!CR7</f>
        <v>64862749.639366627</v>
      </c>
      <c r="CR4" s="57">
        <f>+'7 Cash Flow Proyecto'!CS7</f>
        <v>57947694.277093053</v>
      </c>
      <c r="CS4" s="57">
        <f>+'7 Cash Flow Proyecto'!CT7</f>
        <v>64862749.639366627</v>
      </c>
      <c r="CT4" s="57">
        <f>+'7 Cash Flow Proyecto'!CU7</f>
        <v>64862749.639366627</v>
      </c>
      <c r="CU4" s="57">
        <f>+'7 Cash Flow Proyecto'!CV7</f>
        <v>59686125.105405845</v>
      </c>
      <c r="CV4" s="57">
        <f>+'7 Cash Flow Proyecto'!CW7</f>
        <v>66808632.128547624</v>
      </c>
      <c r="CW4" s="57">
        <f>+'7 Cash Flow Proyecto'!CX7</f>
        <v>64635322.020955339</v>
      </c>
      <c r="CX4" s="57">
        <f>+'7 Cash Flow Proyecto'!CY7</f>
        <v>2018834.5616777688</v>
      </c>
      <c r="CY4" s="57">
        <f>+'7 Cash Flow Proyecto'!CZ7</f>
        <v>66808632.128547624</v>
      </c>
      <c r="CZ4" s="57">
        <f>+'7 Cash Flow Proyecto'!DA7</f>
        <v>66808632.128547624</v>
      </c>
      <c r="DA4" s="57">
        <f>+'7 Cash Flow Proyecto'!DB7</f>
        <v>59686125.105405845</v>
      </c>
      <c r="DB4" s="57">
        <f>+'7 Cash Flow Proyecto'!DC7</f>
        <v>66808632.128547624</v>
      </c>
      <c r="DC4" s="57">
        <f>+'7 Cash Flow Proyecto'!DD7</f>
        <v>66808632.128547624</v>
      </c>
      <c r="DD4" s="57">
        <f>+'7 Cash Flow Proyecto'!DE7</f>
        <v>59686125.105405845</v>
      </c>
      <c r="DE4" s="57">
        <f>+'7 Cash Flow Proyecto'!DF7</f>
        <v>66808632.128547624</v>
      </c>
      <c r="DF4" s="57">
        <f>+'7 Cash Flow Proyecto'!DG7</f>
        <v>66808632.128547624</v>
      </c>
      <c r="DG4" s="57">
        <f>+'7 Cash Flow Proyecto'!DH7</f>
        <v>73706926.709071353</v>
      </c>
      <c r="DH4" s="57">
        <f>+'7 Cash Flow Proyecto'!DI7</f>
        <v>81043108.942907393</v>
      </c>
      <c r="DI4" s="57">
        <f>+'7 Cash Flow Proyecto'!DJ7</f>
        <v>78804599.532087326</v>
      </c>
      <c r="DJ4" s="57">
        <f>+'7 Cash Flow Proyecto'!DK7</f>
        <v>12718333.027343631</v>
      </c>
      <c r="DK4" s="57">
        <f>+'7 Cash Flow Proyecto'!DL7</f>
        <v>81043108.942907393</v>
      </c>
      <c r="DL4" s="57">
        <f>+'7 Cash Flow Proyecto'!DM7</f>
        <v>81043108.942907393</v>
      </c>
      <c r="DM4" s="57">
        <f>+'7 Cash Flow Proyecto'!DN7</f>
        <v>73706926.709071353</v>
      </c>
      <c r="DN4" s="57">
        <f>+'7 Cash Flow Proyecto'!DO7</f>
        <v>81043108.942907393</v>
      </c>
      <c r="DO4" s="57">
        <f>+'7 Cash Flow Proyecto'!DP7</f>
        <v>81043108.942907393</v>
      </c>
      <c r="DP4" s="57">
        <f>+'7 Cash Flow Proyecto'!DQ7</f>
        <v>73706926.709071353</v>
      </c>
      <c r="DQ4" s="57">
        <f>+'7 Cash Flow Proyecto'!DR7</f>
        <v>81043108.942907393</v>
      </c>
      <c r="DR4" s="57">
        <f>+'7 Cash Flow Proyecto'!DS7</f>
        <v>81043108.942907393</v>
      </c>
      <c r="DS4" s="57">
        <f>+'7 Cash Flow Proyecto'!DT7</f>
        <v>75918134.510343492</v>
      </c>
      <c r="DT4" s="57">
        <f>+'7 Cash Flow Proyecto'!DU7</f>
        <v>83474402.21119462</v>
      </c>
      <c r="DU4" s="57">
        <f>+'7 Cash Flow Proyecto'!DV7</f>
        <v>81168737.518049955</v>
      </c>
      <c r="DV4" s="57">
        <f>+'7 Cash Flow Proyecto'!DW7</f>
        <v>-1790178.1082612574</v>
      </c>
      <c r="DW4" s="57">
        <f>+'7 Cash Flow Proyecto'!DX7</f>
        <v>83474402.21119462</v>
      </c>
      <c r="DX4" s="57">
        <f>+'7 Cash Flow Proyecto'!DY7</f>
        <v>83474402.21119462</v>
      </c>
      <c r="DY4" s="57">
        <f>+'7 Cash Flow Proyecto'!DZ7</f>
        <v>75918134.510343492</v>
      </c>
      <c r="DZ4" s="57">
        <f>+'7 Cash Flow Proyecto'!EA7</f>
        <v>83474402.21119462</v>
      </c>
      <c r="EA4" s="57">
        <f>+'7 Cash Flow Proyecto'!EB7</f>
        <v>83474402.21119462</v>
      </c>
      <c r="EB4" s="57">
        <f>+'7 Cash Flow Proyecto'!EC7</f>
        <v>75918134.510343492</v>
      </c>
      <c r="EC4" s="57">
        <f>+'7 Cash Flow Proyecto'!ED7</f>
        <v>83474402.21119462</v>
      </c>
      <c r="ED4" s="57">
        <f>+'7 Cash Flow Proyecto'!EE7</f>
        <v>3340865860.4702868</v>
      </c>
    </row>
    <row r="5" spans="2:134" x14ac:dyDescent="0.25">
      <c r="B5" s="47" t="str">
        <f>+'8 Cash Flow Financiacion'!B8</f>
        <v>FC FINANCIACIÓN</v>
      </c>
      <c r="C5" s="57">
        <f>+'8 Cash Flow Financiacion'!C8</f>
        <v>1144926299.7628591</v>
      </c>
      <c r="D5" s="57">
        <f>+'8 Cash Flow Financiacion'!D8</f>
        <v>-15073700.237140983</v>
      </c>
      <c r="E5" s="57">
        <f>+'8 Cash Flow Financiacion'!E8</f>
        <v>-15073700.237140983</v>
      </c>
      <c r="F5" s="57">
        <f>+'8 Cash Flow Financiacion'!F8</f>
        <v>-15073700.237140983</v>
      </c>
      <c r="G5" s="57">
        <f>+'8 Cash Flow Financiacion'!G8</f>
        <v>-15073700.237140983</v>
      </c>
      <c r="H5" s="57">
        <f>+'8 Cash Flow Financiacion'!H8</f>
        <v>-15073700.237140983</v>
      </c>
      <c r="I5" s="57">
        <f>+'8 Cash Flow Financiacion'!I8</f>
        <v>-15073700.237140983</v>
      </c>
      <c r="J5" s="57">
        <f>+'8 Cash Flow Financiacion'!J8</f>
        <v>-15073700.237140983</v>
      </c>
      <c r="K5" s="57">
        <f>+'8 Cash Flow Financiacion'!K8</f>
        <v>-15073700.237140983</v>
      </c>
      <c r="L5" s="57">
        <f>+'8 Cash Flow Financiacion'!L8</f>
        <v>-15073700.237140983</v>
      </c>
      <c r="M5" s="57">
        <f>+'8 Cash Flow Financiacion'!M8</f>
        <v>-15073700.237140983</v>
      </c>
      <c r="N5" s="57">
        <f>+'8 Cash Flow Financiacion'!N8</f>
        <v>-15073700.237140983</v>
      </c>
      <c r="O5" s="57">
        <f>+'8 Cash Flow Financiacion'!O8</f>
        <v>-15073700.237140983</v>
      </c>
      <c r="P5" s="57">
        <f>+'8 Cash Flow Financiacion'!P8</f>
        <v>-15073700.237140983</v>
      </c>
      <c r="Q5" s="57">
        <f>+'8 Cash Flow Financiacion'!Q8</f>
        <v>-15073700.237140983</v>
      </c>
      <c r="R5" s="57">
        <f>+'8 Cash Flow Financiacion'!R8</f>
        <v>-15073700.237140983</v>
      </c>
      <c r="S5" s="57">
        <f>+'8 Cash Flow Financiacion'!S8</f>
        <v>-15073700.237140983</v>
      </c>
      <c r="T5" s="57">
        <f>+'8 Cash Flow Financiacion'!T8</f>
        <v>-15073700.237140983</v>
      </c>
      <c r="U5" s="57">
        <f>+'8 Cash Flow Financiacion'!U8</f>
        <v>-15073700.237140983</v>
      </c>
      <c r="V5" s="57">
        <f>+'8 Cash Flow Financiacion'!V8</f>
        <v>-15073700.237140983</v>
      </c>
      <c r="W5" s="57">
        <f>+'8 Cash Flow Financiacion'!W8</f>
        <v>-15073700.237140983</v>
      </c>
      <c r="X5" s="57">
        <f>+'8 Cash Flow Financiacion'!X8</f>
        <v>-15073700.237140983</v>
      </c>
      <c r="Y5" s="57">
        <f>+'8 Cash Flow Financiacion'!Y8</f>
        <v>-15073700.237140983</v>
      </c>
      <c r="Z5" s="57">
        <f>+'8 Cash Flow Financiacion'!Z8</f>
        <v>-15073700.237140983</v>
      </c>
      <c r="AA5" s="57">
        <f>+'8 Cash Flow Financiacion'!AA8</f>
        <v>-15073700.237140983</v>
      </c>
      <c r="AB5" s="57">
        <f>+'8 Cash Flow Financiacion'!AB8</f>
        <v>-15073700.237140983</v>
      </c>
      <c r="AC5" s="57">
        <f>+'8 Cash Flow Financiacion'!AC8</f>
        <v>-15073700.237140983</v>
      </c>
      <c r="AD5" s="57">
        <f>+'8 Cash Flow Financiacion'!AD8</f>
        <v>-15073700.237140983</v>
      </c>
      <c r="AE5" s="57">
        <f>+'8 Cash Flow Financiacion'!AE8</f>
        <v>-15073700.237140983</v>
      </c>
      <c r="AF5" s="57">
        <f>+'8 Cash Flow Financiacion'!AF8</f>
        <v>-15073700.237140983</v>
      </c>
      <c r="AG5" s="57">
        <f>+'8 Cash Flow Financiacion'!AG8</f>
        <v>-15073700.237140983</v>
      </c>
      <c r="AH5" s="57">
        <f>+'8 Cash Flow Financiacion'!AH8</f>
        <v>-15073700.237140983</v>
      </c>
      <c r="AI5" s="57">
        <f>+'8 Cash Flow Financiacion'!AI8</f>
        <v>-15073700.237140983</v>
      </c>
      <c r="AJ5" s="57">
        <f>+'8 Cash Flow Financiacion'!AJ8</f>
        <v>-15073700.237140983</v>
      </c>
      <c r="AK5" s="57">
        <f>+'8 Cash Flow Financiacion'!AK8</f>
        <v>-15073700.237140983</v>
      </c>
      <c r="AL5" s="57">
        <f>+'8 Cash Flow Financiacion'!AL8</f>
        <v>-15073700.237140983</v>
      </c>
      <c r="AM5" s="57">
        <f>+'8 Cash Flow Financiacion'!AM8</f>
        <v>-15073700.237140983</v>
      </c>
      <c r="AN5" s="57">
        <f>+'8 Cash Flow Financiacion'!AN8</f>
        <v>-15073700.237140983</v>
      </c>
      <c r="AO5" s="57">
        <f>+'8 Cash Flow Financiacion'!AO8</f>
        <v>-15073700.237140983</v>
      </c>
      <c r="AP5" s="57">
        <f>+'8 Cash Flow Financiacion'!AP8</f>
        <v>-15073700.237140983</v>
      </c>
      <c r="AQ5" s="57">
        <f>+'8 Cash Flow Financiacion'!AQ8</f>
        <v>-15073700.237140983</v>
      </c>
      <c r="AR5" s="57">
        <f>+'8 Cash Flow Financiacion'!AR8</f>
        <v>-15073700.237140983</v>
      </c>
      <c r="AS5" s="57">
        <f>+'8 Cash Flow Financiacion'!AS8</f>
        <v>-15073700.237140983</v>
      </c>
      <c r="AT5" s="57">
        <f>+'8 Cash Flow Financiacion'!AT8</f>
        <v>-15073700.237140983</v>
      </c>
      <c r="AU5" s="57">
        <f>+'8 Cash Flow Financiacion'!AU8</f>
        <v>-15073700.237140983</v>
      </c>
      <c r="AV5" s="57">
        <f>+'8 Cash Flow Financiacion'!AV8</f>
        <v>-15073700.237140983</v>
      </c>
      <c r="AW5" s="57">
        <f>+'8 Cash Flow Financiacion'!AW8</f>
        <v>-15073700.237140983</v>
      </c>
      <c r="AX5" s="57">
        <f>+'8 Cash Flow Financiacion'!AX8</f>
        <v>-15073700.237140983</v>
      </c>
      <c r="AY5" s="57">
        <f>+'8 Cash Flow Financiacion'!AY8</f>
        <v>-15073700.237140983</v>
      </c>
      <c r="AZ5" s="57">
        <f>+'8 Cash Flow Financiacion'!AZ8</f>
        <v>-15073700.237140983</v>
      </c>
      <c r="BA5" s="57">
        <f>+'8 Cash Flow Financiacion'!BA8</f>
        <v>-15073700.237140983</v>
      </c>
      <c r="BB5" s="57">
        <f>+'8 Cash Flow Financiacion'!BB8</f>
        <v>-15073700.237140983</v>
      </c>
      <c r="BC5" s="57">
        <f>+'8 Cash Flow Financiacion'!BC8</f>
        <v>-15073700.237140983</v>
      </c>
      <c r="BD5" s="57">
        <f>+'8 Cash Flow Financiacion'!BD8</f>
        <v>-15073700.237140983</v>
      </c>
      <c r="BE5" s="57">
        <f>+'8 Cash Flow Financiacion'!BE8</f>
        <v>-15073700.237140983</v>
      </c>
      <c r="BF5" s="57">
        <f>+'8 Cash Flow Financiacion'!BF8</f>
        <v>-15073700.237140983</v>
      </c>
      <c r="BG5" s="57">
        <f>+'8 Cash Flow Financiacion'!BG8</f>
        <v>-15073700.237140983</v>
      </c>
      <c r="BH5" s="57">
        <f>+'8 Cash Flow Financiacion'!BH8</f>
        <v>-15073700.237140983</v>
      </c>
      <c r="BI5" s="57">
        <f>+'8 Cash Flow Financiacion'!BI8</f>
        <v>-15073700.237140983</v>
      </c>
      <c r="BJ5" s="57">
        <f>+'8 Cash Flow Financiacion'!BJ8</f>
        <v>-15073700.237140983</v>
      </c>
      <c r="BK5" s="57">
        <f>+'8 Cash Flow Financiacion'!BK8</f>
        <v>-15073700.237140983</v>
      </c>
      <c r="BL5" s="57">
        <f>+'8 Cash Flow Financiacion'!BL8</f>
        <v>-15073700.237140983</v>
      </c>
      <c r="BM5" s="57">
        <f>+'8 Cash Flow Financiacion'!BM8</f>
        <v>-15073700.237140983</v>
      </c>
      <c r="BN5" s="57">
        <f>+'8 Cash Flow Financiacion'!BN8</f>
        <v>-15073700.237140983</v>
      </c>
      <c r="BO5" s="57">
        <f>+'8 Cash Flow Financiacion'!BO8</f>
        <v>-15073700.237140983</v>
      </c>
      <c r="BP5" s="57">
        <f>+'8 Cash Flow Financiacion'!BP8</f>
        <v>-15073700.237140983</v>
      </c>
      <c r="BQ5" s="57">
        <f>+'8 Cash Flow Financiacion'!BQ8</f>
        <v>-15073700.237140983</v>
      </c>
      <c r="BR5" s="57">
        <f>+'8 Cash Flow Financiacion'!BR8</f>
        <v>-15073700.237140983</v>
      </c>
      <c r="BS5" s="57">
        <f>+'8 Cash Flow Financiacion'!BS8</f>
        <v>-15073700.237140983</v>
      </c>
      <c r="BT5" s="57">
        <f>+'8 Cash Flow Financiacion'!BT8</f>
        <v>-15073700.237140983</v>
      </c>
      <c r="BU5" s="57">
        <f>+'8 Cash Flow Financiacion'!BU8</f>
        <v>-15073700.237140983</v>
      </c>
      <c r="BV5" s="57">
        <f>+'8 Cash Flow Financiacion'!BV8</f>
        <v>-15073700.237140983</v>
      </c>
      <c r="BW5" s="57">
        <f>+'8 Cash Flow Financiacion'!BW8</f>
        <v>-15073700.237140983</v>
      </c>
      <c r="BX5" s="57">
        <f>+'8 Cash Flow Financiacion'!BX8</f>
        <v>-15073700.237140983</v>
      </c>
      <c r="BY5" s="57">
        <f>+'8 Cash Flow Financiacion'!BY8</f>
        <v>-15073700.237140983</v>
      </c>
      <c r="BZ5" s="57">
        <f>+'8 Cash Flow Financiacion'!BZ8</f>
        <v>-15073700.237140983</v>
      </c>
      <c r="CA5" s="57">
        <f>+'8 Cash Flow Financiacion'!CA8</f>
        <v>-15073700.237140983</v>
      </c>
      <c r="CB5" s="57">
        <f>+'8 Cash Flow Financiacion'!CB8</f>
        <v>-15073700.237140983</v>
      </c>
      <c r="CC5" s="57">
        <f>+'8 Cash Flow Financiacion'!CC8</f>
        <v>-15073700.237140983</v>
      </c>
      <c r="CD5" s="57">
        <f>+'8 Cash Flow Financiacion'!CD8</f>
        <v>-15073700.237140983</v>
      </c>
      <c r="CE5" s="57">
        <f>+'8 Cash Flow Financiacion'!CE8</f>
        <v>-15073700.237140983</v>
      </c>
      <c r="CF5" s="57">
        <f>+'8 Cash Flow Financiacion'!CF8</f>
        <v>-15073700.237140983</v>
      </c>
      <c r="CG5" s="57">
        <f>+'8 Cash Flow Financiacion'!CG8</f>
        <v>-15073700.237140983</v>
      </c>
      <c r="CH5" s="57">
        <f>+'8 Cash Flow Financiacion'!CH8</f>
        <v>-15073700.237140983</v>
      </c>
      <c r="CI5" s="57">
        <f>+'8 Cash Flow Financiacion'!CI8</f>
        <v>-15073700.237140983</v>
      </c>
      <c r="CJ5" s="57">
        <f>+'8 Cash Flow Financiacion'!CJ8</f>
        <v>-15073700.237140983</v>
      </c>
      <c r="CK5" s="57">
        <f>+'8 Cash Flow Financiacion'!CK8</f>
        <v>-15073700.237140983</v>
      </c>
      <c r="CL5" s="57">
        <f>+'8 Cash Flow Financiacion'!CL8</f>
        <v>-15073700.237140983</v>
      </c>
      <c r="CM5" s="57">
        <f>+'8 Cash Flow Financiacion'!CM8</f>
        <v>-15073700.237140983</v>
      </c>
      <c r="CN5" s="57">
        <f>+'8 Cash Flow Financiacion'!CN8</f>
        <v>-15073700.237140983</v>
      </c>
      <c r="CO5" s="57">
        <f>+'8 Cash Flow Financiacion'!CO8</f>
        <v>-15073700.237140983</v>
      </c>
      <c r="CP5" s="57">
        <f>+'8 Cash Flow Financiacion'!CP8</f>
        <v>-15073700.237140983</v>
      </c>
      <c r="CQ5" s="57">
        <f>+'8 Cash Flow Financiacion'!CQ8</f>
        <v>-15073700.237140983</v>
      </c>
      <c r="CR5" s="57">
        <f>+'8 Cash Flow Financiacion'!CR8</f>
        <v>-15073700.237140983</v>
      </c>
      <c r="CS5" s="57">
        <f>+'8 Cash Flow Financiacion'!CS8</f>
        <v>-15073700.237140983</v>
      </c>
      <c r="CT5" s="57">
        <f>+'8 Cash Flow Financiacion'!CT8</f>
        <v>-15073700.237140983</v>
      </c>
      <c r="CU5" s="57">
        <f>+'8 Cash Flow Financiacion'!CU8</f>
        <v>-15073700.237140983</v>
      </c>
      <c r="CV5" s="57">
        <f>+'8 Cash Flow Financiacion'!CV8</f>
        <v>-15073700.237140983</v>
      </c>
      <c r="CW5" s="57">
        <f>+'8 Cash Flow Financiacion'!CW8</f>
        <v>-15073700.237140983</v>
      </c>
      <c r="CX5" s="57">
        <f>+'8 Cash Flow Financiacion'!CX8</f>
        <v>-15073700.237140983</v>
      </c>
      <c r="CY5" s="57">
        <f>+'8 Cash Flow Financiacion'!CY8</f>
        <v>-15073700.237140983</v>
      </c>
      <c r="CZ5" s="57">
        <f>+'8 Cash Flow Financiacion'!CZ8</f>
        <v>-15073700.237140983</v>
      </c>
      <c r="DA5" s="57">
        <f>+'8 Cash Flow Financiacion'!DA8</f>
        <v>-15073700.237140983</v>
      </c>
      <c r="DB5" s="57">
        <f>+'8 Cash Flow Financiacion'!DB8</f>
        <v>-15073700.237140983</v>
      </c>
      <c r="DC5" s="57">
        <f>+'8 Cash Flow Financiacion'!DC8</f>
        <v>-15073700.237140983</v>
      </c>
      <c r="DD5" s="57">
        <f>+'8 Cash Flow Financiacion'!DD8</f>
        <v>-15073700.237140983</v>
      </c>
      <c r="DE5" s="57">
        <f>+'8 Cash Flow Financiacion'!DE8</f>
        <v>-15073700.237140983</v>
      </c>
      <c r="DF5" s="57">
        <f>+'8 Cash Flow Financiacion'!DF8</f>
        <v>-15073700.237140983</v>
      </c>
      <c r="DG5" s="57">
        <f>+'8 Cash Flow Financiacion'!DG8</f>
        <v>-15073700.237140983</v>
      </c>
      <c r="DH5" s="57">
        <f>+'8 Cash Flow Financiacion'!DH8</f>
        <v>-15073700.237140983</v>
      </c>
      <c r="DI5" s="57">
        <f>+'8 Cash Flow Financiacion'!DI8</f>
        <v>-15073700.237140983</v>
      </c>
      <c r="DJ5" s="57">
        <f>+'8 Cash Flow Financiacion'!DJ8</f>
        <v>-15073700.237140983</v>
      </c>
      <c r="DK5" s="57">
        <f>+'8 Cash Flow Financiacion'!DK8</f>
        <v>-15073700.237140983</v>
      </c>
      <c r="DL5" s="57">
        <f>+'8 Cash Flow Financiacion'!DL8</f>
        <v>-15073700.237140983</v>
      </c>
      <c r="DM5" s="57">
        <f>+'8 Cash Flow Financiacion'!DM8</f>
        <v>-15073700.237140983</v>
      </c>
      <c r="DN5" s="57">
        <f>+'8 Cash Flow Financiacion'!DN8</f>
        <v>-15073700.237140983</v>
      </c>
      <c r="DO5" s="57">
        <f>+'8 Cash Flow Financiacion'!DO8</f>
        <v>-15073700.237140983</v>
      </c>
      <c r="DP5" s="57">
        <f>+'8 Cash Flow Financiacion'!DP8</f>
        <v>-15073700.237140983</v>
      </c>
      <c r="DQ5" s="57">
        <f>+'8 Cash Flow Financiacion'!DQ8</f>
        <v>-15073700.237140983</v>
      </c>
      <c r="DR5" s="57">
        <f>+'8 Cash Flow Financiacion'!DR8</f>
        <v>-15073700.237140983</v>
      </c>
      <c r="DS5" s="57">
        <f>+'8 Cash Flow Financiacion'!DS8</f>
        <v>0</v>
      </c>
      <c r="DT5" s="57">
        <f>+'8 Cash Flow Financiacion'!DT8</f>
        <v>0</v>
      </c>
      <c r="DU5" s="57">
        <f>+'8 Cash Flow Financiacion'!DU8</f>
        <v>0</v>
      </c>
      <c r="DV5" s="57">
        <f>+'8 Cash Flow Financiacion'!DV8</f>
        <v>0</v>
      </c>
      <c r="DW5" s="57">
        <f>+'8 Cash Flow Financiacion'!DW8</f>
        <v>0</v>
      </c>
      <c r="DX5" s="57">
        <f>+'8 Cash Flow Financiacion'!DX8</f>
        <v>0</v>
      </c>
      <c r="DY5" s="57">
        <f>+'8 Cash Flow Financiacion'!DY8</f>
        <v>0</v>
      </c>
      <c r="DZ5" s="57">
        <f>+'8 Cash Flow Financiacion'!DZ8</f>
        <v>0</v>
      </c>
      <c r="EA5" s="57">
        <f>+'8 Cash Flow Financiacion'!EA8</f>
        <v>0</v>
      </c>
      <c r="EB5" s="57">
        <f>+'8 Cash Flow Financiacion'!EB8</f>
        <v>0</v>
      </c>
      <c r="EC5" s="57">
        <f>+'8 Cash Flow Financiacion'!EC8</f>
        <v>0</v>
      </c>
      <c r="ED5" s="57">
        <f>+'8 Cash Flow Financiacion'!ED8</f>
        <v>0</v>
      </c>
    </row>
    <row r="6" spans="2:134" x14ac:dyDescent="0.25">
      <c r="B6" s="4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  <c r="DB6" s="57"/>
      <c r="DC6" s="57"/>
      <c r="DD6" s="57"/>
      <c r="DE6" s="57"/>
      <c r="DF6" s="57"/>
      <c r="DG6" s="57"/>
      <c r="DH6" s="57"/>
      <c r="DI6" s="57"/>
      <c r="DJ6" s="57"/>
      <c r="DK6" s="57"/>
      <c r="DL6" s="57"/>
      <c r="DM6" s="57"/>
      <c r="DN6" s="57"/>
      <c r="DO6" s="57"/>
      <c r="DP6" s="57"/>
      <c r="DQ6" s="57"/>
      <c r="DR6" s="57"/>
      <c r="DS6" s="57"/>
      <c r="DT6" s="57"/>
      <c r="DU6" s="57"/>
      <c r="DV6" s="57"/>
      <c r="DW6" s="57"/>
      <c r="DX6" s="57"/>
      <c r="DY6" s="57"/>
      <c r="DZ6" s="57"/>
      <c r="EA6" s="57"/>
      <c r="EB6" s="57"/>
      <c r="EC6" s="57"/>
      <c r="ED6" s="57"/>
    </row>
    <row r="7" spans="2:134" x14ac:dyDescent="0.25">
      <c r="B7" s="47" t="s">
        <v>97</v>
      </c>
      <c r="C7" s="57">
        <f>+C4+C5</f>
        <v>-1767952575.2371409</v>
      </c>
      <c r="D7" s="57">
        <f t="shared" ref="D7:BO7" si="0">+D4+D5</f>
        <v>-13610339.11939979</v>
      </c>
      <c r="E7" s="57">
        <f t="shared" si="0"/>
        <v>-15334339.11939979</v>
      </c>
      <c r="F7" s="57">
        <f t="shared" si="0"/>
        <v>-19260339.11939979</v>
      </c>
      <c r="G7" s="57">
        <f t="shared" si="0"/>
        <v>-13610339.11939979</v>
      </c>
      <c r="H7" s="57">
        <f t="shared" si="0"/>
        <v>-13610339.11939979</v>
      </c>
      <c r="I7" s="57">
        <f t="shared" si="0"/>
        <v>-19260339.11939979</v>
      </c>
      <c r="J7" s="57">
        <f t="shared" si="0"/>
        <v>-13610339.11939979</v>
      </c>
      <c r="K7" s="57">
        <f t="shared" si="0"/>
        <v>-13610339.11939979</v>
      </c>
      <c r="L7" s="57">
        <f t="shared" si="0"/>
        <v>-19260339.11939979</v>
      </c>
      <c r="M7" s="57">
        <f t="shared" si="0"/>
        <v>-13610339.11939979</v>
      </c>
      <c r="N7" s="57">
        <f t="shared" si="0"/>
        <v>-13610339.11939979</v>
      </c>
      <c r="O7" s="57">
        <f t="shared" si="0"/>
        <v>-11667656.442310624</v>
      </c>
      <c r="P7" s="57">
        <f t="shared" si="0"/>
        <v>-5876406.4423106238</v>
      </c>
      <c r="Q7" s="57">
        <f t="shared" si="0"/>
        <v>-7643506.4423106238</v>
      </c>
      <c r="R7" s="57">
        <f t="shared" si="0"/>
        <v>-11667656.442310624</v>
      </c>
      <c r="S7" s="57">
        <f t="shared" si="0"/>
        <v>-5876406.4423106238</v>
      </c>
      <c r="T7" s="57">
        <f t="shared" si="0"/>
        <v>-5876406.4423106238</v>
      </c>
      <c r="U7" s="57">
        <f t="shared" si="0"/>
        <v>-11667656.442310624</v>
      </c>
      <c r="V7" s="57">
        <f t="shared" si="0"/>
        <v>-5876406.4423106238</v>
      </c>
      <c r="W7" s="57">
        <f t="shared" si="0"/>
        <v>-5876406.4423106238</v>
      </c>
      <c r="X7" s="57">
        <f t="shared" si="0"/>
        <v>-11667656.442310624</v>
      </c>
      <c r="Y7" s="57">
        <f t="shared" si="0"/>
        <v>-5876406.4423106238</v>
      </c>
      <c r="Z7" s="57">
        <f t="shared" si="0"/>
        <v>-5876406.4423106238</v>
      </c>
      <c r="AA7" s="57">
        <f t="shared" si="0"/>
        <v>82283.830172564834</v>
      </c>
      <c r="AB7" s="57">
        <f t="shared" si="0"/>
        <v>6047271.3301725648</v>
      </c>
      <c r="AC7" s="57">
        <f t="shared" si="0"/>
        <v>4227158.3301725648</v>
      </c>
      <c r="AD7" s="57">
        <f t="shared" si="0"/>
        <v>82283.830172564834</v>
      </c>
      <c r="AE7" s="57">
        <f t="shared" si="0"/>
        <v>6047271.3301725648</v>
      </c>
      <c r="AF7" s="57">
        <f t="shared" si="0"/>
        <v>6047271.3301725648</v>
      </c>
      <c r="AG7" s="57">
        <f t="shared" si="0"/>
        <v>82283.830172564834</v>
      </c>
      <c r="AH7" s="57">
        <f t="shared" si="0"/>
        <v>6047271.3301725648</v>
      </c>
      <c r="AI7" s="57">
        <f t="shared" si="0"/>
        <v>6047271.3301725648</v>
      </c>
      <c r="AJ7" s="57">
        <f t="shared" si="0"/>
        <v>82283.830172564834</v>
      </c>
      <c r="AK7" s="57">
        <f t="shared" si="0"/>
        <v>6047271.3301725648</v>
      </c>
      <c r="AL7" s="57">
        <f t="shared" si="0"/>
        <v>6047271.3301725648</v>
      </c>
      <c r="AM7" s="57">
        <f t="shared" si="0"/>
        <v>16501248.767221883</v>
      </c>
      <c r="AN7" s="57">
        <f t="shared" si="0"/>
        <v>22645185.892221883</v>
      </c>
      <c r="AO7" s="57">
        <f t="shared" si="0"/>
        <v>20770469.502221882</v>
      </c>
      <c r="AP7" s="57">
        <f t="shared" si="0"/>
        <v>10645947.815195538</v>
      </c>
      <c r="AQ7" s="57">
        <f t="shared" si="0"/>
        <v>22645185.892221883</v>
      </c>
      <c r="AR7" s="57">
        <f t="shared" si="0"/>
        <v>22645185.892221883</v>
      </c>
      <c r="AS7" s="57">
        <f t="shared" si="0"/>
        <v>16501248.767221883</v>
      </c>
      <c r="AT7" s="57">
        <f t="shared" si="0"/>
        <v>22645185.892221883</v>
      </c>
      <c r="AU7" s="57">
        <f t="shared" si="0"/>
        <v>22645185.892221883</v>
      </c>
      <c r="AV7" s="57">
        <f t="shared" si="0"/>
        <v>16501248.767221883</v>
      </c>
      <c r="AW7" s="57">
        <f t="shared" si="0"/>
        <v>22645185.892221883</v>
      </c>
      <c r="AX7" s="57">
        <f t="shared" si="0"/>
        <v>22645185.892221883</v>
      </c>
      <c r="AY7" s="57">
        <f t="shared" si="0"/>
        <v>33835260.938013569</v>
      </c>
      <c r="AZ7" s="57">
        <f t="shared" si="0"/>
        <v>40163516.176763572</v>
      </c>
      <c r="BA7" s="57">
        <f t="shared" si="0"/>
        <v>38232558.29506357</v>
      </c>
      <c r="BB7" s="57">
        <f t="shared" si="0"/>
        <v>9312999.75763008</v>
      </c>
      <c r="BC7" s="57">
        <f t="shared" si="0"/>
        <v>40163516.176763572</v>
      </c>
      <c r="BD7" s="57">
        <f t="shared" si="0"/>
        <v>40163516.176763572</v>
      </c>
      <c r="BE7" s="57">
        <f t="shared" si="0"/>
        <v>33835260.938013569</v>
      </c>
      <c r="BF7" s="57">
        <f t="shared" si="0"/>
        <v>40163516.176763572</v>
      </c>
      <c r="BG7" s="57">
        <f t="shared" si="0"/>
        <v>40163516.176763572</v>
      </c>
      <c r="BH7" s="57">
        <f t="shared" si="0"/>
        <v>33835260.938013569</v>
      </c>
      <c r="BI7" s="57">
        <f t="shared" si="0"/>
        <v>40163516.176763572</v>
      </c>
      <c r="BJ7" s="57">
        <f t="shared" si="0"/>
        <v>40163516.176763572</v>
      </c>
      <c r="BK7" s="57">
        <f t="shared" si="0"/>
        <v>39547559.332180403</v>
      </c>
      <c r="BL7" s="57">
        <f t="shared" si="0"/>
        <v>46065662.228092901</v>
      </c>
      <c r="BM7" s="57">
        <f t="shared" si="0"/>
        <v>44076775.6099419</v>
      </c>
      <c r="BN7" s="57">
        <f t="shared" si="0"/>
        <v>-4713832.0771541297</v>
      </c>
      <c r="BO7" s="57">
        <f t="shared" si="0"/>
        <v>46065662.228092901</v>
      </c>
      <c r="BP7" s="57">
        <f t="shared" ref="BP7:EA7" si="1">+BP4+BP5</f>
        <v>46065662.228092901</v>
      </c>
      <c r="BQ7" s="57">
        <f t="shared" si="1"/>
        <v>39547559.332180403</v>
      </c>
      <c r="BR7" s="57">
        <f t="shared" si="1"/>
        <v>46065662.228092901</v>
      </c>
      <c r="BS7" s="57">
        <f t="shared" si="1"/>
        <v>46065662.228092901</v>
      </c>
      <c r="BT7" s="57">
        <f t="shared" si="1"/>
        <v>39547559.332180403</v>
      </c>
      <c r="BU7" s="57">
        <f t="shared" si="1"/>
        <v>46065662.228092901</v>
      </c>
      <c r="BV7" s="57">
        <f t="shared" si="1"/>
        <v>46065662.228092901</v>
      </c>
      <c r="BW7" s="57">
        <f t="shared" si="1"/>
        <v>41304725.647894248</v>
      </c>
      <c r="BX7" s="57">
        <f t="shared" si="1"/>
        <v>48018371.630684122</v>
      </c>
      <c r="BY7" s="57">
        <f t="shared" si="1"/>
        <v>45969818.41398859</v>
      </c>
      <c r="BZ7" s="57">
        <f t="shared" si="1"/>
        <v>-10236389.061737597</v>
      </c>
      <c r="CA7" s="57">
        <f t="shared" si="1"/>
        <v>48018371.630684122</v>
      </c>
      <c r="CB7" s="57">
        <f t="shared" si="1"/>
        <v>48018371.630684122</v>
      </c>
      <c r="CC7" s="57">
        <f t="shared" si="1"/>
        <v>41304725.647894248</v>
      </c>
      <c r="CD7" s="57">
        <f t="shared" si="1"/>
        <v>48018371.630684122</v>
      </c>
      <c r="CE7" s="57">
        <f t="shared" si="1"/>
        <v>48018371.630684122</v>
      </c>
      <c r="CF7" s="57">
        <f t="shared" si="1"/>
        <v>41304725.647894248</v>
      </c>
      <c r="CG7" s="57">
        <f t="shared" si="1"/>
        <v>48018371.630684122</v>
      </c>
      <c r="CH7" s="57">
        <f t="shared" si="1"/>
        <v>48018371.630684122</v>
      </c>
      <c r="CI7" s="57">
        <f t="shared" si="1"/>
        <v>42873994.03995207</v>
      </c>
      <c r="CJ7" s="57">
        <f t="shared" si="1"/>
        <v>49789049.402225643</v>
      </c>
      <c r="CK7" s="57">
        <f t="shared" si="1"/>
        <v>47679039.589029245</v>
      </c>
      <c r="CL7" s="57">
        <f t="shared" si="1"/>
        <v>1420381.6188251078</v>
      </c>
      <c r="CM7" s="57">
        <f t="shared" si="1"/>
        <v>49789049.402225643</v>
      </c>
      <c r="CN7" s="57">
        <f t="shared" si="1"/>
        <v>49789049.402225643</v>
      </c>
      <c r="CO7" s="57">
        <f t="shared" si="1"/>
        <v>42873994.03995207</v>
      </c>
      <c r="CP7" s="57">
        <f t="shared" si="1"/>
        <v>49789049.402225643</v>
      </c>
      <c r="CQ7" s="57">
        <f t="shared" si="1"/>
        <v>49789049.402225643</v>
      </c>
      <c r="CR7" s="57">
        <f t="shared" si="1"/>
        <v>42873994.03995207</v>
      </c>
      <c r="CS7" s="57">
        <f t="shared" si="1"/>
        <v>49789049.402225643</v>
      </c>
      <c r="CT7" s="57">
        <f t="shared" si="1"/>
        <v>49789049.402225643</v>
      </c>
      <c r="CU7" s="57">
        <f t="shared" si="1"/>
        <v>44612424.868264861</v>
      </c>
      <c r="CV7" s="57">
        <f t="shared" si="1"/>
        <v>51734931.89140664</v>
      </c>
      <c r="CW7" s="57">
        <f t="shared" si="1"/>
        <v>49561621.783814356</v>
      </c>
      <c r="CX7" s="57">
        <f t="shared" si="1"/>
        <v>-13054865.675463215</v>
      </c>
      <c r="CY7" s="57">
        <f t="shared" si="1"/>
        <v>51734931.89140664</v>
      </c>
      <c r="CZ7" s="57">
        <f t="shared" si="1"/>
        <v>51734931.89140664</v>
      </c>
      <c r="DA7" s="57">
        <f t="shared" si="1"/>
        <v>44612424.868264861</v>
      </c>
      <c r="DB7" s="57">
        <f t="shared" si="1"/>
        <v>51734931.89140664</v>
      </c>
      <c r="DC7" s="57">
        <f t="shared" si="1"/>
        <v>51734931.89140664</v>
      </c>
      <c r="DD7" s="57">
        <f t="shared" si="1"/>
        <v>44612424.868264861</v>
      </c>
      <c r="DE7" s="57">
        <f t="shared" si="1"/>
        <v>51734931.89140664</v>
      </c>
      <c r="DF7" s="57">
        <f t="shared" si="1"/>
        <v>51734931.89140664</v>
      </c>
      <c r="DG7" s="57">
        <f t="shared" si="1"/>
        <v>58633226.47193037</v>
      </c>
      <c r="DH7" s="57">
        <f t="shared" si="1"/>
        <v>65969408.70576641</v>
      </c>
      <c r="DI7" s="57">
        <f t="shared" si="1"/>
        <v>63730899.294946343</v>
      </c>
      <c r="DJ7" s="57">
        <f t="shared" si="1"/>
        <v>-2355367.2097973526</v>
      </c>
      <c r="DK7" s="57">
        <f t="shared" si="1"/>
        <v>65969408.70576641</v>
      </c>
      <c r="DL7" s="57">
        <f t="shared" si="1"/>
        <v>65969408.70576641</v>
      </c>
      <c r="DM7" s="57">
        <f t="shared" si="1"/>
        <v>58633226.47193037</v>
      </c>
      <c r="DN7" s="57">
        <f t="shared" si="1"/>
        <v>65969408.70576641</v>
      </c>
      <c r="DO7" s="57">
        <f t="shared" si="1"/>
        <v>65969408.70576641</v>
      </c>
      <c r="DP7" s="57">
        <f t="shared" si="1"/>
        <v>58633226.47193037</v>
      </c>
      <c r="DQ7" s="57">
        <f t="shared" si="1"/>
        <v>65969408.70576641</v>
      </c>
      <c r="DR7" s="57">
        <f t="shared" si="1"/>
        <v>65969408.70576641</v>
      </c>
      <c r="DS7" s="57">
        <f t="shared" si="1"/>
        <v>75918134.510343492</v>
      </c>
      <c r="DT7" s="57">
        <f t="shared" si="1"/>
        <v>83474402.21119462</v>
      </c>
      <c r="DU7" s="57">
        <f t="shared" si="1"/>
        <v>81168737.518049955</v>
      </c>
      <c r="DV7" s="57">
        <f t="shared" si="1"/>
        <v>-1790178.1082612574</v>
      </c>
      <c r="DW7" s="57">
        <f t="shared" si="1"/>
        <v>83474402.21119462</v>
      </c>
      <c r="DX7" s="57">
        <f t="shared" si="1"/>
        <v>83474402.21119462</v>
      </c>
      <c r="DY7" s="57">
        <f t="shared" si="1"/>
        <v>75918134.510343492</v>
      </c>
      <c r="DZ7" s="57">
        <f t="shared" si="1"/>
        <v>83474402.21119462</v>
      </c>
      <c r="EA7" s="57">
        <f t="shared" si="1"/>
        <v>83474402.21119462</v>
      </c>
      <c r="EB7" s="57">
        <f>+EB4+EB5</f>
        <v>75918134.510343492</v>
      </c>
      <c r="EC7" s="57">
        <f>+EC4+EC5</f>
        <v>83474402.21119462</v>
      </c>
      <c r="ED7" s="57">
        <f>+ED4+ED5</f>
        <v>3340865860.4702868</v>
      </c>
    </row>
    <row r="8" spans="2:134" x14ac:dyDescent="0.25">
      <c r="B8" s="47"/>
    </row>
    <row r="9" spans="2:134" x14ac:dyDescent="0.25">
      <c r="B9" s="47" t="s">
        <v>93</v>
      </c>
      <c r="C9" s="58">
        <f>+IRR(C7:ED7)</f>
        <v>1.3098100505022803E-2</v>
      </c>
      <c r="D9" s="36" t="s">
        <v>41</v>
      </c>
      <c r="E9" s="58">
        <f>+(1+C9)^12-1</f>
        <v>0.16900942594067225</v>
      </c>
      <c r="F9" s="36" t="s">
        <v>40</v>
      </c>
    </row>
    <row r="10" spans="2:134" x14ac:dyDescent="0.25">
      <c r="B10" s="47" t="s">
        <v>94</v>
      </c>
      <c r="C10" s="45">
        <f>+NPV('6 WACC'!E24,'9 Cash Flow Inversionista'!D7:ED7)+'9 Cash Flow Inversionista'!C7</f>
        <v>1070822789.9163005</v>
      </c>
    </row>
    <row r="13" spans="2:134" s="60" customFormat="1" ht="21" x14ac:dyDescent="0.4">
      <c r="B13" s="59" t="s">
        <v>163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</row>
    <row r="15" spans="2:134" s="63" customFormat="1" ht="15.6" x14ac:dyDescent="0.3">
      <c r="B15" s="61"/>
      <c r="C15" s="62">
        <v>2021</v>
      </c>
      <c r="D15" s="62">
        <f>+C15+1</f>
        <v>2022</v>
      </c>
      <c r="E15" s="62">
        <f t="shared" ref="E15:M15" si="2">+D15+1</f>
        <v>2023</v>
      </c>
      <c r="F15" s="62">
        <f t="shared" si="2"/>
        <v>2024</v>
      </c>
      <c r="G15" s="62">
        <f t="shared" si="2"/>
        <v>2025</v>
      </c>
      <c r="H15" s="62">
        <f t="shared" si="2"/>
        <v>2026</v>
      </c>
      <c r="I15" s="62">
        <f t="shared" si="2"/>
        <v>2027</v>
      </c>
      <c r="J15" s="62">
        <f t="shared" si="2"/>
        <v>2028</v>
      </c>
      <c r="K15" s="62">
        <f t="shared" si="2"/>
        <v>2029</v>
      </c>
      <c r="L15" s="62">
        <f t="shared" si="2"/>
        <v>2030</v>
      </c>
      <c r="M15" s="62">
        <f t="shared" si="2"/>
        <v>2031</v>
      </c>
    </row>
    <row r="16" spans="2:134" x14ac:dyDescent="0.25"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</row>
    <row r="17" spans="2:13" x14ac:dyDescent="0.25">
      <c r="B17" s="48" t="str">
        <f>+B4</f>
        <v>FC PROYECTO</v>
      </c>
      <c r="C17" s="48">
        <f>+'7 Cash Flow Proyecto'!D23</f>
        <v>-2915455902.7048469</v>
      </c>
      <c r="D17" s="48">
        <f>+'7 Cash Flow Proyecto'!E23</f>
        <v>85435425.537964284</v>
      </c>
      <c r="E17" s="48">
        <f>+'7 Cash Flow Proyecto'!F23</f>
        <v>227771595.80776256</v>
      </c>
      <c r="F17" s="48">
        <f>+'7 Cash Flow Proyecto'!G23</f>
        <v>420320867.7103281</v>
      </c>
      <c r="G17" s="48">
        <f>+'7 Cash Flow Proyecto'!H23</f>
        <v>611080356.94977093</v>
      </c>
      <c r="H17" s="48">
        <f>+'7 Cash Flow Proyecto'!I23</f>
        <v>661349659.97167099</v>
      </c>
      <c r="I17" s="48">
        <f>+'7 Cash Flow Proyecto'!J23</f>
        <v>676660610.55641413</v>
      </c>
      <c r="J17" s="48">
        <f>+'7 Cash Flow Proyecto'!K23</f>
        <v>707129151.98898172</v>
      </c>
      <c r="K17" s="48">
        <f>+'7 Cash Flow Proyecto'!L23</f>
        <v>713372956.79868436</v>
      </c>
      <c r="L17" s="48">
        <f>+'7 Cash Flow Proyecto'!M23</f>
        <v>879945475.28699684</v>
      </c>
      <c r="M17" s="48">
        <f>+'7 Cash Flow Proyecto'!N23</f>
        <v>4148845236.6782737</v>
      </c>
    </row>
    <row r="18" spans="2:13" x14ac:dyDescent="0.25">
      <c r="B18" s="48" t="str">
        <f>+B5</f>
        <v>FC FINANCIACIÓN</v>
      </c>
      <c r="C18" s="48">
        <f>+'8 Cash Flow Financiacion'!C21</f>
        <v>979115597.1543082</v>
      </c>
      <c r="D18" s="48">
        <f>+'8 Cash Flow Financiacion'!D21</f>
        <v>-180884402.8456918</v>
      </c>
      <c r="E18" s="48">
        <f>+'8 Cash Flow Financiacion'!E21</f>
        <v>-180884402.8456918</v>
      </c>
      <c r="F18" s="48">
        <f>+'8 Cash Flow Financiacion'!F21</f>
        <v>-180884402.8456918</v>
      </c>
      <c r="G18" s="48">
        <f>+'8 Cash Flow Financiacion'!G21</f>
        <v>-180884402.8456918</v>
      </c>
      <c r="H18" s="48">
        <f>+'8 Cash Flow Financiacion'!H21</f>
        <v>-180884402.8456918</v>
      </c>
      <c r="I18" s="48">
        <f>+'8 Cash Flow Financiacion'!I21</f>
        <v>-180884402.8456918</v>
      </c>
      <c r="J18" s="48">
        <f>+'8 Cash Flow Financiacion'!J21</f>
        <v>-180884402.8456918</v>
      </c>
      <c r="K18" s="48">
        <f>+'8 Cash Flow Financiacion'!K21</f>
        <v>-180884402.8456918</v>
      </c>
      <c r="L18" s="48">
        <f>+'8 Cash Flow Financiacion'!L21</f>
        <v>-180884402.8456918</v>
      </c>
      <c r="M18" s="48">
        <f>+'8 Cash Flow Financiacion'!M21</f>
        <v>0</v>
      </c>
    </row>
    <row r="19" spans="2:13" x14ac:dyDescent="0.25">
      <c r="B19" s="48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</row>
    <row r="20" spans="2:13" x14ac:dyDescent="0.25">
      <c r="B20" s="48" t="str">
        <f>+B7</f>
        <v>FC INVERSIONISTA</v>
      </c>
      <c r="C20" s="48">
        <f>+C17+C18</f>
        <v>-1936340305.5505385</v>
      </c>
      <c r="D20" s="48">
        <f t="shared" ref="D20:M20" si="3">+D17+D18</f>
        <v>-95448977.307727516</v>
      </c>
      <c r="E20" s="48">
        <f t="shared" si="3"/>
        <v>46887192.962070763</v>
      </c>
      <c r="F20" s="48">
        <f t="shared" si="3"/>
        <v>239436464.8646363</v>
      </c>
      <c r="G20" s="48">
        <f t="shared" si="3"/>
        <v>430195954.10407913</v>
      </c>
      <c r="H20" s="48">
        <f t="shared" si="3"/>
        <v>480465257.12597919</v>
      </c>
      <c r="I20" s="48">
        <f t="shared" si="3"/>
        <v>495776207.71072233</v>
      </c>
      <c r="J20" s="48">
        <f t="shared" si="3"/>
        <v>526244749.14328992</v>
      </c>
      <c r="K20" s="48">
        <f t="shared" si="3"/>
        <v>532488553.95299256</v>
      </c>
      <c r="L20" s="48">
        <f t="shared" si="3"/>
        <v>699061072.44130504</v>
      </c>
      <c r="M20" s="48">
        <f t="shared" si="3"/>
        <v>4148845236.6782737</v>
      </c>
    </row>
    <row r="21" spans="2:13" x14ac:dyDescent="0.25">
      <c r="B21" s="48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2:13" x14ac:dyDescent="0.25">
      <c r="B22" s="48" t="s">
        <v>93</v>
      </c>
      <c r="C22" s="58">
        <f>+IRR(C20:M20)</f>
        <v>0.18275729040989797</v>
      </c>
      <c r="D22" s="45" t="s">
        <v>40</v>
      </c>
      <c r="E22" s="48" t="s">
        <v>265</v>
      </c>
      <c r="F22" s="45"/>
      <c r="G22" s="45"/>
      <c r="H22" s="45"/>
      <c r="I22" s="45"/>
      <c r="J22" s="45"/>
      <c r="K22" s="45"/>
      <c r="L22" s="45"/>
      <c r="M22" s="45"/>
    </row>
    <row r="23" spans="2:13" x14ac:dyDescent="0.25">
      <c r="B23" s="48" t="s">
        <v>94</v>
      </c>
      <c r="C23" s="45">
        <f>+NPV('6 WACC'!C24,'9 Cash Flow Inversionista'!D20:M20)+'9 Cash Flow Inversionista'!C20</f>
        <v>1266121862.3360324</v>
      </c>
      <c r="D23" s="45"/>
      <c r="E23" s="45"/>
      <c r="F23" s="45"/>
      <c r="G23" s="45"/>
      <c r="H23" s="45"/>
      <c r="I23" s="45"/>
      <c r="J23" s="45"/>
      <c r="K23" s="45"/>
      <c r="L23" s="45"/>
      <c r="M23" s="45"/>
    </row>
  </sheetData>
  <mergeCells count="12">
    <mergeCell ref="B13:M13"/>
    <mergeCell ref="BW1:CH1"/>
    <mergeCell ref="CI1:CT1"/>
    <mergeCell ref="CU1:DF1"/>
    <mergeCell ref="DG1:DR1"/>
    <mergeCell ref="DS1:ED1"/>
    <mergeCell ref="BK1:BV1"/>
    <mergeCell ref="C1:N1"/>
    <mergeCell ref="O1:Z1"/>
    <mergeCell ref="AA1:AL1"/>
    <mergeCell ref="AM1:AX1"/>
    <mergeCell ref="AY1:BJ1"/>
  </mergeCells>
  <conditionalFormatting sqref="C4:ED5">
    <cfRule type="cellIs" dxfId="67" priority="11" operator="lessThan">
      <formula>0</formula>
    </cfRule>
  </conditionalFormatting>
  <conditionalFormatting sqref="C7:ED7">
    <cfRule type="cellIs" dxfId="66" priority="10" operator="lessThan">
      <formula>0</formula>
    </cfRule>
  </conditionalFormatting>
  <conditionalFormatting sqref="C10">
    <cfRule type="cellIs" dxfId="65" priority="9" operator="lessThan">
      <formula>0</formula>
    </cfRule>
  </conditionalFormatting>
  <conditionalFormatting sqref="C20:M20">
    <cfRule type="cellIs" dxfId="64" priority="6" operator="lessThan">
      <formula>0</formula>
    </cfRule>
  </conditionalFormatting>
  <conditionalFormatting sqref="B17:B23 C18:M18">
    <cfRule type="cellIs" dxfId="63" priority="8" operator="lessThan">
      <formula>0</formula>
    </cfRule>
  </conditionalFormatting>
  <conditionalFormatting sqref="C17:M17">
    <cfRule type="cellIs" dxfId="62" priority="7" operator="lessThan">
      <formula>0</formula>
    </cfRule>
  </conditionalFormatting>
  <conditionalFormatting sqref="C23">
    <cfRule type="cellIs" dxfId="61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scale="5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00FF"/>
    <pageSetUpPr fitToPage="1"/>
  </sheetPr>
  <dimension ref="B2:P36"/>
  <sheetViews>
    <sheetView showGridLines="0" zoomScale="80" zoomScaleNormal="80" workbookViewId="0">
      <selection activeCell="F8" sqref="F8"/>
    </sheetView>
  </sheetViews>
  <sheetFormatPr defaultColWidth="11.44140625" defaultRowHeight="13.8" x14ac:dyDescent="0.25"/>
  <cols>
    <col min="1" max="1" width="11.44140625" style="36"/>
    <col min="2" max="2" width="11.44140625" style="39"/>
    <col min="3" max="3" width="31" style="36" customWidth="1"/>
    <col min="4" max="4" width="16.33203125" style="36" bestFit="1" customWidth="1"/>
    <col min="5" max="8" width="17.109375" style="36" bestFit="1" customWidth="1"/>
    <col min="9" max="9" width="17" style="36" bestFit="1" customWidth="1"/>
    <col min="10" max="10" width="3.5546875" style="36" customWidth="1"/>
    <col min="11" max="12" width="17" style="36" bestFit="1" customWidth="1"/>
    <col min="13" max="14" width="18.109375" style="36" bestFit="1" customWidth="1"/>
    <col min="15" max="16384" width="11.44140625" style="36"/>
  </cols>
  <sheetData>
    <row r="2" spans="2:16" ht="17.399999999999999" x14ac:dyDescent="0.3">
      <c r="D2" s="40" t="s">
        <v>63</v>
      </c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2:16" x14ac:dyDescent="0.25">
      <c r="B3" s="41" t="s">
        <v>101</v>
      </c>
      <c r="D3" s="42"/>
      <c r="E3" s="42"/>
      <c r="F3" s="42"/>
      <c r="G3" s="42"/>
      <c r="H3" s="42"/>
    </row>
    <row r="4" spans="2:16" x14ac:dyDescent="0.25">
      <c r="C4" s="26" t="s">
        <v>289</v>
      </c>
      <c r="D4" s="26">
        <v>2021</v>
      </c>
      <c r="E4" s="26">
        <f>+D4+1</f>
        <v>2022</v>
      </c>
      <c r="F4" s="26">
        <f t="shared" ref="F4:I4" si="0">+E4+1</f>
        <v>2023</v>
      </c>
      <c r="G4" s="26">
        <f t="shared" si="0"/>
        <v>2024</v>
      </c>
      <c r="H4" s="26">
        <f t="shared" si="0"/>
        <v>2025</v>
      </c>
      <c r="I4" s="26">
        <f t="shared" si="0"/>
        <v>2026</v>
      </c>
      <c r="K4" s="43">
        <v>2021</v>
      </c>
      <c r="L4" s="43">
        <v>2022</v>
      </c>
      <c r="M4" s="43">
        <v>2023</v>
      </c>
      <c r="N4" s="43">
        <v>2024</v>
      </c>
      <c r="O4" s="43">
        <v>2025</v>
      </c>
      <c r="P4" s="43">
        <v>2026</v>
      </c>
    </row>
    <row r="5" spans="2:16" s="45" customFormat="1" x14ac:dyDescent="0.25">
      <c r="B5" s="44" t="s">
        <v>100</v>
      </c>
      <c r="C5" s="27" t="s">
        <v>252</v>
      </c>
      <c r="D5" s="22">
        <f>+SUM('5 Cash Flow Operativo'!E5:P5)</f>
        <v>247500000</v>
      </c>
      <c r="E5" s="22">
        <f>+SUM('5 Cash Flow Operativo'!Q5:AB5)</f>
        <v>387450000</v>
      </c>
      <c r="F5" s="22">
        <f>+SUM('5 Cash Flow Operativo'!AC5:AN5)</f>
        <v>570105000</v>
      </c>
      <c r="G5" s="22">
        <f>+SUM('5 Cash Flow Operativo'!AO5:AZ5)</f>
        <v>822091410</v>
      </c>
      <c r="H5" s="22">
        <f>+SUM('5 Cash Flow Operativo'!BA5:BL5)</f>
        <v>1088683910.0999999</v>
      </c>
      <c r="I5" s="22">
        <f>+SUM('5 Cash Flow Operativo'!BM5:BX5)</f>
        <v>1183641340.0365002</v>
      </c>
      <c r="K5" s="46">
        <f>+(E5-D5)/D5</f>
        <v>0.56545454545454543</v>
      </c>
      <c r="L5" s="46">
        <f t="shared" ref="L5:O5" si="1">+(F5-E5)/E5</f>
        <v>0.47142857142857142</v>
      </c>
      <c r="M5" s="46">
        <f t="shared" si="1"/>
        <v>0.442</v>
      </c>
      <c r="N5" s="46">
        <f t="shared" si="1"/>
        <v>0.32428571428571418</v>
      </c>
      <c r="O5" s="46">
        <f t="shared" si="1"/>
        <v>8.722222222222252E-2</v>
      </c>
      <c r="P5" s="46">
        <f>+(D22-I5)/I5</f>
        <v>-0.14166666666666669</v>
      </c>
    </row>
    <row r="6" spans="2:16" x14ac:dyDescent="0.25">
      <c r="B6" s="39" t="s">
        <v>100</v>
      </c>
      <c r="C6" s="21" t="s">
        <v>280</v>
      </c>
      <c r="D6" s="22">
        <f>+SUM('5 Cash Flow Operativo'!E7:P8)</f>
        <v>148791652.70484686</v>
      </c>
      <c r="E6" s="22">
        <f>+SUM('5 Cash Flow Operativo'!Q7:AB8)</f>
        <v>184616489.46203566</v>
      </c>
      <c r="F6" s="22">
        <f>+SUM('5 Cash Flow Operativo'!AC7:AN8)</f>
        <v>217998447.6922375</v>
      </c>
      <c r="G6" s="22">
        <f>+SUM('5 Cash Flow Operativo'!AO7:AZ8)</f>
        <v>262776757.72664562</v>
      </c>
      <c r="H6" s="22">
        <f>+SUM('5 Cash Flow Operativo'!BA7:BL8)</f>
        <v>310045567.76019537</v>
      </c>
      <c r="I6" s="22">
        <f>+SUM('5 Cash Flow Operativo'!BM7:BX8)</f>
        <v>329488702.92320216</v>
      </c>
      <c r="K6" s="46">
        <f t="shared" ref="K6:K16" si="2">+(E6-D6)/D6</f>
        <v>0.24077181821653232</v>
      </c>
      <c r="L6" s="46">
        <f t="shared" ref="L6:L16" si="3">+(F6-E6)/E6</f>
        <v>0.18081785829356523</v>
      </c>
      <c r="M6" s="46">
        <f t="shared" ref="M6:M16" si="4">+(G6-F6)/F6</f>
        <v>0.20540655453484952</v>
      </c>
      <c r="N6" s="46">
        <f t="shared" ref="N6:N16" si="5">+(H6-G6)/G6</f>
        <v>0.17988200494779408</v>
      </c>
      <c r="O6" s="46">
        <f t="shared" ref="O6:O16" si="6">+(I6-H6)/H6</f>
        <v>6.2710572847295365E-2</v>
      </c>
      <c r="P6" s="46">
        <f>+(D23-I6)/I6</f>
        <v>-0.14166666666666664</v>
      </c>
    </row>
    <row r="7" spans="2:16" s="47" customFormat="1" x14ac:dyDescent="0.25">
      <c r="B7" s="41"/>
      <c r="C7" s="28" t="s">
        <v>255</v>
      </c>
      <c r="D7" s="29">
        <f>+D5-D6</f>
        <v>98708347.295153141</v>
      </c>
      <c r="E7" s="29">
        <f t="shared" ref="E7:I7" si="7">+E5-E6</f>
        <v>202833510.53796434</v>
      </c>
      <c r="F7" s="29">
        <f t="shared" si="7"/>
        <v>352106552.3077625</v>
      </c>
      <c r="G7" s="29">
        <f t="shared" si="7"/>
        <v>559314652.27335441</v>
      </c>
      <c r="H7" s="29">
        <f t="shared" si="7"/>
        <v>778638342.33980453</v>
      </c>
      <c r="I7" s="29">
        <f t="shared" si="7"/>
        <v>854152637.11329806</v>
      </c>
      <c r="K7" s="46">
        <f t="shared" si="2"/>
        <v>1.0548769794661941</v>
      </c>
      <c r="L7" s="46">
        <f t="shared" si="3"/>
        <v>0.73593875772247563</v>
      </c>
      <c r="M7" s="46">
        <f t="shared" si="4"/>
        <v>0.58848123844193456</v>
      </c>
      <c r="N7" s="46">
        <f t="shared" si="5"/>
        <v>0.39212934825683743</v>
      </c>
      <c r="O7" s="46">
        <f t="shared" si="6"/>
        <v>9.6982502231489687E-2</v>
      </c>
      <c r="P7" s="46">
        <f>+(D24-I7)/I7</f>
        <v>-0.1416666666666668</v>
      </c>
    </row>
    <row r="8" spans="2:16" x14ac:dyDescent="0.25">
      <c r="C8" s="28" t="s">
        <v>281</v>
      </c>
      <c r="D8" s="22"/>
      <c r="E8" s="22"/>
      <c r="F8" s="22"/>
      <c r="G8" s="22"/>
      <c r="H8" s="22"/>
      <c r="I8" s="22"/>
      <c r="K8" s="46" t="e">
        <f t="shared" si="2"/>
        <v>#DIV/0!</v>
      </c>
      <c r="L8" s="46" t="e">
        <f t="shared" si="3"/>
        <v>#DIV/0!</v>
      </c>
      <c r="M8" s="46" t="e">
        <f t="shared" si="4"/>
        <v>#DIV/0!</v>
      </c>
      <c r="N8" s="46" t="e">
        <f t="shared" si="5"/>
        <v>#DIV/0!</v>
      </c>
      <c r="O8" s="46" t="e">
        <f t="shared" si="6"/>
        <v>#DIV/0!</v>
      </c>
      <c r="P8" s="46" t="e">
        <f>+(D25-I8)/I8</f>
        <v>#DIV/0!</v>
      </c>
    </row>
    <row r="9" spans="2:16" s="45" customFormat="1" x14ac:dyDescent="0.25">
      <c r="B9" s="39" t="s">
        <v>100</v>
      </c>
      <c r="C9" s="27" t="s">
        <v>282</v>
      </c>
      <c r="D9" s="22">
        <f>+'7 Informacion Base'!$C$47</f>
        <v>75750000</v>
      </c>
      <c r="E9" s="22">
        <f>+'7 Informacion Base'!$C$47</f>
        <v>75750000</v>
      </c>
      <c r="F9" s="22">
        <f>+'7 Informacion Base'!$C$47</f>
        <v>75750000</v>
      </c>
      <c r="G9" s="22">
        <f>+'7 Informacion Base'!$C$47</f>
        <v>75750000</v>
      </c>
      <c r="H9" s="22">
        <f>+'7 Informacion Base'!$C$47</f>
        <v>75750000</v>
      </c>
      <c r="I9" s="22">
        <f>+'7 Informacion Base'!$C$47</f>
        <v>75750000</v>
      </c>
      <c r="K9" s="46">
        <f t="shared" si="2"/>
        <v>0</v>
      </c>
      <c r="L9" s="46">
        <f t="shared" si="3"/>
        <v>0</v>
      </c>
      <c r="M9" s="46">
        <f t="shared" si="4"/>
        <v>0</v>
      </c>
      <c r="N9" s="46">
        <f t="shared" si="5"/>
        <v>0</v>
      </c>
      <c r="O9" s="46">
        <f t="shared" si="6"/>
        <v>0</v>
      </c>
      <c r="P9" s="46">
        <f>+(D26-I9)/I9</f>
        <v>0</v>
      </c>
    </row>
    <row r="10" spans="2:16" x14ac:dyDescent="0.25">
      <c r="B10" s="39" t="s">
        <v>100</v>
      </c>
      <c r="C10" s="21" t="s">
        <v>283</v>
      </c>
      <c r="D10" s="22">
        <f>+SUM('5 Cash Flow Operativo'!E9:P15)</f>
        <v>106564250</v>
      </c>
      <c r="E10" s="22">
        <f>+SUM('5 Cash Flow Operativo'!Q9:AB15)</f>
        <v>111630085</v>
      </c>
      <c r="F10" s="22">
        <f>+SUM('5 Cash Flow Operativo'!AC9:AN15)</f>
        <v>118393916.5</v>
      </c>
      <c r="G10" s="22">
        <f>+SUM('5 Cash Flow Operativo'!AO9:AZ15)</f>
        <v>127019212.41100009</v>
      </c>
      <c r="H10" s="22">
        <f>+SUM('5 Cash Flow Operativo'!BA9:BL15)</f>
        <v>136732874.87365004</v>
      </c>
      <c r="I10" s="22">
        <f>+SUM('5 Cash Flow Operativo'!BM9:BX15)</f>
        <v>142049650.91621283</v>
      </c>
      <c r="K10" s="46">
        <f t="shared" si="2"/>
        <v>4.7537846885798943E-2</v>
      </c>
      <c r="L10" s="46">
        <f t="shared" si="3"/>
        <v>6.0591474959460975E-2</v>
      </c>
      <c r="M10" s="46">
        <f t="shared" si="4"/>
        <v>7.2852526261347958E-2</v>
      </c>
      <c r="N10" s="46">
        <f t="shared" si="5"/>
        <v>7.6473962310671176E-2</v>
      </c>
      <c r="O10" s="46">
        <f t="shared" si="6"/>
        <v>3.8884401775913985E-2</v>
      </c>
      <c r="P10" s="46">
        <f>+(D27-I10)/I10</f>
        <v>1.9987005709364784E-2</v>
      </c>
    </row>
    <row r="11" spans="2:16" s="47" customFormat="1" x14ac:dyDescent="0.25">
      <c r="B11" s="41"/>
      <c r="C11" s="28" t="s">
        <v>254</v>
      </c>
      <c r="D11" s="29">
        <f>+D7-D9-D10</f>
        <v>-83605902.704846859</v>
      </c>
      <c r="E11" s="29">
        <f t="shared" ref="E11:I11" si="8">+E7-E9-E10</f>
        <v>15453425.537964344</v>
      </c>
      <c r="F11" s="29">
        <f t="shared" si="8"/>
        <v>157962635.8077625</v>
      </c>
      <c r="G11" s="29">
        <f t="shared" si="8"/>
        <v>356545439.86235434</v>
      </c>
      <c r="H11" s="29">
        <f t="shared" si="8"/>
        <v>566155467.46615446</v>
      </c>
      <c r="I11" s="29">
        <f t="shared" si="8"/>
        <v>636352986.19708526</v>
      </c>
      <c r="K11" s="46">
        <f t="shared" si="2"/>
        <v>-1.1848365371105367</v>
      </c>
      <c r="L11" s="46">
        <f t="shared" si="3"/>
        <v>9.2218524572235836</v>
      </c>
      <c r="M11" s="46">
        <f t="shared" si="4"/>
        <v>1.2571504839680143</v>
      </c>
      <c r="N11" s="46">
        <f t="shared" si="5"/>
        <v>0.5878914835784208</v>
      </c>
      <c r="O11" s="46">
        <f t="shared" si="6"/>
        <v>0.12398982746753621</v>
      </c>
      <c r="P11" s="46">
        <f>+(D28-I11)/I11</f>
        <v>-0.19461542067770521</v>
      </c>
    </row>
    <row r="12" spans="2:16" s="45" customFormat="1" x14ac:dyDescent="0.25">
      <c r="B12" s="39" t="s">
        <v>100</v>
      </c>
      <c r="C12" s="27" t="s">
        <v>284</v>
      </c>
      <c r="D12" s="22">
        <f>+SUM('1 Financiacion'!D13:O13)</f>
        <v>108217863.64848511</v>
      </c>
      <c r="E12" s="22">
        <f>+SUM('1 Financiacion'!P13:AA13)</f>
        <v>100926598.02856429</v>
      </c>
      <c r="F12" s="22">
        <f>+SUM('1 Financiacion'!AB13:AM13)</f>
        <v>92903736.340803102</v>
      </c>
      <c r="G12" s="22">
        <f>+SUM('1 Financiacion'!AN13:AY13)</f>
        <v>84075871.191426665</v>
      </c>
      <c r="H12" s="22">
        <f>+SUM('1 Financiacion'!AZ13:BK13)</f>
        <v>74362229.584659502</v>
      </c>
      <c r="I12" s="22">
        <f>+SUM('1 Financiacion'!BL13:BW13)</f>
        <v>63673933.867842495</v>
      </c>
      <c r="K12" s="46">
        <f t="shared" si="2"/>
        <v>-6.7375804456872468E-2</v>
      </c>
      <c r="L12" s="46">
        <f t="shared" si="3"/>
        <v>-7.9492045154346269E-2</v>
      </c>
      <c r="M12" s="46">
        <f t="shared" si="4"/>
        <v>-9.5021637418249455E-2</v>
      </c>
      <c r="N12" s="46">
        <f t="shared" si="5"/>
        <v>-0.11553423674493754</v>
      </c>
      <c r="O12" s="46">
        <f t="shared" si="6"/>
        <v>-0.1437328570769742</v>
      </c>
      <c r="P12" s="46">
        <f>+(D29-I12)/I12</f>
        <v>-0.18470266610987346</v>
      </c>
    </row>
    <row r="13" spans="2:16" s="45" customFormat="1" hidden="1" x14ac:dyDescent="0.25">
      <c r="B13" s="39" t="s">
        <v>100</v>
      </c>
      <c r="C13" s="27" t="s">
        <v>285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K13" s="46" t="e">
        <f t="shared" si="2"/>
        <v>#DIV/0!</v>
      </c>
      <c r="L13" s="46" t="e">
        <f t="shared" si="3"/>
        <v>#DIV/0!</v>
      </c>
      <c r="M13" s="46" t="e">
        <f t="shared" si="4"/>
        <v>#DIV/0!</v>
      </c>
      <c r="N13" s="46" t="e">
        <f t="shared" si="5"/>
        <v>#DIV/0!</v>
      </c>
      <c r="O13" s="46" t="e">
        <f t="shared" si="6"/>
        <v>#DIV/0!</v>
      </c>
      <c r="P13" s="46" t="e">
        <f>+(D30-I13)/I13</f>
        <v>#DIV/0!</v>
      </c>
    </row>
    <row r="14" spans="2:16" s="48" customFormat="1" x14ac:dyDescent="0.25">
      <c r="B14" s="41" t="s">
        <v>100</v>
      </c>
      <c r="C14" s="30" t="s">
        <v>286</v>
      </c>
      <c r="D14" s="29">
        <f>+D11-D12+D13</f>
        <v>-191823766.35333198</v>
      </c>
      <c r="E14" s="29">
        <f>+E11-E12+E13</f>
        <v>-85473172.490599945</v>
      </c>
      <c r="F14" s="29">
        <f>+F11-F12+F13</f>
        <v>65058899.466959402</v>
      </c>
      <c r="G14" s="29">
        <f>+G11-G12+G13</f>
        <v>272469568.67092764</v>
      </c>
      <c r="H14" s="29">
        <f>+H11-H12+H13</f>
        <v>491793237.88149494</v>
      </c>
      <c r="I14" s="29">
        <f>+I11-I12+I13</f>
        <v>572679052.32924271</v>
      </c>
      <c r="K14" s="46">
        <f t="shared" si="2"/>
        <v>-0.55441823442689753</v>
      </c>
      <c r="L14" s="46">
        <f t="shared" si="3"/>
        <v>-1.7611616320210224</v>
      </c>
      <c r="M14" s="46">
        <f t="shared" si="4"/>
        <v>3.1880445396913473</v>
      </c>
      <c r="N14" s="46">
        <f t="shared" si="5"/>
        <v>0.80494739387007741</v>
      </c>
      <c r="O14" s="46">
        <f t="shared" si="6"/>
        <v>0.16447118060463944</v>
      </c>
      <c r="P14" s="46">
        <f>+(D31-I14)/I14</f>
        <v>-0.19571758091254005</v>
      </c>
    </row>
    <row r="15" spans="2:16" s="45" customFormat="1" x14ac:dyDescent="0.25">
      <c r="B15" s="44"/>
      <c r="C15" s="27" t="s">
        <v>287</v>
      </c>
      <c r="D15" s="22">
        <f>+IF((D14*'7 Informacion Base'!D6)&gt;0,(D14*'7 Informacion Base'!D6),0)</f>
        <v>0</v>
      </c>
      <c r="E15" s="22">
        <f>+IF((E14*'7 Informacion Base'!E6)&gt;0,(E14*'7 Informacion Base'!E6),0)</f>
        <v>0</v>
      </c>
      <c r="F15" s="22">
        <f>+IF((F14*'7 Informacion Base'!F6)&gt;0,(F14*'7 Informacion Base'!F6),0)</f>
        <v>5855300.9520263458</v>
      </c>
      <c r="G15" s="22">
        <f>+IF((G14*'7 Informacion Base'!G6)&gt;0,(G14*'7 Informacion Base'!G6),0)</f>
        <v>24522261.180383489</v>
      </c>
      <c r="H15" s="22">
        <f>+IF((H14*'7 Informacion Base'!H6)&gt;0,(H14*'7 Informacion Base'!H6),0)</f>
        <v>44261391.40933454</v>
      </c>
      <c r="I15" s="22">
        <f>+IF((I14*'7 Informacion Base'!I6)&gt;0,(I14*'7 Informacion Base'!I6),0)</f>
        <v>51541114.709631845</v>
      </c>
      <c r="K15" s="46" t="e">
        <f t="shared" si="2"/>
        <v>#DIV/0!</v>
      </c>
      <c r="L15" s="46" t="e">
        <f t="shared" si="3"/>
        <v>#DIV/0!</v>
      </c>
      <c r="M15" s="46">
        <f t="shared" si="4"/>
        <v>3.1880445396913482</v>
      </c>
      <c r="N15" s="46">
        <f t="shared" si="5"/>
        <v>0.80494739387007719</v>
      </c>
      <c r="O15" s="46">
        <f t="shared" si="6"/>
        <v>0.16447118060463961</v>
      </c>
      <c r="P15" s="46">
        <f>+(D32-I15)/I15</f>
        <v>-0.19571758091254016</v>
      </c>
    </row>
    <row r="16" spans="2:16" s="48" customFormat="1" x14ac:dyDescent="0.25">
      <c r="B16" s="41" t="s">
        <v>100</v>
      </c>
      <c r="C16" s="31" t="s">
        <v>256</v>
      </c>
      <c r="D16" s="32">
        <f>+D14-D15</f>
        <v>-191823766.35333198</v>
      </c>
      <c r="E16" s="32">
        <f t="shared" ref="E16:I16" si="9">+E14-E15</f>
        <v>-85473172.490599945</v>
      </c>
      <c r="F16" s="32">
        <f t="shared" si="9"/>
        <v>59203598.514933057</v>
      </c>
      <c r="G16" s="32">
        <f t="shared" si="9"/>
        <v>247947307.49054414</v>
      </c>
      <c r="H16" s="32">
        <f t="shared" si="9"/>
        <v>447531846.4721604</v>
      </c>
      <c r="I16" s="32">
        <f t="shared" si="9"/>
        <v>521137937.61961085</v>
      </c>
      <c r="K16" s="46">
        <f t="shared" si="2"/>
        <v>-0.55441823442689753</v>
      </c>
      <c r="L16" s="46">
        <f t="shared" si="3"/>
        <v>-1.6926570851391305</v>
      </c>
      <c r="M16" s="46">
        <f t="shared" si="4"/>
        <v>3.1880445396913473</v>
      </c>
      <c r="N16" s="46">
        <f t="shared" si="5"/>
        <v>0.80494739387007752</v>
      </c>
      <c r="O16" s="46">
        <f t="shared" si="6"/>
        <v>0.16447118060463942</v>
      </c>
      <c r="P16" s="46">
        <f>+(D33-I16)/I16</f>
        <v>-0.19571758091254002</v>
      </c>
    </row>
    <row r="17" spans="2:16" x14ac:dyDescent="0.25">
      <c r="B17" s="39" t="s">
        <v>100</v>
      </c>
      <c r="C17" s="33" t="s">
        <v>67</v>
      </c>
      <c r="D17" s="34">
        <f>+D11+D9</f>
        <v>-7855902.704846859</v>
      </c>
      <c r="E17" s="34">
        <f>+E11+E9</f>
        <v>91203425.537964344</v>
      </c>
      <c r="F17" s="34">
        <f>+F11+F9</f>
        <v>233712635.8077625</v>
      </c>
      <c r="G17" s="34">
        <f>+G11+G9</f>
        <v>432295439.86235434</v>
      </c>
      <c r="H17" s="34">
        <f>+H11+H9</f>
        <v>641905467.46615446</v>
      </c>
      <c r="I17" s="34">
        <f>+I11+I9</f>
        <v>712102986.19708526</v>
      </c>
      <c r="K17" s="46">
        <f t="shared" ref="K17" si="10">+(E17-D17)/D17</f>
        <v>-12.609541126533369</v>
      </c>
      <c r="L17" s="46">
        <f t="shared" ref="L17" si="11">+(F17-E17)/E17</f>
        <v>1.56254229958147</v>
      </c>
      <c r="M17" s="46">
        <f t="shared" ref="M17" si="12">+(G17-F17)/F17</f>
        <v>0.84968792281275585</v>
      </c>
      <c r="N17" s="46">
        <f t="shared" ref="N17" si="13">+(H17-G17)/G17</f>
        <v>0.48487679553256752</v>
      </c>
      <c r="O17" s="46">
        <f t="shared" ref="O17" si="14">+(I17-H17)/H17</f>
        <v>0.10935803212274725</v>
      </c>
      <c r="P17" s="46">
        <f>+(D34-I17)/I17</f>
        <v>-0.17391319304759095</v>
      </c>
    </row>
    <row r="18" spans="2:16" x14ac:dyDescent="0.25">
      <c r="C18" s="27" t="s">
        <v>288</v>
      </c>
      <c r="D18" s="35">
        <v>0.2</v>
      </c>
      <c r="E18" s="35">
        <v>0.4</v>
      </c>
      <c r="F18" s="35">
        <v>0.6</v>
      </c>
      <c r="G18" s="35">
        <v>0.8</v>
      </c>
      <c r="H18" s="35">
        <v>1</v>
      </c>
      <c r="I18" s="35">
        <v>1</v>
      </c>
      <c r="K18" s="46">
        <f t="shared" ref="K18" si="15">+(E18-D18)/D18</f>
        <v>1</v>
      </c>
      <c r="L18" s="46">
        <f t="shared" ref="L18" si="16">+(F18-E18)/E18</f>
        <v>0.49999999999999989</v>
      </c>
      <c r="M18" s="46">
        <f t="shared" ref="M18" si="17">+(G18-F18)/F18</f>
        <v>0.33333333333333348</v>
      </c>
      <c r="N18" s="46">
        <f t="shared" ref="N18" si="18">+(H18-G18)/G18</f>
        <v>0.24999999999999994</v>
      </c>
      <c r="O18" s="46">
        <f t="shared" ref="O18" si="19">+(I18-H18)/H18</f>
        <v>0</v>
      </c>
      <c r="P18" s="46">
        <f>+(D35-I18)/I18</f>
        <v>0</v>
      </c>
    </row>
    <row r="19" spans="2:16" s="47" customFormat="1" x14ac:dyDescent="0.25">
      <c r="B19" s="41"/>
      <c r="C19" s="31" t="s">
        <v>52</v>
      </c>
      <c r="D19" s="32">
        <f>+D5*'7 Informacion Base'!$C$9*D18</f>
        <v>346500</v>
      </c>
      <c r="E19" s="32">
        <f>+E5*'7 Informacion Base'!$C$9*E18</f>
        <v>1084860</v>
      </c>
      <c r="F19" s="32">
        <f>+F5*'7 Informacion Base'!$C$9*F18</f>
        <v>2394441</v>
      </c>
      <c r="G19" s="32">
        <f>+G5*'7 Informacion Base'!$C$9*G18</f>
        <v>4603711.8960000006</v>
      </c>
      <c r="H19" s="32">
        <f>+H5*'7 Informacion Base'!$C$9*H18</f>
        <v>7620787.3706999999</v>
      </c>
      <c r="I19" s="32">
        <f>+I5*'7 Informacion Base'!$C$9*I18</f>
        <v>8285489.3802555017</v>
      </c>
      <c r="K19" s="46">
        <f t="shared" ref="K19" si="20">+(E19-D19)/D19</f>
        <v>2.1309090909090909</v>
      </c>
      <c r="L19" s="46">
        <f t="shared" ref="L19" si="21">+(F19-E19)/E19</f>
        <v>1.2071428571428571</v>
      </c>
      <c r="M19" s="46">
        <f t="shared" ref="M19" si="22">+(G19-F19)/F19</f>
        <v>0.92266666666666697</v>
      </c>
      <c r="N19" s="46">
        <f t="shared" ref="N19" si="23">+(H19-G19)/G19</f>
        <v>0.65535714285714264</v>
      </c>
      <c r="O19" s="46">
        <f t="shared" ref="O19" si="24">+(I19-H19)/H19</f>
        <v>8.7222222222222465E-2</v>
      </c>
      <c r="P19" s="46">
        <f>+(D36-I19)/I19</f>
        <v>-0.14166666666666669</v>
      </c>
    </row>
    <row r="21" spans="2:16" x14ac:dyDescent="0.25">
      <c r="C21" s="26" t="s">
        <v>289</v>
      </c>
      <c r="D21" s="26">
        <f>+I4+1</f>
        <v>2027</v>
      </c>
      <c r="E21" s="26">
        <f>+D21+1</f>
        <v>2028</v>
      </c>
      <c r="F21" s="26">
        <f>+E21+1</f>
        <v>2029</v>
      </c>
      <c r="G21" s="26">
        <f>+F21+1</f>
        <v>2030</v>
      </c>
      <c r="H21" s="26">
        <f>+G21+1</f>
        <v>2031</v>
      </c>
      <c r="K21" s="43">
        <v>2027</v>
      </c>
      <c r="L21" s="43">
        <v>2028</v>
      </c>
      <c r="M21" s="43">
        <v>2029</v>
      </c>
      <c r="N21" s="43">
        <v>2030</v>
      </c>
      <c r="O21" s="43">
        <v>2031</v>
      </c>
    </row>
    <row r="22" spans="2:16" x14ac:dyDescent="0.25">
      <c r="C22" s="27" t="s">
        <v>252</v>
      </c>
      <c r="D22" s="22">
        <f>+SUM('5 Cash Flow Operativo'!CA5:CJ5)</f>
        <v>1015958816.8646626</v>
      </c>
      <c r="E22" s="22">
        <f>+SUM('5 Cash Flow Operativo'!CK5:CV5)</f>
        <v>1255725097.6447232</v>
      </c>
      <c r="F22" s="22">
        <f>+SUM('5 Cash Flow Operativo'!CW5:DH5)</f>
        <v>1293396850.5740652</v>
      </c>
      <c r="G22" s="22">
        <f>+SUM('5 Cash Flow Operativo'!DI5:DT5)</f>
        <v>1332198756.0912869</v>
      </c>
      <c r="H22" s="22">
        <f>+SUM('5 Cash Flow Operativo'!DU5:EF5)</f>
        <v>1372164718.7740257</v>
      </c>
      <c r="K22" s="46">
        <f>+(E22-D22)/D22</f>
        <v>0.23600000000000015</v>
      </c>
      <c r="L22" s="46">
        <f t="shared" ref="L22:L36" si="25">+(F22-E22)/E22</f>
        <v>3.0000000000000266E-2</v>
      </c>
      <c r="M22" s="46">
        <f t="shared" ref="M22:M36" si="26">+(G22-F22)/F22</f>
        <v>2.9999999999999794E-2</v>
      </c>
      <c r="N22" s="46">
        <f t="shared" ref="N22:N36" si="27">+(H22-G22)/G22</f>
        <v>3.0000000000000131E-2</v>
      </c>
      <c r="O22" s="46">
        <f t="shared" ref="O22:O36" si="28">+(I22-H22)/H22</f>
        <v>-1</v>
      </c>
    </row>
    <row r="23" spans="2:16" x14ac:dyDescent="0.25">
      <c r="C23" s="21" t="s">
        <v>280</v>
      </c>
      <c r="D23" s="22">
        <f>+SUM('5 Cash Flow Operativo'!CA7:CJ8)</f>
        <v>282811136.67574853</v>
      </c>
      <c r="E23" s="22">
        <f>+SUM('5 Cash Flow Operativo'!CK7:CV8)</f>
        <v>349554564.931225</v>
      </c>
      <c r="F23" s="22">
        <f>+SUM('5 Cash Flow Operativo'!CW7:DH8)</f>
        <v>360041201.87916201</v>
      </c>
      <c r="G23" s="22">
        <f>+SUM('5 Cash Flow Operativo'!DI7:DT8)</f>
        <v>224079823.72949651</v>
      </c>
      <c r="H23" s="22">
        <f>+SUM('5 Cash Flow Operativo'!DU7:EF8)</f>
        <v>230802218.44138151</v>
      </c>
      <c r="K23" s="46">
        <f t="shared" ref="K23:K36" si="29">+(E23-D23)/D23</f>
        <v>0.23599999999999938</v>
      </c>
      <c r="L23" s="46">
        <f t="shared" si="25"/>
        <v>3.0000000000000748E-2</v>
      </c>
      <c r="M23" s="46">
        <f t="shared" si="26"/>
        <v>-0.37762727554525061</v>
      </c>
      <c r="N23" s="46">
        <f t="shared" si="27"/>
        <v>3.0000000000000492E-2</v>
      </c>
      <c r="O23" s="46">
        <f t="shared" si="28"/>
        <v>-1</v>
      </c>
    </row>
    <row r="24" spans="2:16" x14ac:dyDescent="0.25">
      <c r="C24" s="28" t="s">
        <v>255</v>
      </c>
      <c r="D24" s="29">
        <f>+D22-D23</f>
        <v>733147680.18891406</v>
      </c>
      <c r="E24" s="29">
        <f>+E22-E23</f>
        <v>906170532.71349812</v>
      </c>
      <c r="F24" s="29">
        <f>+F22-F23</f>
        <v>933355648.69490314</v>
      </c>
      <c r="G24" s="29">
        <f>+G22-G23</f>
        <v>1108118932.3617904</v>
      </c>
      <c r="H24" s="29">
        <f>+H22-H23</f>
        <v>1141362500.3326442</v>
      </c>
      <c r="K24" s="46">
        <f t="shared" si="29"/>
        <v>0.23600000000000046</v>
      </c>
      <c r="L24" s="46">
        <f t="shared" si="25"/>
        <v>3.0000000000000086E-2</v>
      </c>
      <c r="M24" s="46">
        <f t="shared" si="26"/>
        <v>0.18724189853166487</v>
      </c>
      <c r="N24" s="46">
        <f t="shared" si="27"/>
        <v>3.0000000000000086E-2</v>
      </c>
      <c r="O24" s="46">
        <f t="shared" si="28"/>
        <v>-1</v>
      </c>
    </row>
    <row r="25" spans="2:16" x14ac:dyDescent="0.25">
      <c r="C25" s="28" t="s">
        <v>281</v>
      </c>
      <c r="D25" s="22"/>
      <c r="E25" s="22"/>
      <c r="F25" s="22"/>
      <c r="G25" s="22"/>
      <c r="H25" s="22"/>
      <c r="K25" s="46" t="e">
        <f t="shared" si="29"/>
        <v>#DIV/0!</v>
      </c>
      <c r="L25" s="46" t="e">
        <f t="shared" si="25"/>
        <v>#DIV/0!</v>
      </c>
      <c r="M25" s="46" t="e">
        <f t="shared" si="26"/>
        <v>#DIV/0!</v>
      </c>
      <c r="N25" s="46" t="e">
        <f t="shared" si="27"/>
        <v>#DIV/0!</v>
      </c>
      <c r="O25" s="46" t="e">
        <f t="shared" si="28"/>
        <v>#DIV/0!</v>
      </c>
    </row>
    <row r="26" spans="2:16" x14ac:dyDescent="0.25">
      <c r="C26" s="27" t="s">
        <v>282</v>
      </c>
      <c r="D26" s="22">
        <f>+'7 Informacion Base'!$C$47</f>
        <v>75750000</v>
      </c>
      <c r="E26" s="22">
        <f>+'7 Informacion Base'!$C$47</f>
        <v>75750000</v>
      </c>
      <c r="F26" s="22">
        <f>+'7 Informacion Base'!$C$47</f>
        <v>75750000</v>
      </c>
      <c r="G26" s="22">
        <f>+'7 Informacion Base'!$C$47</f>
        <v>75750000</v>
      </c>
      <c r="H26" s="22">
        <f>+'7 Informacion Base'!$C$47</f>
        <v>75750000</v>
      </c>
      <c r="K26" s="46">
        <f t="shared" si="29"/>
        <v>0</v>
      </c>
      <c r="L26" s="46">
        <f t="shared" si="25"/>
        <v>0</v>
      </c>
      <c r="M26" s="46">
        <f t="shared" si="26"/>
        <v>0</v>
      </c>
      <c r="N26" s="46">
        <f t="shared" si="27"/>
        <v>0</v>
      </c>
      <c r="O26" s="46">
        <f t="shared" si="28"/>
        <v>-1</v>
      </c>
    </row>
    <row r="27" spans="2:16" x14ac:dyDescent="0.25">
      <c r="C27" s="21" t="s">
        <v>283</v>
      </c>
      <c r="D27" s="22">
        <f>+SUM('5 Cash Flow Operativo'!BY9:CJ15)</f>
        <v>144888798.10008845</v>
      </c>
      <c r="E27" s="22">
        <f>+SUM('5 Cash Flow Operativo'!CK9:CV15)</f>
        <v>150700474.65701005</v>
      </c>
      <c r="F27" s="22">
        <f>+SUM('5 Cash Flow Operativo'!CW9:DH15)</f>
        <v>155221488.89672035</v>
      </c>
      <c r="G27" s="22">
        <f>+SUM('5 Cash Flow Operativo'!DI9:DT15)</f>
        <v>159878133.56362188</v>
      </c>
      <c r="H27" s="22">
        <f>+SUM('5 Cash Flow Operativo'!DU9:EF15)</f>
        <v>172230745.27138174</v>
      </c>
      <c r="K27" s="46">
        <f t="shared" si="29"/>
        <v>4.0111289714108364E-2</v>
      </c>
      <c r="L27" s="46">
        <f t="shared" si="25"/>
        <v>0.03</v>
      </c>
      <c r="M27" s="46">
        <f t="shared" si="26"/>
        <v>2.9999999999999475E-2</v>
      </c>
      <c r="N27" s="46">
        <f t="shared" si="27"/>
        <v>7.7262671463726215E-2</v>
      </c>
      <c r="O27" s="46">
        <f t="shared" si="28"/>
        <v>-1</v>
      </c>
    </row>
    <row r="28" spans="2:16" x14ac:dyDescent="0.25">
      <c r="C28" s="28" t="s">
        <v>254</v>
      </c>
      <c r="D28" s="29">
        <f>+D24-D26-D27</f>
        <v>512508882.08882558</v>
      </c>
      <c r="E28" s="29">
        <f>+E24-E26-E27</f>
        <v>679720058.05648804</v>
      </c>
      <c r="F28" s="29">
        <f>+F24-F26-F27</f>
        <v>702384159.79818273</v>
      </c>
      <c r="G28" s="29">
        <f>+G24-G26-G27</f>
        <v>872490798.79816854</v>
      </c>
      <c r="H28" s="29">
        <f>+H24-H26-H27</f>
        <v>893381755.06126249</v>
      </c>
      <c r="K28" s="46">
        <f t="shared" si="29"/>
        <v>0.32626005482317127</v>
      </c>
      <c r="L28" s="46">
        <f t="shared" si="25"/>
        <v>3.3343288127317836E-2</v>
      </c>
      <c r="M28" s="46">
        <f t="shared" si="26"/>
        <v>0.24218461738781646</v>
      </c>
      <c r="N28" s="46">
        <f t="shared" si="27"/>
        <v>2.3944041922127603E-2</v>
      </c>
      <c r="O28" s="46">
        <f t="shared" si="28"/>
        <v>-1</v>
      </c>
    </row>
    <row r="29" spans="2:16" x14ac:dyDescent="0.25">
      <c r="C29" s="27" t="s">
        <v>284</v>
      </c>
      <c r="D29" s="22">
        <f>+SUM('1 Financiacion'!BX13:CI13)</f>
        <v>51913188.52074822</v>
      </c>
      <c r="E29" s="22">
        <f>+SUM('1 Financiacion'!CJ13:CU13)</f>
        <v>38972385.348398238</v>
      </c>
      <c r="F29" s="22">
        <f>+SUM('1 Financiacion'!CV13:DG13)</f>
        <v>24733118.890096884</v>
      </c>
      <c r="G29" s="22">
        <f>+SUM('1 Financiacion'!DH13:DS13)</f>
        <v>9065103.0358934551</v>
      </c>
      <c r="H29" s="22"/>
      <c r="K29" s="46">
        <f t="shared" si="29"/>
        <v>-0.24927775659894041</v>
      </c>
      <c r="L29" s="46">
        <f t="shared" si="25"/>
        <v>-0.36536810182409291</v>
      </c>
      <c r="M29" s="46">
        <f t="shared" si="26"/>
        <v>-0.63348322238797339</v>
      </c>
      <c r="N29" s="46">
        <f t="shared" si="27"/>
        <v>-1</v>
      </c>
      <c r="O29" s="46" t="e">
        <f t="shared" si="28"/>
        <v>#DIV/0!</v>
      </c>
    </row>
    <row r="30" spans="2:16" hidden="1" x14ac:dyDescent="0.25">
      <c r="C30" s="27" t="s">
        <v>285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K30" s="46" t="e">
        <f t="shared" si="29"/>
        <v>#DIV/0!</v>
      </c>
      <c r="L30" s="46" t="e">
        <f t="shared" si="25"/>
        <v>#DIV/0!</v>
      </c>
      <c r="M30" s="46" t="e">
        <f t="shared" si="26"/>
        <v>#DIV/0!</v>
      </c>
      <c r="N30" s="46" t="e">
        <f t="shared" si="27"/>
        <v>#DIV/0!</v>
      </c>
      <c r="O30" s="46" t="e">
        <f t="shared" si="28"/>
        <v>#DIV/0!</v>
      </c>
    </row>
    <row r="31" spans="2:16" x14ac:dyDescent="0.25">
      <c r="C31" s="30" t="s">
        <v>286</v>
      </c>
      <c r="D31" s="29">
        <f>+D28-D29+D30</f>
        <v>460595693.56807739</v>
      </c>
      <c r="E31" s="29">
        <f>+E28-E29+E30</f>
        <v>640747672.70808983</v>
      </c>
      <c r="F31" s="29">
        <f>+F28-F29+F30</f>
        <v>677651040.90808582</v>
      </c>
      <c r="G31" s="29">
        <f>+G28-G29+G30</f>
        <v>863425695.7622751</v>
      </c>
      <c r="H31" s="29">
        <f>+H28-H29+H30</f>
        <v>893381755.06126249</v>
      </c>
      <c r="K31" s="46">
        <f t="shared" si="29"/>
        <v>0.39112823166981142</v>
      </c>
      <c r="L31" s="46">
        <f t="shared" si="25"/>
        <v>5.75942290106582E-2</v>
      </c>
      <c r="M31" s="46">
        <f t="shared" si="26"/>
        <v>0.27414501511757744</v>
      </c>
      <c r="N31" s="46">
        <f t="shared" si="27"/>
        <v>3.4694426452690511E-2</v>
      </c>
      <c r="O31" s="46">
        <f t="shared" si="28"/>
        <v>-1</v>
      </c>
    </row>
    <row r="32" spans="2:16" x14ac:dyDescent="0.25">
      <c r="C32" s="27" t="s">
        <v>287</v>
      </c>
      <c r="D32" s="22">
        <f>+IF((D31*'7 Informacion Base'!J6)&gt;0,(D31*'7 Informacion Base'!J6),0)</f>
        <v>41453612.421126962</v>
      </c>
      <c r="E32" s="22">
        <f>+IF((E31*'7 Informacion Base'!K6)&gt;0,(E31*'7 Informacion Base'!K6),0)</f>
        <v>57667290.543728083</v>
      </c>
      <c r="F32" s="22">
        <f>+IF((F31*'7 Informacion Base'!L6)&gt;0,(F31*'7 Informacion Base'!L6),0)</f>
        <v>60988593.681727722</v>
      </c>
      <c r="G32" s="22">
        <f>+IF((G31*'7 Informacion Base'!M6)&gt;0,(G31*'7 Informacion Base'!M6),0)</f>
        <v>77708312.618604749</v>
      </c>
      <c r="H32" s="22">
        <f>+IF((H31*'7 Informacion Base'!N6)&gt;0,(H31*'7 Informacion Base'!N6),0)</f>
        <v>80404357.955513626</v>
      </c>
      <c r="K32" s="46">
        <f t="shared" si="29"/>
        <v>0.39112823166981148</v>
      </c>
      <c r="L32" s="46">
        <f t="shared" si="25"/>
        <v>5.7594229010658193E-2</v>
      </c>
      <c r="M32" s="46">
        <f t="shared" si="26"/>
        <v>0.27414501511757733</v>
      </c>
      <c r="N32" s="46">
        <f t="shared" si="27"/>
        <v>3.469442645269067E-2</v>
      </c>
      <c r="O32" s="46">
        <f t="shared" si="28"/>
        <v>-1</v>
      </c>
    </row>
    <row r="33" spans="3:15" x14ac:dyDescent="0.25">
      <c r="C33" s="30" t="s">
        <v>256</v>
      </c>
      <c r="D33" s="29">
        <f>+D31-D32</f>
        <v>419142081.14695042</v>
      </c>
      <c r="E33" s="29">
        <f>+E31-E32</f>
        <v>583080382.16436172</v>
      </c>
      <c r="F33" s="29">
        <f>+F31-F32</f>
        <v>616662447.22635806</v>
      </c>
      <c r="G33" s="29">
        <f>+G31-G32</f>
        <v>785717383.14367032</v>
      </c>
      <c r="H33" s="29">
        <f>+H31-H32</f>
        <v>812977397.10574889</v>
      </c>
      <c r="K33" s="46">
        <f t="shared" si="29"/>
        <v>0.39112823166981137</v>
      </c>
      <c r="L33" s="46">
        <f t="shared" si="25"/>
        <v>5.7594229010658179E-2</v>
      </c>
      <c r="M33" s="46">
        <f t="shared" si="26"/>
        <v>0.2741450151175775</v>
      </c>
      <c r="N33" s="46">
        <f t="shared" si="27"/>
        <v>3.4694426452690573E-2</v>
      </c>
      <c r="O33" s="46">
        <f t="shared" si="28"/>
        <v>-1</v>
      </c>
    </row>
    <row r="34" spans="3:15" x14ac:dyDescent="0.25">
      <c r="C34" s="33" t="s">
        <v>67</v>
      </c>
      <c r="D34" s="34">
        <f>+D28+D26</f>
        <v>588258882.08882558</v>
      </c>
      <c r="E34" s="34">
        <f>+E28+E26</f>
        <v>755470058.05648804</v>
      </c>
      <c r="F34" s="34">
        <f>+F28+F26</f>
        <v>778134159.79818273</v>
      </c>
      <c r="G34" s="34">
        <f>+G28+G26</f>
        <v>948240798.79816854</v>
      </c>
      <c r="H34" s="34">
        <f>+H28+H26</f>
        <v>969131755.06126249</v>
      </c>
      <c r="K34" s="46">
        <f t="shared" si="29"/>
        <v>0.28424760094385448</v>
      </c>
      <c r="L34" s="46">
        <f t="shared" si="25"/>
        <v>3.0000000000000065E-2</v>
      </c>
      <c r="M34" s="46">
        <f t="shared" si="26"/>
        <v>0.21860836831029853</v>
      </c>
      <c r="N34" s="46">
        <f t="shared" si="27"/>
        <v>2.2031277592750524E-2</v>
      </c>
      <c r="O34" s="46">
        <f t="shared" si="28"/>
        <v>-1</v>
      </c>
    </row>
    <row r="35" spans="3:15" x14ac:dyDescent="0.25">
      <c r="C35" s="27" t="s">
        <v>288</v>
      </c>
      <c r="D35" s="35">
        <v>1</v>
      </c>
      <c r="E35" s="35">
        <v>1</v>
      </c>
      <c r="F35" s="35">
        <v>1</v>
      </c>
      <c r="G35" s="35">
        <v>1</v>
      </c>
      <c r="H35" s="35">
        <v>1</v>
      </c>
      <c r="K35" s="46">
        <f t="shared" si="29"/>
        <v>0</v>
      </c>
      <c r="L35" s="46">
        <f t="shared" si="25"/>
        <v>0</v>
      </c>
      <c r="M35" s="46">
        <f t="shared" si="26"/>
        <v>0</v>
      </c>
      <c r="N35" s="46">
        <f t="shared" si="27"/>
        <v>0</v>
      </c>
      <c r="O35" s="46">
        <f t="shared" si="28"/>
        <v>-1</v>
      </c>
    </row>
    <row r="36" spans="3:15" x14ac:dyDescent="0.25">
      <c r="C36" s="31" t="s">
        <v>52</v>
      </c>
      <c r="D36" s="32">
        <f>+D22*'7 Informacion Base'!$C$9*D35</f>
        <v>7111711.7180526387</v>
      </c>
      <c r="E36" s="32">
        <f>+E22*'7 Informacion Base'!$C$9*E35</f>
        <v>8790075.6835130621</v>
      </c>
      <c r="F36" s="32">
        <f>+F22*'7 Informacion Base'!$C$9*F35</f>
        <v>9053777.9540184569</v>
      </c>
      <c r="G36" s="32">
        <f>+G22*'7 Informacion Base'!$C$9*G35</f>
        <v>9325391.2926390078</v>
      </c>
      <c r="H36" s="32">
        <f>+H22*'7 Informacion Base'!$C$9*H35</f>
        <v>9605153.0314181801</v>
      </c>
      <c r="K36" s="46">
        <f t="shared" si="29"/>
        <v>0.2360000000000001</v>
      </c>
      <c r="L36" s="46">
        <f t="shared" si="25"/>
        <v>3.0000000000000332E-2</v>
      </c>
      <c r="M36" s="46">
        <f t="shared" si="26"/>
        <v>2.9999999999999694E-2</v>
      </c>
      <c r="N36" s="46">
        <f t="shared" si="27"/>
        <v>3.0000000000000221E-2</v>
      </c>
      <c r="O36" s="46">
        <f t="shared" si="28"/>
        <v>-1</v>
      </c>
    </row>
  </sheetData>
  <mergeCells count="1">
    <mergeCell ref="D2:N2"/>
  </mergeCells>
  <conditionalFormatting sqref="A1:XFD1 C2:D2 O2:XFD2 A3:XFD3 A4:I19 K4:XFD19 A20:XFD1048576">
    <cfRule type="cellIs" dxfId="60" priority="3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scale="6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00FF"/>
    <pageSetUpPr fitToPage="1"/>
  </sheetPr>
  <dimension ref="B1:O32"/>
  <sheetViews>
    <sheetView showGridLines="0" tabSelected="1" topLeftCell="A7" zoomScale="85" zoomScaleNormal="85" workbookViewId="0">
      <selection activeCell="D23" sqref="D23:I32"/>
    </sheetView>
  </sheetViews>
  <sheetFormatPr defaultColWidth="11.44140625" defaultRowHeight="13.8" x14ac:dyDescent="0.25"/>
  <cols>
    <col min="1" max="1" width="2.33203125" style="36" customWidth="1"/>
    <col min="2" max="2" width="7.5546875" style="36" bestFit="1" customWidth="1"/>
    <col min="3" max="3" width="7.5546875" style="36" customWidth="1"/>
    <col min="4" max="4" width="30.21875" style="36" customWidth="1"/>
    <col min="5" max="5" width="23" style="36" customWidth="1"/>
    <col min="6" max="6" width="14.33203125" style="36" bestFit="1" customWidth="1"/>
    <col min="7" max="13" width="17" style="36" customWidth="1"/>
    <col min="14" max="14" width="17.44140625" style="36" bestFit="1" customWidth="1"/>
    <col min="15" max="15" width="17.88671875" style="36" bestFit="1" customWidth="1"/>
    <col min="16" max="16384" width="11.44140625" style="36"/>
  </cols>
  <sheetData>
    <row r="1" spans="4:15" x14ac:dyDescent="0.25">
      <c r="D1" s="49">
        <f>SUM('9 Cash Flow Inversionista'!C20:J20)</f>
        <v>187216543.05251169</v>
      </c>
      <c r="E1" s="36" t="s">
        <v>270</v>
      </c>
    </row>
    <row r="3" spans="4:15" x14ac:dyDescent="0.25">
      <c r="D3" s="50" t="s">
        <v>221</v>
      </c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4:15" x14ac:dyDescent="0.25">
      <c r="D4" s="20" t="s">
        <v>278</v>
      </c>
      <c r="E4" s="37" t="s">
        <v>279</v>
      </c>
      <c r="F4" s="38"/>
      <c r="G4" s="43"/>
      <c r="H4" s="43"/>
      <c r="I4" s="43"/>
      <c r="J4" s="43"/>
      <c r="K4" s="43"/>
      <c r="L4" s="43"/>
      <c r="M4" s="43"/>
      <c r="N4" s="43"/>
      <c r="O4" s="43"/>
    </row>
    <row r="5" spans="4:15" x14ac:dyDescent="0.25">
      <c r="D5" s="8" t="s">
        <v>271</v>
      </c>
      <c r="E5" s="9">
        <v>8</v>
      </c>
      <c r="F5" s="10" t="s">
        <v>277</v>
      </c>
    </row>
    <row r="6" spans="4:15" x14ac:dyDescent="0.25">
      <c r="D6" s="11" t="s">
        <v>272</v>
      </c>
      <c r="E6" s="12">
        <v>8</v>
      </c>
      <c r="F6" s="13" t="s">
        <v>277</v>
      </c>
    </row>
    <row r="7" spans="4:15" x14ac:dyDescent="0.25">
      <c r="D7" s="11" t="s">
        <v>273</v>
      </c>
      <c r="E7" s="14">
        <f>+'7 Cash Flow Proyecto'!D26</f>
        <v>1292447796.7923641</v>
      </c>
      <c r="F7" s="15"/>
    </row>
    <row r="8" spans="4:15" x14ac:dyDescent="0.25">
      <c r="D8" s="11" t="s">
        <v>274</v>
      </c>
      <c r="E8" s="16">
        <f>+'7 Cash Flow Proyecto'!D25</f>
        <v>0.16963890375145985</v>
      </c>
      <c r="F8" s="15" t="s">
        <v>40</v>
      </c>
      <c r="G8" s="51"/>
    </row>
    <row r="9" spans="4:15" x14ac:dyDescent="0.25">
      <c r="D9" s="11" t="s">
        <v>275</v>
      </c>
      <c r="E9" s="14">
        <f>+'9 Cash Flow Inversionista'!C23</f>
        <v>1266121862.3360324</v>
      </c>
      <c r="F9" s="15"/>
    </row>
    <row r="10" spans="4:15" x14ac:dyDescent="0.25">
      <c r="D10" s="17" t="s">
        <v>276</v>
      </c>
      <c r="E10" s="18">
        <f>+'9 Cash Flow Inversionista'!C22</f>
        <v>0.18275729040989797</v>
      </c>
      <c r="F10" s="19" t="s">
        <v>40</v>
      </c>
    </row>
    <row r="12" spans="4:15" s="47" customFormat="1" x14ac:dyDescent="0.25">
      <c r="D12" s="20" t="s">
        <v>290</v>
      </c>
      <c r="E12" s="20">
        <v>2021</v>
      </c>
      <c r="F12" s="20">
        <f>+E12+1</f>
        <v>2022</v>
      </c>
      <c r="G12" s="20">
        <f t="shared" ref="G12:I12" si="0">+F12+1</f>
        <v>2023</v>
      </c>
      <c r="H12" s="20">
        <f t="shared" si="0"/>
        <v>2024</v>
      </c>
      <c r="I12" s="20">
        <f t="shared" si="0"/>
        <v>2025</v>
      </c>
      <c r="J12" s="20">
        <f>+I12+1</f>
        <v>2026</v>
      </c>
    </row>
    <row r="13" spans="4:15" x14ac:dyDescent="0.25">
      <c r="D13" s="21" t="s">
        <v>251</v>
      </c>
      <c r="E13" s="22">
        <f>+'8 PYG'!D17</f>
        <v>-7855902.704846859</v>
      </c>
      <c r="F13" s="22">
        <f>+'8 PYG'!E17</f>
        <v>91203425.537964344</v>
      </c>
      <c r="G13" s="22">
        <f>+'8 PYG'!F17</f>
        <v>233712635.8077625</v>
      </c>
      <c r="H13" s="22">
        <f>+'8 PYG'!G17</f>
        <v>432295439.86235434</v>
      </c>
      <c r="I13" s="22">
        <f>+'8 PYG'!H17</f>
        <v>641905467.46615446</v>
      </c>
      <c r="J13" s="22">
        <f>+'8 PYG'!I17</f>
        <v>712102986.19708526</v>
      </c>
    </row>
    <row r="14" spans="4:15" x14ac:dyDescent="0.25">
      <c r="D14" s="21" t="s">
        <v>252</v>
      </c>
      <c r="E14" s="22">
        <f>+'8 PYG'!D5</f>
        <v>247500000</v>
      </c>
      <c r="F14" s="22">
        <f>+'8 PYG'!E5</f>
        <v>387450000</v>
      </c>
      <c r="G14" s="22">
        <f>+'8 PYG'!F5</f>
        <v>570105000</v>
      </c>
      <c r="H14" s="22">
        <f>+'8 PYG'!G5</f>
        <v>822091410</v>
      </c>
      <c r="I14" s="22">
        <f>+'8 PYG'!H5</f>
        <v>1088683910.0999999</v>
      </c>
      <c r="J14" s="22">
        <f>+'8 PYG'!I5</f>
        <v>1183641340.0365002</v>
      </c>
    </row>
    <row r="15" spans="4:15" x14ac:dyDescent="0.25">
      <c r="D15" s="21" t="s">
        <v>253</v>
      </c>
      <c r="E15" s="23">
        <f>+E13/E14</f>
        <v>-3.1741021029684277E-2</v>
      </c>
      <c r="F15" s="23">
        <f t="shared" ref="F15:I15" si="1">+F13/F14</f>
        <v>0.2353940522337446</v>
      </c>
      <c r="G15" s="23">
        <f t="shared" si="1"/>
        <v>0.4099466515953421</v>
      </c>
      <c r="H15" s="23">
        <f t="shared" si="1"/>
        <v>0.52584838450307414</v>
      </c>
      <c r="I15" s="23">
        <f t="shared" si="1"/>
        <v>0.5896160138962584</v>
      </c>
      <c r="J15" s="23">
        <f>+J13/J14</f>
        <v>0.60162057720552919</v>
      </c>
    </row>
    <row r="16" spans="4:15" x14ac:dyDescent="0.25">
      <c r="D16" s="21" t="s">
        <v>254</v>
      </c>
      <c r="E16" s="22">
        <f>+'8 PYG'!D11</f>
        <v>-83605902.704846859</v>
      </c>
      <c r="F16" s="22">
        <f>+'8 PYG'!E11</f>
        <v>15453425.537964344</v>
      </c>
      <c r="G16" s="22">
        <f>+'8 PYG'!F11</f>
        <v>157962635.8077625</v>
      </c>
      <c r="H16" s="22">
        <f>+'8 PYG'!G11</f>
        <v>356545439.86235434</v>
      </c>
      <c r="I16" s="22">
        <f>+'8 PYG'!H11</f>
        <v>566155467.46615446</v>
      </c>
      <c r="J16" s="22">
        <f>+'8 PYG'!I11</f>
        <v>636352986.19708526</v>
      </c>
    </row>
    <row r="17" spans="2:10" x14ac:dyDescent="0.25">
      <c r="D17" s="21" t="s">
        <v>255</v>
      </c>
      <c r="E17" s="22">
        <f>+'8 PYG'!D7</f>
        <v>98708347.295153141</v>
      </c>
      <c r="F17" s="22">
        <f>+'8 PYG'!E7</f>
        <v>202833510.53796434</v>
      </c>
      <c r="G17" s="22">
        <f>+'8 PYG'!F7</f>
        <v>352106552.3077625</v>
      </c>
      <c r="H17" s="22">
        <f>+'8 PYG'!G7</f>
        <v>559314652.27335441</v>
      </c>
      <c r="I17" s="22">
        <f>+'8 PYG'!H7</f>
        <v>778638342.33980453</v>
      </c>
      <c r="J17" s="22">
        <f>+'8 PYG'!I7</f>
        <v>854152637.11329806</v>
      </c>
    </row>
    <row r="18" spans="2:10" x14ac:dyDescent="0.25">
      <c r="D18" s="21" t="s">
        <v>256</v>
      </c>
      <c r="E18" s="22">
        <f>+'8 PYG'!D16</f>
        <v>-191823766.35333198</v>
      </c>
      <c r="F18" s="22">
        <f>+'8 PYG'!E16</f>
        <v>-85473172.490599945</v>
      </c>
      <c r="G18" s="22">
        <f>+'8 PYG'!F16</f>
        <v>59203598.514933057</v>
      </c>
      <c r="H18" s="22">
        <f>+'8 PYG'!G16</f>
        <v>247947307.49054414</v>
      </c>
      <c r="I18" s="22">
        <f>+'8 PYG'!H16</f>
        <v>447531846.4721604</v>
      </c>
      <c r="J18" s="22">
        <f>+'8 PYG'!I16</f>
        <v>521137937.61961085</v>
      </c>
    </row>
    <row r="19" spans="2:10" x14ac:dyDescent="0.25">
      <c r="D19" s="21" t="s">
        <v>257</v>
      </c>
      <c r="E19" s="23">
        <f>+E16/E14</f>
        <v>-0.33780162709029032</v>
      </c>
      <c r="F19" s="23">
        <f t="shared" ref="F19:I19" si="2">+F16/F14</f>
        <v>3.9884954285622255E-2</v>
      </c>
      <c r="G19" s="23">
        <f t="shared" si="2"/>
        <v>0.27707639085389973</v>
      </c>
      <c r="H19" s="23">
        <f t="shared" si="2"/>
        <v>0.43370534654090881</v>
      </c>
      <c r="I19" s="23">
        <f t="shared" si="2"/>
        <v>0.52003658932935903</v>
      </c>
      <c r="J19" s="23">
        <f>+J16/J14</f>
        <v>0.53762315041941833</v>
      </c>
    </row>
    <row r="20" spans="2:10" x14ac:dyDescent="0.25">
      <c r="B20" s="52"/>
      <c r="C20" s="52"/>
      <c r="D20" s="21" t="s">
        <v>258</v>
      </c>
      <c r="E20" s="23">
        <f>+E17/E14</f>
        <v>0.39882160523294197</v>
      </c>
      <c r="F20" s="23">
        <f t="shared" ref="F20:I20" si="3">+F17/F14</f>
        <v>0.52350886704855937</v>
      </c>
      <c r="G20" s="23">
        <f t="shared" si="3"/>
        <v>0.61761702196571244</v>
      </c>
      <c r="H20" s="23">
        <f t="shared" si="3"/>
        <v>0.68035579191048157</v>
      </c>
      <c r="I20" s="23">
        <f t="shared" si="3"/>
        <v>0.71521066410201983</v>
      </c>
      <c r="J20" s="23">
        <f>+J17/J14</f>
        <v>0.72163129845309248</v>
      </c>
    </row>
    <row r="21" spans="2:10" x14ac:dyDescent="0.25">
      <c r="B21" s="52"/>
      <c r="C21" s="52"/>
      <c r="D21" s="24" t="s">
        <v>259</v>
      </c>
      <c r="E21" s="25">
        <f>+E18/E14</f>
        <v>-0.77504552061952314</v>
      </c>
      <c r="F21" s="25">
        <f t="shared" ref="F21:I21" si="4">+F18/F14</f>
        <v>-0.22060439409110838</v>
      </c>
      <c r="G21" s="25">
        <f t="shared" si="4"/>
        <v>0.10384683262720562</v>
      </c>
      <c r="H21" s="25">
        <f t="shared" si="4"/>
        <v>0.30160552035271132</v>
      </c>
      <c r="I21" s="25">
        <f t="shared" si="4"/>
        <v>0.41107601785999837</v>
      </c>
      <c r="J21" s="25">
        <f>+J18/J14</f>
        <v>0.44028365687492832</v>
      </c>
    </row>
    <row r="23" spans="2:10" x14ac:dyDescent="0.25">
      <c r="D23" s="20" t="s">
        <v>290</v>
      </c>
      <c r="E23" s="20">
        <f>+J12+1</f>
        <v>2027</v>
      </c>
      <c r="F23" s="20">
        <f>+E23+1</f>
        <v>2028</v>
      </c>
      <c r="G23" s="20">
        <f>+F23+1</f>
        <v>2029</v>
      </c>
      <c r="H23" s="20">
        <f>+G23+1</f>
        <v>2030</v>
      </c>
      <c r="I23" s="20">
        <f>+H23+1</f>
        <v>2031</v>
      </c>
    </row>
    <row r="24" spans="2:10" x14ac:dyDescent="0.25">
      <c r="D24" s="21" t="s">
        <v>251</v>
      </c>
      <c r="E24" s="22">
        <f>+'8 PYG'!D34</f>
        <v>588258882.08882558</v>
      </c>
      <c r="F24" s="22">
        <f>+'8 PYG'!E34</f>
        <v>755470058.05648804</v>
      </c>
      <c r="G24" s="22">
        <f>+'8 PYG'!F34</f>
        <v>778134159.79818273</v>
      </c>
      <c r="H24" s="22">
        <f>+'8 PYG'!G34</f>
        <v>948240798.79816854</v>
      </c>
      <c r="I24" s="22">
        <f>+'8 PYG'!H34</f>
        <v>969131755.06126249</v>
      </c>
    </row>
    <row r="25" spans="2:10" x14ac:dyDescent="0.25">
      <c r="D25" s="21" t="s">
        <v>252</v>
      </c>
      <c r="E25" s="22">
        <f>+'8 PYG'!D22</f>
        <v>1015958816.8646626</v>
      </c>
      <c r="F25" s="22">
        <f>+'8 PYG'!E22</f>
        <v>1255725097.6447232</v>
      </c>
      <c r="G25" s="22">
        <f>+'8 PYG'!F22</f>
        <v>1293396850.5740652</v>
      </c>
      <c r="H25" s="22">
        <f>+'8 PYG'!G22</f>
        <v>1332198756.0912869</v>
      </c>
      <c r="I25" s="22">
        <f>+'8 PYG'!H22</f>
        <v>1372164718.7740257</v>
      </c>
    </row>
    <row r="26" spans="2:10" x14ac:dyDescent="0.25">
      <c r="D26" s="21" t="s">
        <v>253</v>
      </c>
      <c r="E26" s="23">
        <f>+E24/E25</f>
        <v>0.57901843295601652</v>
      </c>
      <c r="F26" s="23">
        <f>+F24/F25</f>
        <v>0.60162057720552931</v>
      </c>
      <c r="G26" s="23">
        <f>+G24/G25</f>
        <v>0.60162057720552919</v>
      </c>
      <c r="H26" s="23">
        <f>+H24/H25</f>
        <v>0.7117862814857574</v>
      </c>
      <c r="I26" s="23">
        <f>+I24/I25</f>
        <v>0.7062794588736715</v>
      </c>
    </row>
    <row r="27" spans="2:10" x14ac:dyDescent="0.25">
      <c r="D27" s="21" t="s">
        <v>254</v>
      </c>
      <c r="E27" s="22">
        <f>+'8 PYG'!D28</f>
        <v>512508882.08882558</v>
      </c>
      <c r="F27" s="22">
        <f>+'8 PYG'!E28</f>
        <v>679720058.05648804</v>
      </c>
      <c r="G27" s="22">
        <f>+'8 PYG'!F28</f>
        <v>702384159.79818273</v>
      </c>
      <c r="H27" s="22">
        <f>+'8 PYG'!G28</f>
        <v>872490798.79816854</v>
      </c>
      <c r="I27" s="22">
        <f>+'8 PYG'!H28</f>
        <v>893381755.06126249</v>
      </c>
    </row>
    <row r="28" spans="2:10" x14ac:dyDescent="0.25">
      <c r="D28" s="21" t="s">
        <v>255</v>
      </c>
      <c r="E28" s="22">
        <f>+'8 PYG'!D24</f>
        <v>733147680.18891406</v>
      </c>
      <c r="F28" s="22">
        <f>+'8 PYG'!E24</f>
        <v>906170532.71349812</v>
      </c>
      <c r="G28" s="22">
        <f>+'8 PYG'!F24</f>
        <v>933355648.69490314</v>
      </c>
      <c r="H28" s="22">
        <f>+'8 PYG'!G24</f>
        <v>1108118932.3617904</v>
      </c>
      <c r="I28" s="22">
        <f>+'8 PYG'!H24</f>
        <v>1141362500.3326442</v>
      </c>
    </row>
    <row r="29" spans="2:10" x14ac:dyDescent="0.25">
      <c r="D29" s="21" t="s">
        <v>256</v>
      </c>
      <c r="E29" s="22">
        <f>+'8 PYG'!D33</f>
        <v>419142081.14695042</v>
      </c>
      <c r="F29" s="22">
        <f>+'8 PYG'!E33</f>
        <v>583080382.16436172</v>
      </c>
      <c r="G29" s="22">
        <f>+'8 PYG'!F33</f>
        <v>616662447.22635806</v>
      </c>
      <c r="H29" s="22">
        <f>+'8 PYG'!G33</f>
        <v>785717383.14367032</v>
      </c>
      <c r="I29" s="22">
        <f>+'8 PYG'!H33</f>
        <v>812977397.10574889</v>
      </c>
    </row>
    <row r="30" spans="2:10" x14ac:dyDescent="0.25">
      <c r="D30" s="21" t="s">
        <v>257</v>
      </c>
      <c r="E30" s="23">
        <f>+E27/E25</f>
        <v>0.50445832407899427</v>
      </c>
      <c r="F30" s="23">
        <f>+F27/F25</f>
        <v>0.54129686452185433</v>
      </c>
      <c r="G30" s="23">
        <f>+G27/G25</f>
        <v>0.54305386586215543</v>
      </c>
      <c r="H30" s="23">
        <f>+H27/H25</f>
        <v>0.65492539668636529</v>
      </c>
      <c r="I30" s="23">
        <f>+I27/I25</f>
        <v>0.65107471634998992</v>
      </c>
    </row>
    <row r="31" spans="2:10" x14ac:dyDescent="0.25">
      <c r="D31" s="21" t="s">
        <v>258</v>
      </c>
      <c r="E31" s="23">
        <f>+E28/E25</f>
        <v>0.72163129845309248</v>
      </c>
      <c r="F31" s="23">
        <f>+F28/F25</f>
        <v>0.7216312984530926</v>
      </c>
      <c r="G31" s="23">
        <f>+G28/G25</f>
        <v>0.72163129845309248</v>
      </c>
      <c r="H31" s="23">
        <f>+H28/H25</f>
        <v>0.83179700273332058</v>
      </c>
      <c r="I31" s="23">
        <f>+I28/I25</f>
        <v>0.83179700273332058</v>
      </c>
    </row>
    <row r="32" spans="2:10" x14ac:dyDescent="0.25">
      <c r="D32" s="24" t="s">
        <v>259</v>
      </c>
      <c r="E32" s="25">
        <f>+E29/E25</f>
        <v>0.4125581413235424</v>
      </c>
      <c r="F32" s="25">
        <f>+F29/F25</f>
        <v>0.46433760323657247</v>
      </c>
      <c r="G32" s="25">
        <f>+G29/G25</f>
        <v>0.47677744611227152</v>
      </c>
      <c r="H32" s="25">
        <f>+H29/H25</f>
        <v>0.58978990901401973</v>
      </c>
      <c r="I32" s="25">
        <f>+I29/I25</f>
        <v>0.59247799187849082</v>
      </c>
    </row>
  </sheetData>
  <mergeCells count="2">
    <mergeCell ref="D3:O3"/>
    <mergeCell ref="E4:F4"/>
  </mergeCells>
  <conditionalFormatting sqref="E9 E13:J13 E24:I24 E16:J21 E27:I32">
    <cfRule type="cellIs" dxfId="59" priority="18" operator="lessThan">
      <formula>0</formula>
    </cfRule>
  </conditionalFormatting>
  <conditionalFormatting sqref="E7">
    <cfRule type="cellIs" dxfId="58" priority="17" operator="lessThan">
      <formula>0</formula>
    </cfRule>
  </conditionalFormatting>
  <conditionalFormatting sqref="E15">
    <cfRule type="cellIs" dxfId="57" priority="1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5D583-AB97-4C75-8F20-F29A151BC61B}">
  <sheetPr>
    <tabColor rgb="FF92D050"/>
  </sheetPr>
  <dimension ref="C1:T44"/>
  <sheetViews>
    <sheetView showGridLines="0" zoomScale="80" zoomScaleNormal="80" workbookViewId="0">
      <selection activeCell="H13" sqref="H13"/>
    </sheetView>
  </sheetViews>
  <sheetFormatPr defaultRowHeight="13.8" x14ac:dyDescent="0.25"/>
  <cols>
    <col min="1" max="2" width="8.88671875" style="36"/>
    <col min="3" max="3" width="28.33203125" style="36" bestFit="1" customWidth="1"/>
    <col min="4" max="4" width="14.77734375" style="57" customWidth="1"/>
    <col min="5" max="5" width="12.5546875" style="57" customWidth="1"/>
    <col min="6" max="6" width="13.5546875" style="57" customWidth="1"/>
    <col min="7" max="7" width="13.88671875" style="36" bestFit="1" customWidth="1"/>
    <col min="8" max="8" width="15.21875" style="36" bestFit="1" customWidth="1"/>
    <col min="9" max="9" width="17" style="36" bestFit="1" customWidth="1"/>
    <col min="10" max="10" width="14.6640625" style="36" bestFit="1" customWidth="1"/>
    <col min="11" max="20" width="10.5546875" style="36" bestFit="1" customWidth="1"/>
    <col min="21" max="16384" width="8.88671875" style="36"/>
  </cols>
  <sheetData>
    <row r="1" spans="3:20" ht="16.2" x14ac:dyDescent="0.35">
      <c r="C1" s="164" t="s">
        <v>232</v>
      </c>
      <c r="D1" s="164"/>
      <c r="E1" s="164"/>
      <c r="F1" s="164"/>
    </row>
    <row r="2" spans="3:20" x14ac:dyDescent="0.25">
      <c r="C2" s="55" t="s">
        <v>171</v>
      </c>
      <c r="D2" s="105" t="s">
        <v>172</v>
      </c>
      <c r="E2" s="105" t="s">
        <v>173</v>
      </c>
      <c r="F2" s="105" t="s">
        <v>174</v>
      </c>
      <c r="G2" s="105" t="s">
        <v>176</v>
      </c>
      <c r="H2" s="105" t="s">
        <v>1</v>
      </c>
      <c r="I2" s="55" t="s">
        <v>191</v>
      </c>
      <c r="J2" s="55" t="s">
        <v>199</v>
      </c>
      <c r="K2" s="55" t="s">
        <v>200</v>
      </c>
      <c r="L2" s="55" t="s">
        <v>201</v>
      </c>
      <c r="M2" s="55" t="s">
        <v>202</v>
      </c>
      <c r="N2" s="55" t="s">
        <v>203</v>
      </c>
      <c r="O2" s="55" t="s">
        <v>204</v>
      </c>
      <c r="P2" s="55" t="s">
        <v>205</v>
      </c>
      <c r="Q2" s="55" t="s">
        <v>206</v>
      </c>
      <c r="R2" s="55" t="s">
        <v>207</v>
      </c>
      <c r="S2" s="55" t="s">
        <v>208</v>
      </c>
      <c r="T2" s="55" t="s">
        <v>209</v>
      </c>
    </row>
    <row r="3" spans="3:20" x14ac:dyDescent="0.25">
      <c r="C3" s="55" t="s">
        <v>165</v>
      </c>
      <c r="D3" s="105"/>
      <c r="E3" s="105"/>
      <c r="F3" s="105"/>
      <c r="G3" s="105"/>
      <c r="H3" s="105">
        <f>SUM(Table5[[#This Row],[RESTAURANTE]:[ADMIN]])</f>
        <v>0</v>
      </c>
      <c r="I3" s="57">
        <f>+Table5[[#This Row],[TOTAL]]/30</f>
        <v>0</v>
      </c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</row>
    <row r="4" spans="3:20" x14ac:dyDescent="0.25">
      <c r="C4" s="36" t="s">
        <v>164</v>
      </c>
      <c r="D4" s="57">
        <v>100000</v>
      </c>
      <c r="E4" s="57">
        <v>100000</v>
      </c>
      <c r="F4" s="57">
        <v>0</v>
      </c>
      <c r="G4" s="57">
        <v>0</v>
      </c>
      <c r="H4" s="57">
        <f>SUM(Table5[[#This Row],[RESTAURANTE]:[ADMIN]])</f>
        <v>200000</v>
      </c>
      <c r="I4" s="57">
        <f>+Table5[[#This Row],[TOTAL]]/30</f>
        <v>6666.666666666667</v>
      </c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3:20" x14ac:dyDescent="0.25">
      <c r="C5" s="36" t="s">
        <v>185</v>
      </c>
      <c r="D5" s="57">
        <v>2000000</v>
      </c>
      <c r="G5" s="57"/>
      <c r="H5" s="57">
        <f>SUM(Table5[[#This Row],[RESTAURANTE]:[ADMIN]])</f>
        <v>2000000</v>
      </c>
      <c r="I5" s="57">
        <f>+Table5[[#This Row],[TOTAL]]/30</f>
        <v>66666.666666666672</v>
      </c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3:20" x14ac:dyDescent="0.25">
      <c r="C6" s="36" t="s">
        <v>226</v>
      </c>
      <c r="E6" s="57">
        <v>200000</v>
      </c>
      <c r="G6" s="57"/>
      <c r="H6" s="57">
        <f>SUM(Table5[[#This Row],[RESTAURANTE]:[ADMIN]])</f>
        <v>200000</v>
      </c>
      <c r="I6" s="57">
        <f>+Table5[[#This Row],[TOTAL]]/30</f>
        <v>6666.666666666667</v>
      </c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</row>
    <row r="7" spans="3:20" x14ac:dyDescent="0.25">
      <c r="C7" s="47" t="s">
        <v>166</v>
      </c>
      <c r="G7" s="57"/>
      <c r="H7" s="57">
        <f>SUM(Table5[[#This Row],[RESTAURANTE]:[ADMIN]])</f>
        <v>0</v>
      </c>
      <c r="I7" s="57">
        <f>+Table5[[#This Row],[TOTAL]]/30</f>
        <v>0</v>
      </c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</row>
    <row r="8" spans="3:20" x14ac:dyDescent="0.25">
      <c r="C8" s="36" t="s">
        <v>167</v>
      </c>
      <c r="D8" s="57">
        <f>1500000/4</f>
        <v>375000</v>
      </c>
      <c r="E8" s="57">
        <f t="shared" ref="E8:G8" si="0">1500000/4</f>
        <v>375000</v>
      </c>
      <c r="F8" s="57">
        <f t="shared" si="0"/>
        <v>375000</v>
      </c>
      <c r="G8" s="57">
        <f t="shared" si="0"/>
        <v>375000</v>
      </c>
      <c r="H8" s="57">
        <f>SUM(Table5[[#This Row],[RESTAURANTE]:[ADMIN]])</f>
        <v>1500000</v>
      </c>
      <c r="I8" s="57">
        <f>+Table5[[#This Row],[TOTAL]]/30</f>
        <v>50000</v>
      </c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</row>
    <row r="9" spans="3:20" x14ac:dyDescent="0.25">
      <c r="C9" s="36" t="s">
        <v>168</v>
      </c>
      <c r="D9" s="57">
        <f>2000000/4</f>
        <v>500000</v>
      </c>
      <c r="E9" s="57">
        <f t="shared" ref="E9:G9" si="1">2000000/4</f>
        <v>500000</v>
      </c>
      <c r="F9" s="57">
        <f t="shared" si="1"/>
        <v>500000</v>
      </c>
      <c r="G9" s="57">
        <f t="shared" si="1"/>
        <v>500000</v>
      </c>
      <c r="H9" s="57">
        <f>SUM(Table5[[#This Row],[RESTAURANTE]:[ADMIN]])</f>
        <v>2000000</v>
      </c>
      <c r="I9" s="57">
        <f>+Table5[[#This Row],[TOTAL]]/30</f>
        <v>66666.666666666672</v>
      </c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</row>
    <row r="10" spans="3:20" x14ac:dyDescent="0.25">
      <c r="C10" s="36" t="s">
        <v>169</v>
      </c>
      <c r="D10" s="57">
        <f>500000/4</f>
        <v>125000</v>
      </c>
      <c r="E10" s="57">
        <f t="shared" ref="E10:G10" si="2">500000/4</f>
        <v>125000</v>
      </c>
      <c r="F10" s="57">
        <f t="shared" si="2"/>
        <v>125000</v>
      </c>
      <c r="G10" s="57">
        <f t="shared" si="2"/>
        <v>125000</v>
      </c>
      <c r="H10" s="57">
        <f>SUM(Table5[[#This Row],[RESTAURANTE]:[ADMIN]])</f>
        <v>500000</v>
      </c>
      <c r="I10" s="57">
        <f>+Table5[[#This Row],[TOTAL]]/30</f>
        <v>16666.666666666668</v>
      </c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</row>
    <row r="11" spans="3:20" x14ac:dyDescent="0.25">
      <c r="C11" s="36" t="s">
        <v>236</v>
      </c>
      <c r="E11" s="57">
        <v>300000</v>
      </c>
      <c r="G11" s="57"/>
      <c r="H11" s="57">
        <f>SUM(Table5[[#This Row],[RESTAURANTE]:[ADMIN]])</f>
        <v>300000</v>
      </c>
      <c r="I11" s="57">
        <f>+Table5[[#This Row],[TOTAL]]/30</f>
        <v>10000</v>
      </c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</row>
    <row r="12" spans="3:20" x14ac:dyDescent="0.25">
      <c r="C12" s="36" t="s">
        <v>170</v>
      </c>
      <c r="D12" s="57">
        <f>500000/4</f>
        <v>125000</v>
      </c>
      <c r="E12" s="57">
        <f t="shared" ref="E12:G12" si="3">500000/4</f>
        <v>125000</v>
      </c>
      <c r="F12" s="57">
        <f t="shared" si="3"/>
        <v>125000</v>
      </c>
      <c r="G12" s="57">
        <f t="shared" si="3"/>
        <v>125000</v>
      </c>
      <c r="H12" s="57">
        <f>SUM(Table5[[#This Row],[RESTAURANTE]:[ADMIN]])</f>
        <v>500000</v>
      </c>
      <c r="I12" s="57">
        <f>+Table5[[#This Row],[TOTAL]]/30</f>
        <v>16666.666666666668</v>
      </c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</row>
    <row r="13" spans="3:20" x14ac:dyDescent="0.25">
      <c r="C13" s="36" t="s">
        <v>180</v>
      </c>
      <c r="D13" s="57">
        <v>250000</v>
      </c>
      <c r="E13" s="57">
        <v>250000</v>
      </c>
      <c r="F13" s="57">
        <v>250000</v>
      </c>
      <c r="G13" s="57">
        <v>250000</v>
      </c>
      <c r="H13" s="57">
        <f>SUM(Table5[[#This Row],[RESTAURANTE]:[ADMIN]])</f>
        <v>1000000</v>
      </c>
      <c r="I13" s="57">
        <f>+Table5[[#This Row],[TOTAL]]/30</f>
        <v>33333.333333333336</v>
      </c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</row>
    <row r="14" spans="3:20" x14ac:dyDescent="0.25">
      <c r="C14" s="47" t="s">
        <v>227</v>
      </c>
      <c r="G14" s="57"/>
      <c r="H14" s="57">
        <f>SUM(Table5[[#This Row],[RESTAURANTE]:[ADMIN]])</f>
        <v>0</v>
      </c>
      <c r="I14" s="57">
        <f>+Table5[[#This Row],[TOTAL]]/30</f>
        <v>0</v>
      </c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</row>
    <row r="15" spans="3:20" x14ac:dyDescent="0.25">
      <c r="C15" s="36" t="s">
        <v>183</v>
      </c>
      <c r="G15" s="57">
        <f>'5 Costo Nomina'!G94*3</f>
        <v>6191633.9980499996</v>
      </c>
      <c r="H15" s="57">
        <f>SUM(Table5[[#This Row],[RESTAURANTE]:[ADMIN]])</f>
        <v>6191633.9980499996</v>
      </c>
      <c r="I15" s="57">
        <f>+Table5[[#This Row],[TOTAL]]/30</f>
        <v>206387.79993499999</v>
      </c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</row>
    <row r="16" spans="3:20" x14ac:dyDescent="0.25">
      <c r="C16" s="36" t="s">
        <v>222</v>
      </c>
      <c r="G16" s="57">
        <f>'5 Costo Nomina'!G94</f>
        <v>2063877.9993499999</v>
      </c>
      <c r="H16" s="57">
        <f>+Table5[[#This Row],[ADMIN]]</f>
        <v>2063877.9993499999</v>
      </c>
      <c r="I16" s="57">
        <f>+Table5[[#This Row],[TOTAL]]/30</f>
        <v>68795.933311666668</v>
      </c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</row>
    <row r="17" spans="3:20" x14ac:dyDescent="0.25">
      <c r="C17" s="36" t="s">
        <v>187</v>
      </c>
      <c r="G17" s="57">
        <f>'5 Costo Nomina'!G75+'5 Costo Nomina'!G94</f>
        <v>4881995.9984499998</v>
      </c>
      <c r="H17" s="57">
        <f>SUM(Table5[[#This Row],[RESTAURANTE]:[ADMIN]])</f>
        <v>4881995.9984499998</v>
      </c>
      <c r="I17" s="57">
        <f>+Table5[[#This Row],[TOTAL]]/30</f>
        <v>162733.19994833332</v>
      </c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</row>
    <row r="18" spans="3:20" x14ac:dyDescent="0.25">
      <c r="G18" s="57"/>
      <c r="H18" s="57"/>
      <c r="I18" s="57">
        <f>+Table5[[#This Row],[TOTAL]]/30</f>
        <v>0</v>
      </c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</row>
    <row r="19" spans="3:20" s="47" customFormat="1" x14ac:dyDescent="0.25">
      <c r="C19" s="47" t="s">
        <v>1</v>
      </c>
      <c r="D19" s="68"/>
      <c r="E19" s="68"/>
      <c r="F19" s="68"/>
      <c r="G19" s="68"/>
      <c r="H19" s="68">
        <f>SUBTOTAL(109,H3:H18)</f>
        <v>21337507.995850001</v>
      </c>
      <c r="I19" s="68">
        <f>+Table5[[#This Row],[TOTAL]]/30</f>
        <v>711250.2665283333</v>
      </c>
      <c r="J19" s="68">
        <f>+I19*(1+'7 Informacion Base'!D3)</f>
        <v>729031.52319154155</v>
      </c>
      <c r="K19" s="68">
        <f>+J19*(1+'7 Informacion Base'!E3)</f>
        <v>750902.46888728777</v>
      </c>
      <c r="L19" s="68">
        <f>+K19*(1+'7 Informacion Base'!F3)</f>
        <v>773429.54295390646</v>
      </c>
      <c r="M19" s="68">
        <f>+L19*(1+'7 Informacion Base'!G3)</f>
        <v>796632.42924252374</v>
      </c>
      <c r="N19" s="68">
        <f>+M19*(1+'7 Informacion Base'!H3)</f>
        <v>820531.40211979952</v>
      </c>
      <c r="O19" s="68">
        <f>+N19*(1+'7 Informacion Base'!I3)</f>
        <v>845147.34418339352</v>
      </c>
      <c r="P19" s="68">
        <f>+O19*(1+'7 Informacion Base'!J3)</f>
        <v>870501.76450889534</v>
      </c>
      <c r="Q19" s="68">
        <f>+P19*(1+'7 Informacion Base'!K3)</f>
        <v>896616.81744416221</v>
      </c>
      <c r="R19" s="68">
        <f>+Q19*(1+'7 Informacion Base'!L3)</f>
        <v>923515.32196748711</v>
      </c>
      <c r="S19" s="68">
        <f>+R19*(1+'7 Informacion Base'!M3)</f>
        <v>951220.78162651171</v>
      </c>
      <c r="T19" s="68">
        <f>+S19*(1+'7 Informacion Base'!N3)</f>
        <v>979757.40507530712</v>
      </c>
    </row>
    <row r="21" spans="3:20" ht="15.6" x14ac:dyDescent="0.3">
      <c r="C21" s="47" t="s">
        <v>229</v>
      </c>
      <c r="H21" s="165">
        <v>4</v>
      </c>
    </row>
    <row r="22" spans="3:20" ht="16.2" x14ac:dyDescent="0.35">
      <c r="C22" s="164" t="s">
        <v>231</v>
      </c>
      <c r="D22" s="164"/>
      <c r="E22" s="164"/>
      <c r="F22" s="164"/>
    </row>
    <row r="23" spans="3:20" x14ac:dyDescent="0.25">
      <c r="C23" s="55" t="s">
        <v>171</v>
      </c>
      <c r="D23" s="105" t="s">
        <v>172</v>
      </c>
      <c r="E23" s="105" t="s">
        <v>173</v>
      </c>
      <c r="F23" s="105" t="s">
        <v>174</v>
      </c>
      <c r="G23" s="105" t="s">
        <v>186</v>
      </c>
      <c r="H23" s="55" t="s">
        <v>1</v>
      </c>
      <c r="I23" s="55" t="s">
        <v>223</v>
      </c>
      <c r="J23" s="55" t="s">
        <v>228</v>
      </c>
    </row>
    <row r="24" spans="3:20" x14ac:dyDescent="0.25">
      <c r="C24" s="55" t="s">
        <v>175</v>
      </c>
      <c r="D24" s="105"/>
      <c r="E24" s="105"/>
      <c r="F24" s="105"/>
      <c r="G24" s="105"/>
      <c r="H24" s="57">
        <f>+Table510[[#This Row],[OTROS]]*1.6257</f>
        <v>0</v>
      </c>
      <c r="I24" s="57"/>
      <c r="J24" s="57"/>
    </row>
    <row r="25" spans="3:20" x14ac:dyDescent="0.25">
      <c r="C25" s="36" t="s">
        <v>216</v>
      </c>
      <c r="G25" s="57">
        <v>2500000</v>
      </c>
      <c r="H25" s="57">
        <f>+Table510[[#This Row],[OTROS]]*1.6257</f>
        <v>4064250</v>
      </c>
      <c r="I25" s="57">
        <f>+Table510[[#This Row],[TOTAL]]/1</f>
        <v>4064250</v>
      </c>
      <c r="J25" s="68">
        <f>+AVERAGE(I25,I26,I29,I30)</f>
        <v>2754668.5842749998</v>
      </c>
    </row>
    <row r="26" spans="3:20" x14ac:dyDescent="0.25">
      <c r="C26" s="36" t="s">
        <v>190</v>
      </c>
      <c r="G26" s="57">
        <f>877803*1</f>
        <v>877803</v>
      </c>
      <c r="H26" s="57">
        <f>+Table510[[#This Row],[OTROS]]*1.6257</f>
        <v>1427044.3370999999</v>
      </c>
      <c r="I26" s="57">
        <f>+Table510[[#This Row],[TOTAL]]/1</f>
        <v>1427044.3370999999</v>
      </c>
      <c r="J26" s="57"/>
    </row>
    <row r="27" spans="3:20" x14ac:dyDescent="0.25">
      <c r="C27" s="36" t="s">
        <v>183</v>
      </c>
      <c r="G27" s="166">
        <v>0</v>
      </c>
      <c r="H27" s="57">
        <f>+Table510[[#This Row],[OTROS]]*1.6257</f>
        <v>0</v>
      </c>
      <c r="I27" s="57">
        <f>+Table510[[#This Row],[TOTAL]]/3</f>
        <v>0</v>
      </c>
      <c r="J27" s="57"/>
    </row>
    <row r="28" spans="3:20" x14ac:dyDescent="0.25">
      <c r="C28" s="36" t="s">
        <v>222</v>
      </c>
      <c r="G28" s="166">
        <v>0</v>
      </c>
      <c r="H28" s="57">
        <f>+Table510[[#This Row],[OTROS]]*1.6257</f>
        <v>0</v>
      </c>
      <c r="I28" s="57">
        <f>+Table510[[#This Row],[TOTAL]]/1</f>
        <v>0</v>
      </c>
      <c r="J28" s="57"/>
    </row>
    <row r="29" spans="3:20" x14ac:dyDescent="0.25">
      <c r="C29" s="36" t="s">
        <v>184</v>
      </c>
      <c r="G29" s="57">
        <v>2000000</v>
      </c>
      <c r="H29" s="57">
        <f>+Table510[[#This Row],[OTROS]]*1.6257</f>
        <v>3251400</v>
      </c>
      <c r="I29" s="57">
        <f>+Table510[[#This Row],[TOTAL]]/1</f>
        <v>3251400</v>
      </c>
      <c r="J29" s="57"/>
    </row>
    <row r="30" spans="3:20" x14ac:dyDescent="0.25">
      <c r="C30" s="36" t="s">
        <v>181</v>
      </c>
      <c r="G30" s="57">
        <v>1400000</v>
      </c>
      <c r="H30" s="57">
        <f>+Table510[[#This Row],[OTROS]]*1.6257</f>
        <v>2275980</v>
      </c>
      <c r="I30" s="57">
        <f>+Table510[[#This Row],[TOTAL]]/1</f>
        <v>2275980</v>
      </c>
      <c r="J30" s="57"/>
    </row>
    <row r="31" spans="3:20" x14ac:dyDescent="0.25">
      <c r="C31" s="36" t="s">
        <v>187</v>
      </c>
      <c r="G31" s="166">
        <v>0</v>
      </c>
      <c r="H31" s="57">
        <f>+Table510[[#This Row],[OTROS]]*1.6257</f>
        <v>0</v>
      </c>
      <c r="I31" s="57">
        <f>+Table510[[#This Row],[TOTAL]]/2</f>
        <v>0</v>
      </c>
      <c r="J31" s="57"/>
    </row>
    <row r="32" spans="3:20" x14ac:dyDescent="0.25">
      <c r="C32" s="47" t="s">
        <v>195</v>
      </c>
      <c r="D32" s="68"/>
      <c r="E32" s="68"/>
      <c r="F32" s="68"/>
      <c r="G32" s="68"/>
      <c r="H32" s="68">
        <f>SUBTOTAL(109,H24:H31)</f>
        <v>11018674.337099999</v>
      </c>
      <c r="I32" s="57"/>
      <c r="J32" s="57"/>
    </row>
    <row r="33" spans="3:10" x14ac:dyDescent="0.25">
      <c r="C33" s="47" t="s">
        <v>177</v>
      </c>
      <c r="G33" s="57"/>
      <c r="H33" s="57">
        <f>+Table510[[#This Row],[OTROS]]*1.6257</f>
        <v>0</v>
      </c>
      <c r="I33" s="57"/>
      <c r="J33" s="57"/>
    </row>
    <row r="34" spans="3:10" x14ac:dyDescent="0.25">
      <c r="C34" s="36" t="s">
        <v>178</v>
      </c>
      <c r="G34" s="57"/>
      <c r="H34" s="57">
        <f>+((H21*300000)*3)/12</f>
        <v>300000</v>
      </c>
      <c r="I34" s="57"/>
      <c r="J34" s="57"/>
    </row>
    <row r="35" spans="3:10" x14ac:dyDescent="0.25">
      <c r="C35" s="36" t="s">
        <v>230</v>
      </c>
      <c r="D35" s="57">
        <v>300000</v>
      </c>
      <c r="E35" s="57">
        <v>300000</v>
      </c>
      <c r="F35" s="57">
        <v>300000</v>
      </c>
      <c r="G35" s="57">
        <v>300000</v>
      </c>
      <c r="H35" s="57">
        <f>+Table510[[#This Row],[RESTAURANTE]]+Table510[[#This Row],[HOSPEDAJE]]+Table510[[#This Row],[RECREACION]]+Table510[[#This Row],[OTROS]]</f>
        <v>1200000</v>
      </c>
      <c r="I35" s="57"/>
      <c r="J35" s="57"/>
    </row>
    <row r="36" spans="3:10" x14ac:dyDescent="0.25">
      <c r="C36" s="36" t="s">
        <v>179</v>
      </c>
      <c r="G36" s="57"/>
      <c r="H36" s="57">
        <f>2000000/12</f>
        <v>166666.66666666666</v>
      </c>
      <c r="I36" s="57"/>
      <c r="J36" s="57"/>
    </row>
    <row r="37" spans="3:10" x14ac:dyDescent="0.25">
      <c r="C37" s="36" t="s">
        <v>180</v>
      </c>
      <c r="G37" s="57"/>
      <c r="H37" s="57">
        <v>0</v>
      </c>
      <c r="I37" s="57"/>
      <c r="J37" s="57"/>
    </row>
    <row r="38" spans="3:10" x14ac:dyDescent="0.25">
      <c r="C38" s="36" t="s">
        <v>182</v>
      </c>
      <c r="G38" s="57"/>
      <c r="H38" s="57">
        <v>200000</v>
      </c>
      <c r="I38" s="57"/>
      <c r="J38" s="57"/>
    </row>
    <row r="39" spans="3:10" x14ac:dyDescent="0.25">
      <c r="C39" s="36" t="s">
        <v>189</v>
      </c>
      <c r="G39" s="57"/>
      <c r="H39" s="57">
        <v>500000</v>
      </c>
      <c r="I39" s="57"/>
      <c r="J39" s="57"/>
    </row>
    <row r="40" spans="3:10" x14ac:dyDescent="0.25">
      <c r="C40" s="36" t="s">
        <v>217</v>
      </c>
      <c r="G40" s="57"/>
      <c r="H40" s="57">
        <v>200000</v>
      </c>
      <c r="I40" s="57"/>
      <c r="J40" s="57"/>
    </row>
    <row r="41" spans="3:10" x14ac:dyDescent="0.25">
      <c r="C41" s="36" t="s">
        <v>193</v>
      </c>
      <c r="G41" s="57"/>
      <c r="H41" s="57">
        <v>2500000</v>
      </c>
      <c r="I41" s="57"/>
      <c r="J41" s="57"/>
    </row>
    <row r="42" spans="3:10" x14ac:dyDescent="0.25">
      <c r="C42" s="47" t="s">
        <v>195</v>
      </c>
      <c r="D42" s="68"/>
      <c r="E42" s="68"/>
      <c r="F42" s="68"/>
      <c r="G42" s="68"/>
      <c r="H42" s="68">
        <f>SUBTOTAL(109,H34:H41)</f>
        <v>5066666.666666667</v>
      </c>
      <c r="I42" s="57"/>
      <c r="J42" s="57"/>
    </row>
    <row r="43" spans="3:10" x14ac:dyDescent="0.25">
      <c r="G43" s="57"/>
      <c r="H43" s="57">
        <f>+Table510[[#This Row],[OTROS]]*1.6257</f>
        <v>0</v>
      </c>
      <c r="I43" s="57"/>
      <c r="J43" s="57"/>
    </row>
    <row r="44" spans="3:10" x14ac:dyDescent="0.25">
      <c r="C44" s="47" t="s">
        <v>1</v>
      </c>
      <c r="G44" s="57"/>
      <c r="H44" s="68">
        <f>+H32+H42</f>
        <v>16085341.003766667</v>
      </c>
      <c r="I44" s="57"/>
      <c r="J44" s="57"/>
    </row>
  </sheetData>
  <mergeCells count="2">
    <mergeCell ref="C1:F1"/>
    <mergeCell ref="C22:F22"/>
  </mergeCells>
  <pageMargins left="0.7" right="0.7" top="0.75" bottom="0.75" header="0.3" footer="0.3"/>
  <pageSetup orientation="portrait" r:id="rId1"/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B3:I97"/>
  <sheetViews>
    <sheetView showGridLines="0" zoomScale="85" zoomScaleNormal="85" workbookViewId="0">
      <selection activeCell="C9" sqref="C9"/>
    </sheetView>
  </sheetViews>
  <sheetFormatPr defaultColWidth="11.44140625" defaultRowHeight="13.8" x14ac:dyDescent="0.25"/>
  <cols>
    <col min="1" max="1" width="11.44140625" style="36"/>
    <col min="2" max="2" width="23.109375" style="36" bestFit="1" customWidth="1"/>
    <col min="3" max="3" width="20.6640625" style="36" bestFit="1" customWidth="1"/>
    <col min="4" max="4" width="13" style="36" bestFit="1" customWidth="1"/>
    <col min="5" max="5" width="11.44140625" style="36"/>
    <col min="6" max="7" width="14.5546875" style="36" bestFit="1" customWidth="1"/>
    <col min="8" max="8" width="13.33203125" style="36" bestFit="1" customWidth="1"/>
    <col min="9" max="18" width="11.77734375" style="36" bestFit="1" customWidth="1"/>
    <col min="19" max="16384" width="11.44140625" style="36"/>
  </cols>
  <sheetData>
    <row r="3" spans="2:9" x14ac:dyDescent="0.25">
      <c r="B3" s="152" t="s">
        <v>8</v>
      </c>
      <c r="C3" s="152"/>
      <c r="D3" s="152"/>
      <c r="E3" s="152"/>
      <c r="F3" s="152"/>
      <c r="G3" s="152"/>
    </row>
    <row r="4" spans="2:9" x14ac:dyDescent="0.25">
      <c r="B4" s="153" t="s">
        <v>3</v>
      </c>
      <c r="C4" s="56" t="s">
        <v>4</v>
      </c>
      <c r="D4" s="56" t="s">
        <v>5</v>
      </c>
      <c r="E4" s="56" t="s">
        <v>9</v>
      </c>
      <c r="F4" s="56" t="s">
        <v>6</v>
      </c>
      <c r="G4" s="56" t="s">
        <v>7</v>
      </c>
    </row>
    <row r="5" spans="2:9" x14ac:dyDescent="0.25">
      <c r="B5" s="154" t="s">
        <v>10</v>
      </c>
      <c r="C5" s="154" t="s">
        <v>102</v>
      </c>
      <c r="D5" s="155">
        <f>AVERAGE(D24,D44,D63,D82)</f>
        <v>1569450.75</v>
      </c>
      <c r="E5" s="156">
        <v>1</v>
      </c>
      <c r="F5" s="157">
        <f t="shared" ref="F5:G16" si="0">F24+F44+F63+F82</f>
        <v>6277803</v>
      </c>
      <c r="G5" s="157">
        <f t="shared" si="0"/>
        <v>6277803</v>
      </c>
      <c r="I5" s="158"/>
    </row>
    <row r="6" spans="2:9" x14ac:dyDescent="0.25">
      <c r="B6" s="154" t="s">
        <v>11</v>
      </c>
      <c r="C6" s="154" t="s">
        <v>102</v>
      </c>
      <c r="D6" s="159">
        <v>102854</v>
      </c>
      <c r="E6" s="154">
        <f>+E5</f>
        <v>1</v>
      </c>
      <c r="F6" s="157">
        <f t="shared" si="0"/>
        <v>411416</v>
      </c>
      <c r="G6" s="157">
        <f t="shared" si="0"/>
        <v>411416</v>
      </c>
      <c r="I6" s="118"/>
    </row>
    <row r="7" spans="2:9" x14ac:dyDescent="0.25">
      <c r="B7" s="154" t="s">
        <v>12</v>
      </c>
      <c r="C7" s="160" t="s">
        <v>13</v>
      </c>
      <c r="D7" s="161">
        <v>8.3333332999999996E-2</v>
      </c>
      <c r="E7" s="154">
        <f t="shared" ref="E7:E16" si="1">+E6</f>
        <v>1</v>
      </c>
      <c r="F7" s="157">
        <f t="shared" si="0"/>
        <v>523150.24790739891</v>
      </c>
      <c r="G7" s="157">
        <f t="shared" si="0"/>
        <v>523150.24790739891</v>
      </c>
    </row>
    <row r="8" spans="2:9" x14ac:dyDescent="0.25">
      <c r="B8" s="154" t="s">
        <v>12</v>
      </c>
      <c r="C8" s="160" t="s">
        <v>14</v>
      </c>
      <c r="D8" s="161">
        <v>0.01</v>
      </c>
      <c r="E8" s="154">
        <f t="shared" si="1"/>
        <v>1</v>
      </c>
      <c r="F8" s="157">
        <f t="shared" si="0"/>
        <v>62778.03</v>
      </c>
      <c r="G8" s="157">
        <f t="shared" si="0"/>
        <v>62778.03</v>
      </c>
    </row>
    <row r="9" spans="2:9" x14ac:dyDescent="0.25">
      <c r="B9" s="154" t="s">
        <v>12</v>
      </c>
      <c r="C9" s="160" t="s">
        <v>15</v>
      </c>
      <c r="D9" s="161">
        <v>8.3299999999999999E-2</v>
      </c>
      <c r="E9" s="154">
        <f t="shared" si="1"/>
        <v>1</v>
      </c>
      <c r="F9" s="157">
        <f t="shared" si="0"/>
        <v>522940.98989999999</v>
      </c>
      <c r="G9" s="157">
        <f t="shared" si="0"/>
        <v>522940.98989999999</v>
      </c>
    </row>
    <row r="10" spans="2:9" x14ac:dyDescent="0.25">
      <c r="B10" s="154" t="s">
        <v>12</v>
      </c>
      <c r="C10" s="160" t="s">
        <v>16</v>
      </c>
      <c r="D10" s="161">
        <f>+D7/2</f>
        <v>4.1666666499999998E-2</v>
      </c>
      <c r="E10" s="154">
        <f t="shared" si="1"/>
        <v>1</v>
      </c>
      <c r="F10" s="157">
        <f t="shared" si="0"/>
        <v>261575.12395369945</v>
      </c>
      <c r="G10" s="157">
        <f t="shared" si="0"/>
        <v>261575.12395369945</v>
      </c>
    </row>
    <row r="11" spans="2:9" x14ac:dyDescent="0.25">
      <c r="B11" s="154" t="s">
        <v>17</v>
      </c>
      <c r="C11" s="160" t="s">
        <v>18</v>
      </c>
      <c r="D11" s="161">
        <v>0.12</v>
      </c>
      <c r="E11" s="154">
        <f t="shared" si="1"/>
        <v>1</v>
      </c>
      <c r="F11" s="157">
        <f t="shared" si="0"/>
        <v>753336.36</v>
      </c>
      <c r="G11" s="157">
        <f t="shared" si="0"/>
        <v>753336.36</v>
      </c>
    </row>
    <row r="12" spans="2:9" x14ac:dyDescent="0.25">
      <c r="B12" s="154" t="s">
        <v>17</v>
      </c>
      <c r="C12" s="160" t="s">
        <v>19</v>
      </c>
      <c r="D12" s="162">
        <v>8.5000000000000006E-2</v>
      </c>
      <c r="E12" s="154">
        <f t="shared" si="1"/>
        <v>1</v>
      </c>
      <c r="F12" s="157">
        <f t="shared" si="0"/>
        <v>533613.255</v>
      </c>
      <c r="G12" s="157">
        <f t="shared" si="0"/>
        <v>533613.255</v>
      </c>
    </row>
    <row r="13" spans="2:9" x14ac:dyDescent="0.25">
      <c r="B13" s="154" t="s">
        <v>17</v>
      </c>
      <c r="C13" s="160" t="s">
        <v>20</v>
      </c>
      <c r="D13" s="162">
        <v>5.1799999999999997E-3</v>
      </c>
      <c r="E13" s="154">
        <f t="shared" si="1"/>
        <v>1</v>
      </c>
      <c r="F13" s="157">
        <f t="shared" si="0"/>
        <v>32519.019540000001</v>
      </c>
      <c r="G13" s="157">
        <f t="shared" si="0"/>
        <v>32519.019540000001</v>
      </c>
    </row>
    <row r="14" spans="2:9" x14ac:dyDescent="0.25">
      <c r="B14" s="154" t="s">
        <v>21</v>
      </c>
      <c r="C14" s="160" t="s">
        <v>22</v>
      </c>
      <c r="D14" s="162">
        <v>0.04</v>
      </c>
      <c r="E14" s="154">
        <f t="shared" si="1"/>
        <v>1</v>
      </c>
      <c r="F14" s="157">
        <f t="shared" si="0"/>
        <v>251112.12</v>
      </c>
      <c r="G14" s="157">
        <f t="shared" si="0"/>
        <v>251112.12</v>
      </c>
    </row>
    <row r="15" spans="2:9" x14ac:dyDescent="0.25">
      <c r="B15" s="154" t="s">
        <v>21</v>
      </c>
      <c r="C15" s="160" t="s">
        <v>23</v>
      </c>
      <c r="D15" s="162">
        <v>0.02</v>
      </c>
      <c r="E15" s="154">
        <f t="shared" si="1"/>
        <v>1</v>
      </c>
      <c r="F15" s="157">
        <f t="shared" si="0"/>
        <v>125556.06</v>
      </c>
      <c r="G15" s="157">
        <f t="shared" si="0"/>
        <v>125556.06</v>
      </c>
    </row>
    <row r="16" spans="2:9" x14ac:dyDescent="0.25">
      <c r="B16" s="154" t="s">
        <v>21</v>
      </c>
      <c r="C16" s="160" t="s">
        <v>24</v>
      </c>
      <c r="D16" s="162">
        <v>0.02</v>
      </c>
      <c r="E16" s="154">
        <f t="shared" si="1"/>
        <v>1</v>
      </c>
      <c r="F16" s="157">
        <f t="shared" si="0"/>
        <v>125556.06</v>
      </c>
      <c r="G16" s="157">
        <f t="shared" si="0"/>
        <v>125556.06</v>
      </c>
    </row>
    <row r="17" spans="2:8" x14ac:dyDescent="0.25">
      <c r="F17" s="163" t="s">
        <v>1</v>
      </c>
      <c r="G17" s="163">
        <f>+SUM(G5:G16)</f>
        <v>9881356.2663011011</v>
      </c>
      <c r="H17" s="128">
        <f>G17</f>
        <v>9881356.2663011011</v>
      </c>
    </row>
    <row r="19" spans="2:8" x14ac:dyDescent="0.25">
      <c r="G19" s="42">
        <f>+G17-G5</f>
        <v>3603553.2663011011</v>
      </c>
      <c r="H19" s="42"/>
    </row>
    <row r="20" spans="2:8" x14ac:dyDescent="0.25">
      <c r="G20" s="58">
        <f>+G19/G5</f>
        <v>0.57401502823537165</v>
      </c>
    </row>
    <row r="21" spans="2:8" x14ac:dyDescent="0.25">
      <c r="B21" s="36" t="s">
        <v>266</v>
      </c>
    </row>
    <row r="22" spans="2:8" x14ac:dyDescent="0.25">
      <c r="B22" s="152" t="s">
        <v>8</v>
      </c>
      <c r="C22" s="152"/>
      <c r="D22" s="152"/>
      <c r="E22" s="152"/>
      <c r="F22" s="152"/>
      <c r="G22" s="152"/>
    </row>
    <row r="23" spans="2:8" x14ac:dyDescent="0.25">
      <c r="B23" s="153" t="s">
        <v>3</v>
      </c>
      <c r="C23" s="56" t="s">
        <v>4</v>
      </c>
      <c r="D23" s="56" t="s">
        <v>5</v>
      </c>
      <c r="E23" s="56" t="s">
        <v>9</v>
      </c>
      <c r="F23" s="56" t="s">
        <v>6</v>
      </c>
      <c r="G23" s="56" t="s">
        <v>7</v>
      </c>
    </row>
    <row r="24" spans="2:8" x14ac:dyDescent="0.25">
      <c r="B24" s="154" t="s">
        <v>10</v>
      </c>
      <c r="C24" s="154" t="s">
        <v>102</v>
      </c>
      <c r="D24" s="155">
        <v>2300000</v>
      </c>
      <c r="E24" s="156">
        <v>1</v>
      </c>
      <c r="F24" s="157">
        <f>D24</f>
        <v>2300000</v>
      </c>
      <c r="G24" s="157">
        <f>+F24*E24</f>
        <v>2300000</v>
      </c>
    </row>
    <row r="25" spans="2:8" x14ac:dyDescent="0.25">
      <c r="B25" s="154" t="s">
        <v>11</v>
      </c>
      <c r="C25" s="154" t="s">
        <v>102</v>
      </c>
      <c r="D25" s="159">
        <v>102854</v>
      </c>
      <c r="E25" s="154">
        <f>+E24</f>
        <v>1</v>
      </c>
      <c r="F25" s="157">
        <f>+D25</f>
        <v>102854</v>
      </c>
      <c r="G25" s="157">
        <f t="shared" ref="G25:G35" si="2">+F25*E25</f>
        <v>102854</v>
      </c>
    </row>
    <row r="26" spans="2:8" x14ac:dyDescent="0.25">
      <c r="B26" s="154" t="s">
        <v>12</v>
      </c>
      <c r="C26" s="160" t="s">
        <v>13</v>
      </c>
      <c r="D26" s="161">
        <v>8.3333332999999996E-2</v>
      </c>
      <c r="E26" s="154">
        <f t="shared" ref="E26:E35" si="3">+E25</f>
        <v>1</v>
      </c>
      <c r="F26" s="157">
        <f>+D24*D26</f>
        <v>191666.66589999999</v>
      </c>
      <c r="G26" s="157">
        <f t="shared" si="2"/>
        <v>191666.66589999999</v>
      </c>
    </row>
    <row r="27" spans="2:8" x14ac:dyDescent="0.25">
      <c r="B27" s="154" t="s">
        <v>12</v>
      </c>
      <c r="C27" s="160" t="s">
        <v>14</v>
      </c>
      <c r="D27" s="161">
        <v>0.01</v>
      </c>
      <c r="E27" s="154">
        <f t="shared" si="3"/>
        <v>1</v>
      </c>
      <c r="F27" s="157">
        <f>+D24*D27</f>
        <v>23000</v>
      </c>
      <c r="G27" s="157">
        <f t="shared" si="2"/>
        <v>23000</v>
      </c>
    </row>
    <row r="28" spans="2:8" x14ac:dyDescent="0.25">
      <c r="B28" s="154" t="s">
        <v>12</v>
      </c>
      <c r="C28" s="160" t="s">
        <v>15</v>
      </c>
      <c r="D28" s="161">
        <v>8.3299999999999999E-2</v>
      </c>
      <c r="E28" s="154">
        <f t="shared" si="3"/>
        <v>1</v>
      </c>
      <c r="F28" s="157">
        <f>+D24*D28</f>
        <v>191590</v>
      </c>
      <c r="G28" s="157">
        <f t="shared" si="2"/>
        <v>191590</v>
      </c>
    </row>
    <row r="29" spans="2:8" x14ac:dyDescent="0.25">
      <c r="B29" s="154" t="s">
        <v>12</v>
      </c>
      <c r="C29" s="160" t="s">
        <v>16</v>
      </c>
      <c r="D29" s="161">
        <f>+D26/2</f>
        <v>4.1666666499999998E-2</v>
      </c>
      <c r="E29" s="154">
        <f t="shared" si="3"/>
        <v>1</v>
      </c>
      <c r="F29" s="157">
        <f>+D24*D29</f>
        <v>95833.332949999996</v>
      </c>
      <c r="G29" s="157">
        <f t="shared" si="2"/>
        <v>95833.332949999996</v>
      </c>
    </row>
    <row r="30" spans="2:8" x14ac:dyDescent="0.25">
      <c r="B30" s="154" t="s">
        <v>17</v>
      </c>
      <c r="C30" s="160" t="s">
        <v>18</v>
      </c>
      <c r="D30" s="161">
        <v>0.12</v>
      </c>
      <c r="E30" s="154">
        <f t="shared" si="3"/>
        <v>1</v>
      </c>
      <c r="F30" s="157">
        <f>+D24*D30</f>
        <v>276000</v>
      </c>
      <c r="G30" s="157">
        <f t="shared" si="2"/>
        <v>276000</v>
      </c>
    </row>
    <row r="31" spans="2:8" x14ac:dyDescent="0.25">
      <c r="B31" s="154" t="s">
        <v>17</v>
      </c>
      <c r="C31" s="160" t="s">
        <v>19</v>
      </c>
      <c r="D31" s="162">
        <v>8.5000000000000006E-2</v>
      </c>
      <c r="E31" s="154">
        <f t="shared" si="3"/>
        <v>1</v>
      </c>
      <c r="F31" s="157">
        <f>+D24*D31</f>
        <v>195500</v>
      </c>
      <c r="G31" s="157">
        <f t="shared" si="2"/>
        <v>195500</v>
      </c>
    </row>
    <row r="32" spans="2:8" x14ac:dyDescent="0.25">
      <c r="B32" s="154" t="s">
        <v>17</v>
      </c>
      <c r="C32" s="160" t="s">
        <v>20</v>
      </c>
      <c r="D32" s="162">
        <v>5.1799999999999997E-3</v>
      </c>
      <c r="E32" s="154">
        <f t="shared" si="3"/>
        <v>1</v>
      </c>
      <c r="F32" s="157">
        <f>+D24*D32</f>
        <v>11914</v>
      </c>
      <c r="G32" s="157">
        <f t="shared" si="2"/>
        <v>11914</v>
      </c>
    </row>
    <row r="33" spans="2:7" x14ac:dyDescent="0.25">
      <c r="B33" s="154" t="s">
        <v>21</v>
      </c>
      <c r="C33" s="160" t="s">
        <v>22</v>
      </c>
      <c r="D33" s="162">
        <v>0.04</v>
      </c>
      <c r="E33" s="154">
        <f t="shared" si="3"/>
        <v>1</v>
      </c>
      <c r="F33" s="157">
        <f>+D24*D33</f>
        <v>92000</v>
      </c>
      <c r="G33" s="157">
        <f t="shared" si="2"/>
        <v>92000</v>
      </c>
    </row>
    <row r="34" spans="2:7" x14ac:dyDescent="0.25">
      <c r="B34" s="154" t="s">
        <v>21</v>
      </c>
      <c r="C34" s="160" t="s">
        <v>23</v>
      </c>
      <c r="D34" s="162">
        <v>0.02</v>
      </c>
      <c r="E34" s="154">
        <f t="shared" si="3"/>
        <v>1</v>
      </c>
      <c r="F34" s="157">
        <f>+D24*D34</f>
        <v>46000</v>
      </c>
      <c r="G34" s="157">
        <f t="shared" si="2"/>
        <v>46000</v>
      </c>
    </row>
    <row r="35" spans="2:7" x14ac:dyDescent="0.25">
      <c r="B35" s="154" t="s">
        <v>21</v>
      </c>
      <c r="C35" s="160" t="s">
        <v>24</v>
      </c>
      <c r="D35" s="162">
        <v>0.02</v>
      </c>
      <c r="E35" s="154">
        <f t="shared" si="3"/>
        <v>1</v>
      </c>
      <c r="F35" s="157">
        <f>+D24*D35</f>
        <v>46000</v>
      </c>
      <c r="G35" s="157">
        <f t="shared" si="2"/>
        <v>46000</v>
      </c>
    </row>
    <row r="36" spans="2:7" x14ac:dyDescent="0.25">
      <c r="F36" s="163" t="s">
        <v>1</v>
      </c>
      <c r="G36" s="163">
        <f>+SUM(G24:G35)</f>
        <v>3572357.9988500001</v>
      </c>
    </row>
    <row r="38" spans="2:7" x14ac:dyDescent="0.25">
      <c r="G38" s="42">
        <f>+G36-G24</f>
        <v>1272357.9988500001</v>
      </c>
    </row>
    <row r="39" spans="2:7" x14ac:dyDescent="0.25">
      <c r="G39" s="58">
        <f>+G38/G24</f>
        <v>0.5531991299347826</v>
      </c>
    </row>
    <row r="41" spans="2:7" x14ac:dyDescent="0.25">
      <c r="B41" s="36" t="s">
        <v>267</v>
      </c>
    </row>
    <row r="42" spans="2:7" x14ac:dyDescent="0.25">
      <c r="B42" s="152" t="s">
        <v>8</v>
      </c>
      <c r="C42" s="152"/>
      <c r="D42" s="152"/>
      <c r="E42" s="152"/>
      <c r="F42" s="152"/>
      <c r="G42" s="152"/>
    </row>
    <row r="43" spans="2:7" x14ac:dyDescent="0.25">
      <c r="B43" s="153" t="s">
        <v>3</v>
      </c>
      <c r="C43" s="56" t="s">
        <v>4</v>
      </c>
      <c r="D43" s="56" t="s">
        <v>5</v>
      </c>
      <c r="E43" s="56" t="s">
        <v>9</v>
      </c>
      <c r="F43" s="56" t="s">
        <v>6</v>
      </c>
      <c r="G43" s="56" t="s">
        <v>7</v>
      </c>
    </row>
    <row r="44" spans="2:7" x14ac:dyDescent="0.25">
      <c r="B44" s="154" t="s">
        <v>10</v>
      </c>
      <c r="C44" s="154" t="s">
        <v>102</v>
      </c>
      <c r="D44" s="155">
        <v>877803</v>
      </c>
      <c r="E44" s="156">
        <v>1</v>
      </c>
      <c r="F44" s="157">
        <f>D44</f>
        <v>877803</v>
      </c>
      <c r="G44" s="157">
        <f>+F44*E44</f>
        <v>877803</v>
      </c>
    </row>
    <row r="45" spans="2:7" x14ac:dyDescent="0.25">
      <c r="B45" s="154" t="s">
        <v>11</v>
      </c>
      <c r="C45" s="154" t="s">
        <v>102</v>
      </c>
      <c r="D45" s="159">
        <v>102854</v>
      </c>
      <c r="E45" s="154">
        <f>+E44</f>
        <v>1</v>
      </c>
      <c r="F45" s="157">
        <f>+D45</f>
        <v>102854</v>
      </c>
      <c r="G45" s="157">
        <f t="shared" ref="G45:G55" si="4">+F45*E45</f>
        <v>102854</v>
      </c>
    </row>
    <row r="46" spans="2:7" x14ac:dyDescent="0.25">
      <c r="B46" s="154" t="s">
        <v>12</v>
      </c>
      <c r="C46" s="160" t="s">
        <v>13</v>
      </c>
      <c r="D46" s="161">
        <v>8.3333332999999996E-2</v>
      </c>
      <c r="E46" s="154">
        <f t="shared" ref="E46:E55" si="5">+E45</f>
        <v>1</v>
      </c>
      <c r="F46" s="157">
        <f>+D44*D46</f>
        <v>73150.249707398994</v>
      </c>
      <c r="G46" s="157">
        <f t="shared" si="4"/>
        <v>73150.249707398994</v>
      </c>
    </row>
    <row r="47" spans="2:7" x14ac:dyDescent="0.25">
      <c r="B47" s="154" t="s">
        <v>12</v>
      </c>
      <c r="C47" s="160" t="s">
        <v>14</v>
      </c>
      <c r="D47" s="161">
        <v>0.01</v>
      </c>
      <c r="E47" s="154">
        <f t="shared" si="5"/>
        <v>1</v>
      </c>
      <c r="F47" s="157">
        <f>+D44*D47</f>
        <v>8778.0300000000007</v>
      </c>
      <c r="G47" s="157">
        <f t="shared" si="4"/>
        <v>8778.0300000000007</v>
      </c>
    </row>
    <row r="48" spans="2:7" x14ac:dyDescent="0.25">
      <c r="B48" s="154" t="s">
        <v>12</v>
      </c>
      <c r="C48" s="160" t="s">
        <v>15</v>
      </c>
      <c r="D48" s="161">
        <v>8.3299999999999999E-2</v>
      </c>
      <c r="E48" s="154">
        <f t="shared" si="5"/>
        <v>1</v>
      </c>
      <c r="F48" s="157">
        <f>+D44*D48</f>
        <v>73120.9899</v>
      </c>
      <c r="G48" s="157">
        <f t="shared" si="4"/>
        <v>73120.9899</v>
      </c>
    </row>
    <row r="49" spans="2:7" x14ac:dyDescent="0.25">
      <c r="B49" s="154" t="s">
        <v>12</v>
      </c>
      <c r="C49" s="160" t="s">
        <v>16</v>
      </c>
      <c r="D49" s="161">
        <f>+D46/2</f>
        <v>4.1666666499999998E-2</v>
      </c>
      <c r="E49" s="154">
        <f t="shared" si="5"/>
        <v>1</v>
      </c>
      <c r="F49" s="157">
        <f>+D44*D49</f>
        <v>36575.124853699497</v>
      </c>
      <c r="G49" s="157">
        <f t="shared" si="4"/>
        <v>36575.124853699497</v>
      </c>
    </row>
    <row r="50" spans="2:7" x14ac:dyDescent="0.25">
      <c r="B50" s="154" t="s">
        <v>17</v>
      </c>
      <c r="C50" s="160" t="s">
        <v>18</v>
      </c>
      <c r="D50" s="161">
        <v>0.12</v>
      </c>
      <c r="E50" s="154">
        <f t="shared" si="5"/>
        <v>1</v>
      </c>
      <c r="F50" s="157">
        <f>+D44*D50</f>
        <v>105336.36</v>
      </c>
      <c r="G50" s="157">
        <f t="shared" si="4"/>
        <v>105336.36</v>
      </c>
    </row>
    <row r="51" spans="2:7" x14ac:dyDescent="0.25">
      <c r="B51" s="154" t="s">
        <v>17</v>
      </c>
      <c r="C51" s="160" t="s">
        <v>19</v>
      </c>
      <c r="D51" s="162">
        <v>8.5000000000000006E-2</v>
      </c>
      <c r="E51" s="154">
        <f t="shared" si="5"/>
        <v>1</v>
      </c>
      <c r="F51" s="157">
        <f>+D44*D51</f>
        <v>74613.255000000005</v>
      </c>
      <c r="G51" s="157">
        <f t="shared" si="4"/>
        <v>74613.255000000005</v>
      </c>
    </row>
    <row r="52" spans="2:7" x14ac:dyDescent="0.25">
      <c r="B52" s="154" t="s">
        <v>17</v>
      </c>
      <c r="C52" s="160" t="s">
        <v>20</v>
      </c>
      <c r="D52" s="162">
        <v>5.1799999999999997E-3</v>
      </c>
      <c r="E52" s="154">
        <f t="shared" si="5"/>
        <v>1</v>
      </c>
      <c r="F52" s="157">
        <f>+D44*D52</f>
        <v>4547.0195399999993</v>
      </c>
      <c r="G52" s="157">
        <f t="shared" si="4"/>
        <v>4547.0195399999993</v>
      </c>
    </row>
    <row r="53" spans="2:7" x14ac:dyDescent="0.25">
      <c r="B53" s="154" t="s">
        <v>21</v>
      </c>
      <c r="C53" s="160" t="s">
        <v>22</v>
      </c>
      <c r="D53" s="162">
        <v>0.04</v>
      </c>
      <c r="E53" s="154">
        <f t="shared" si="5"/>
        <v>1</v>
      </c>
      <c r="F53" s="157">
        <f>+D44*D53</f>
        <v>35112.120000000003</v>
      </c>
      <c r="G53" s="157">
        <f t="shared" si="4"/>
        <v>35112.120000000003</v>
      </c>
    </row>
    <row r="54" spans="2:7" x14ac:dyDescent="0.25">
      <c r="B54" s="154" t="s">
        <v>21</v>
      </c>
      <c r="C54" s="160" t="s">
        <v>23</v>
      </c>
      <c r="D54" s="162">
        <v>0.02</v>
      </c>
      <c r="E54" s="154">
        <f t="shared" si="5"/>
        <v>1</v>
      </c>
      <c r="F54" s="157">
        <f>+D44*D54</f>
        <v>17556.060000000001</v>
      </c>
      <c r="G54" s="157">
        <f t="shared" si="4"/>
        <v>17556.060000000001</v>
      </c>
    </row>
    <row r="55" spans="2:7" x14ac:dyDescent="0.25">
      <c r="B55" s="154" t="s">
        <v>21</v>
      </c>
      <c r="C55" s="160" t="s">
        <v>24</v>
      </c>
      <c r="D55" s="162">
        <v>0.02</v>
      </c>
      <c r="E55" s="154">
        <f t="shared" si="5"/>
        <v>1</v>
      </c>
      <c r="F55" s="157">
        <f>+D44*D55</f>
        <v>17556.060000000001</v>
      </c>
      <c r="G55" s="157">
        <f t="shared" si="4"/>
        <v>17556.060000000001</v>
      </c>
    </row>
    <row r="56" spans="2:7" x14ac:dyDescent="0.25">
      <c r="F56" s="163" t="s">
        <v>1</v>
      </c>
      <c r="G56" s="163">
        <f>+SUM(G44:G55)</f>
        <v>1427002.2690010986</v>
      </c>
    </row>
    <row r="58" spans="2:7" x14ac:dyDescent="0.25">
      <c r="G58" s="42">
        <f>+G56-G44</f>
        <v>549199.26900109858</v>
      </c>
    </row>
    <row r="59" spans="2:7" x14ac:dyDescent="0.25">
      <c r="G59" s="58">
        <f>+G58/G44</f>
        <v>0.62565207569477277</v>
      </c>
    </row>
    <row r="60" spans="2:7" x14ac:dyDescent="0.25">
      <c r="B60" s="47" t="s">
        <v>268</v>
      </c>
    </row>
    <row r="61" spans="2:7" x14ac:dyDescent="0.25">
      <c r="B61" s="152" t="s">
        <v>8</v>
      </c>
      <c r="C61" s="152"/>
      <c r="D61" s="152"/>
      <c r="E61" s="152"/>
      <c r="F61" s="152"/>
      <c r="G61" s="152"/>
    </row>
    <row r="62" spans="2:7" x14ac:dyDescent="0.25">
      <c r="B62" s="153" t="s">
        <v>3</v>
      </c>
      <c r="C62" s="56" t="s">
        <v>4</v>
      </c>
      <c r="D62" s="56" t="s">
        <v>5</v>
      </c>
      <c r="E62" s="56" t="s">
        <v>9</v>
      </c>
      <c r="F62" s="56" t="s">
        <v>6</v>
      </c>
      <c r="G62" s="56" t="s">
        <v>7</v>
      </c>
    </row>
    <row r="63" spans="2:7" x14ac:dyDescent="0.25">
      <c r="B63" s="154" t="s">
        <v>10</v>
      </c>
      <c r="C63" s="154" t="s">
        <v>102</v>
      </c>
      <c r="D63" s="155">
        <v>1800000</v>
      </c>
      <c r="E63" s="156">
        <v>1</v>
      </c>
      <c r="F63" s="157">
        <f>D63</f>
        <v>1800000</v>
      </c>
      <c r="G63" s="157">
        <f>+F63*E63</f>
        <v>1800000</v>
      </c>
    </row>
    <row r="64" spans="2:7" x14ac:dyDescent="0.25">
      <c r="B64" s="154" t="s">
        <v>11</v>
      </c>
      <c r="C64" s="154" t="s">
        <v>102</v>
      </c>
      <c r="D64" s="159">
        <v>102854</v>
      </c>
      <c r="E64" s="154">
        <f>+E63</f>
        <v>1</v>
      </c>
      <c r="F64" s="157">
        <f>+D64</f>
        <v>102854</v>
      </c>
      <c r="G64" s="157">
        <f t="shared" ref="G64:G74" si="6">+F64*E64</f>
        <v>102854</v>
      </c>
    </row>
    <row r="65" spans="2:7" x14ac:dyDescent="0.25">
      <c r="B65" s="154" t="s">
        <v>12</v>
      </c>
      <c r="C65" s="160" t="s">
        <v>13</v>
      </c>
      <c r="D65" s="161">
        <v>8.3333332999999996E-2</v>
      </c>
      <c r="E65" s="154">
        <f t="shared" ref="E65:E74" si="7">+E64</f>
        <v>1</v>
      </c>
      <c r="F65" s="157">
        <f>+D63*D65</f>
        <v>149999.9994</v>
      </c>
      <c r="G65" s="157">
        <f t="shared" si="6"/>
        <v>149999.9994</v>
      </c>
    </row>
    <row r="66" spans="2:7" x14ac:dyDescent="0.25">
      <c r="B66" s="154" t="s">
        <v>12</v>
      </c>
      <c r="C66" s="160" t="s">
        <v>14</v>
      </c>
      <c r="D66" s="161">
        <v>0.01</v>
      </c>
      <c r="E66" s="154">
        <f t="shared" si="7"/>
        <v>1</v>
      </c>
      <c r="F66" s="157">
        <f>+D63*D66</f>
        <v>18000</v>
      </c>
      <c r="G66" s="157">
        <f t="shared" si="6"/>
        <v>18000</v>
      </c>
    </row>
    <row r="67" spans="2:7" x14ac:dyDescent="0.25">
      <c r="B67" s="154" t="s">
        <v>12</v>
      </c>
      <c r="C67" s="160" t="s">
        <v>15</v>
      </c>
      <c r="D67" s="161">
        <v>8.3299999999999999E-2</v>
      </c>
      <c r="E67" s="154">
        <f t="shared" si="7"/>
        <v>1</v>
      </c>
      <c r="F67" s="157">
        <f>+D63*D67</f>
        <v>149940</v>
      </c>
      <c r="G67" s="157">
        <f t="shared" si="6"/>
        <v>149940</v>
      </c>
    </row>
    <row r="68" spans="2:7" x14ac:dyDescent="0.25">
      <c r="B68" s="154" t="s">
        <v>12</v>
      </c>
      <c r="C68" s="160" t="s">
        <v>16</v>
      </c>
      <c r="D68" s="161">
        <f>+D65/2</f>
        <v>4.1666666499999998E-2</v>
      </c>
      <c r="E68" s="154">
        <f t="shared" si="7"/>
        <v>1</v>
      </c>
      <c r="F68" s="157">
        <f>+D63*D68</f>
        <v>74999.9997</v>
      </c>
      <c r="G68" s="157">
        <f t="shared" si="6"/>
        <v>74999.9997</v>
      </c>
    </row>
    <row r="69" spans="2:7" x14ac:dyDescent="0.25">
      <c r="B69" s="154" t="s">
        <v>17</v>
      </c>
      <c r="C69" s="160" t="s">
        <v>18</v>
      </c>
      <c r="D69" s="161">
        <v>0.12</v>
      </c>
      <c r="E69" s="154">
        <f t="shared" si="7"/>
        <v>1</v>
      </c>
      <c r="F69" s="157">
        <f>+D63*D69</f>
        <v>216000</v>
      </c>
      <c r="G69" s="157">
        <f t="shared" si="6"/>
        <v>216000</v>
      </c>
    </row>
    <row r="70" spans="2:7" x14ac:dyDescent="0.25">
      <c r="B70" s="154" t="s">
        <v>17</v>
      </c>
      <c r="C70" s="160" t="s">
        <v>19</v>
      </c>
      <c r="D70" s="162">
        <v>8.5000000000000006E-2</v>
      </c>
      <c r="E70" s="154">
        <f t="shared" si="7"/>
        <v>1</v>
      </c>
      <c r="F70" s="157">
        <f>+D63*D70</f>
        <v>153000</v>
      </c>
      <c r="G70" s="157">
        <f t="shared" si="6"/>
        <v>153000</v>
      </c>
    </row>
    <row r="71" spans="2:7" x14ac:dyDescent="0.25">
      <c r="B71" s="154" t="s">
        <v>17</v>
      </c>
      <c r="C71" s="160" t="s">
        <v>20</v>
      </c>
      <c r="D71" s="162">
        <v>5.1799999999999997E-3</v>
      </c>
      <c r="E71" s="154">
        <f t="shared" si="7"/>
        <v>1</v>
      </c>
      <c r="F71" s="157">
        <f>+D63*D71</f>
        <v>9324</v>
      </c>
      <c r="G71" s="157">
        <f t="shared" si="6"/>
        <v>9324</v>
      </c>
    </row>
    <row r="72" spans="2:7" x14ac:dyDescent="0.25">
      <c r="B72" s="154" t="s">
        <v>21</v>
      </c>
      <c r="C72" s="160" t="s">
        <v>22</v>
      </c>
      <c r="D72" s="162">
        <v>0.04</v>
      </c>
      <c r="E72" s="154">
        <f t="shared" si="7"/>
        <v>1</v>
      </c>
      <c r="F72" s="157">
        <f>+D63*D72</f>
        <v>72000</v>
      </c>
      <c r="G72" s="157">
        <f t="shared" si="6"/>
        <v>72000</v>
      </c>
    </row>
    <row r="73" spans="2:7" x14ac:dyDescent="0.25">
      <c r="B73" s="154" t="s">
        <v>21</v>
      </c>
      <c r="C73" s="160" t="s">
        <v>23</v>
      </c>
      <c r="D73" s="162">
        <v>0.02</v>
      </c>
      <c r="E73" s="154">
        <f t="shared" si="7"/>
        <v>1</v>
      </c>
      <c r="F73" s="157">
        <f>+D63*D73</f>
        <v>36000</v>
      </c>
      <c r="G73" s="157">
        <f t="shared" si="6"/>
        <v>36000</v>
      </c>
    </row>
    <row r="74" spans="2:7" x14ac:dyDescent="0.25">
      <c r="B74" s="154" t="s">
        <v>21</v>
      </c>
      <c r="C74" s="160" t="s">
        <v>24</v>
      </c>
      <c r="D74" s="162">
        <v>0.02</v>
      </c>
      <c r="E74" s="154">
        <f t="shared" si="7"/>
        <v>1</v>
      </c>
      <c r="F74" s="157">
        <f>+D63*D74</f>
        <v>36000</v>
      </c>
      <c r="G74" s="157">
        <f t="shared" si="6"/>
        <v>36000</v>
      </c>
    </row>
    <row r="75" spans="2:7" x14ac:dyDescent="0.25">
      <c r="F75" s="163" t="s">
        <v>1</v>
      </c>
      <c r="G75" s="163">
        <f>+SUM(G63:G74)</f>
        <v>2818117.9991000001</v>
      </c>
    </row>
    <row r="77" spans="2:7" x14ac:dyDescent="0.25">
      <c r="G77" s="42">
        <f>+G75-G63</f>
        <v>1018117.9991000001</v>
      </c>
    </row>
    <row r="78" spans="2:7" x14ac:dyDescent="0.25">
      <c r="G78" s="58">
        <f>+G77/G63</f>
        <v>0.5656211106111112</v>
      </c>
    </row>
    <row r="79" spans="2:7" x14ac:dyDescent="0.25">
      <c r="B79" s="47" t="s">
        <v>181</v>
      </c>
    </row>
    <row r="80" spans="2:7" x14ac:dyDescent="0.25">
      <c r="B80" s="152" t="s">
        <v>8</v>
      </c>
      <c r="C80" s="152"/>
      <c r="D80" s="152"/>
      <c r="E80" s="152"/>
      <c r="F80" s="152"/>
      <c r="G80" s="152"/>
    </row>
    <row r="81" spans="2:7" x14ac:dyDescent="0.25">
      <c r="B81" s="153" t="s">
        <v>3</v>
      </c>
      <c r="C81" s="56" t="s">
        <v>4</v>
      </c>
      <c r="D81" s="56" t="s">
        <v>5</v>
      </c>
      <c r="E81" s="56" t="s">
        <v>9</v>
      </c>
      <c r="F81" s="56" t="s">
        <v>6</v>
      </c>
      <c r="G81" s="56" t="s">
        <v>7</v>
      </c>
    </row>
    <row r="82" spans="2:7" x14ac:dyDescent="0.25">
      <c r="B82" s="154" t="s">
        <v>10</v>
      </c>
      <c r="C82" s="154" t="s">
        <v>102</v>
      </c>
      <c r="D82" s="155">
        <v>1300000</v>
      </c>
      <c r="E82" s="156">
        <v>1</v>
      </c>
      <c r="F82" s="157">
        <f>D82</f>
        <v>1300000</v>
      </c>
      <c r="G82" s="157">
        <f>+F82*E82</f>
        <v>1300000</v>
      </c>
    </row>
    <row r="83" spans="2:7" x14ac:dyDescent="0.25">
      <c r="B83" s="154" t="s">
        <v>11</v>
      </c>
      <c r="C83" s="154" t="s">
        <v>102</v>
      </c>
      <c r="D83" s="159">
        <v>102854</v>
      </c>
      <c r="E83" s="154">
        <f>+E82</f>
        <v>1</v>
      </c>
      <c r="F83" s="157">
        <f>+D83</f>
        <v>102854</v>
      </c>
      <c r="G83" s="157">
        <f t="shared" ref="G83:G93" si="8">+F83*E83</f>
        <v>102854</v>
      </c>
    </row>
    <row r="84" spans="2:7" x14ac:dyDescent="0.25">
      <c r="B84" s="154" t="s">
        <v>12</v>
      </c>
      <c r="C84" s="160" t="s">
        <v>13</v>
      </c>
      <c r="D84" s="161">
        <v>8.3333332999999996E-2</v>
      </c>
      <c r="E84" s="154">
        <f t="shared" ref="E84:E93" si="9">+E83</f>
        <v>1</v>
      </c>
      <c r="F84" s="157">
        <f>+D82*D84</f>
        <v>108333.33289999999</v>
      </c>
      <c r="G84" s="157">
        <f t="shared" si="8"/>
        <v>108333.33289999999</v>
      </c>
    </row>
    <row r="85" spans="2:7" x14ac:dyDescent="0.25">
      <c r="B85" s="154" t="s">
        <v>12</v>
      </c>
      <c r="C85" s="160" t="s">
        <v>14</v>
      </c>
      <c r="D85" s="161">
        <v>0.01</v>
      </c>
      <c r="E85" s="154">
        <f t="shared" si="9"/>
        <v>1</v>
      </c>
      <c r="F85" s="157">
        <f>+D82*D85</f>
        <v>13000</v>
      </c>
      <c r="G85" s="157">
        <f t="shared" si="8"/>
        <v>13000</v>
      </c>
    </row>
    <row r="86" spans="2:7" x14ac:dyDescent="0.25">
      <c r="B86" s="154" t="s">
        <v>12</v>
      </c>
      <c r="C86" s="160" t="s">
        <v>15</v>
      </c>
      <c r="D86" s="161">
        <v>8.3299999999999999E-2</v>
      </c>
      <c r="E86" s="154">
        <f t="shared" si="9"/>
        <v>1</v>
      </c>
      <c r="F86" s="157">
        <f>+D82*D86</f>
        <v>108290</v>
      </c>
      <c r="G86" s="157">
        <f t="shared" si="8"/>
        <v>108290</v>
      </c>
    </row>
    <row r="87" spans="2:7" x14ac:dyDescent="0.25">
      <c r="B87" s="154" t="s">
        <v>12</v>
      </c>
      <c r="C87" s="160" t="s">
        <v>16</v>
      </c>
      <c r="D87" s="161">
        <f>+D84/2</f>
        <v>4.1666666499999998E-2</v>
      </c>
      <c r="E87" s="154">
        <f t="shared" si="9"/>
        <v>1</v>
      </c>
      <c r="F87" s="157">
        <f>+D82*D87</f>
        <v>54166.666449999997</v>
      </c>
      <c r="G87" s="157">
        <f t="shared" si="8"/>
        <v>54166.666449999997</v>
      </c>
    </row>
    <row r="88" spans="2:7" x14ac:dyDescent="0.25">
      <c r="B88" s="154" t="s">
        <v>17</v>
      </c>
      <c r="C88" s="160" t="s">
        <v>18</v>
      </c>
      <c r="D88" s="161">
        <v>0.12</v>
      </c>
      <c r="E88" s="154">
        <f t="shared" si="9"/>
        <v>1</v>
      </c>
      <c r="F88" s="157">
        <f>+D82*D88</f>
        <v>156000</v>
      </c>
      <c r="G88" s="157">
        <f t="shared" si="8"/>
        <v>156000</v>
      </c>
    </row>
    <row r="89" spans="2:7" x14ac:dyDescent="0.25">
      <c r="B89" s="154" t="s">
        <v>17</v>
      </c>
      <c r="C89" s="160" t="s">
        <v>19</v>
      </c>
      <c r="D89" s="162">
        <v>8.5000000000000006E-2</v>
      </c>
      <c r="E89" s="154">
        <f t="shared" si="9"/>
        <v>1</v>
      </c>
      <c r="F89" s="157">
        <f>+D82*D89</f>
        <v>110500.00000000001</v>
      </c>
      <c r="G89" s="157">
        <f t="shared" si="8"/>
        <v>110500.00000000001</v>
      </c>
    </row>
    <row r="90" spans="2:7" x14ac:dyDescent="0.25">
      <c r="B90" s="154" t="s">
        <v>17</v>
      </c>
      <c r="C90" s="160" t="s">
        <v>20</v>
      </c>
      <c r="D90" s="162">
        <v>5.1799999999999997E-3</v>
      </c>
      <c r="E90" s="154">
        <f t="shared" si="9"/>
        <v>1</v>
      </c>
      <c r="F90" s="157">
        <f>+D82*D90</f>
        <v>6734</v>
      </c>
      <c r="G90" s="157">
        <f t="shared" si="8"/>
        <v>6734</v>
      </c>
    </row>
    <row r="91" spans="2:7" x14ac:dyDescent="0.25">
      <c r="B91" s="154" t="s">
        <v>21</v>
      </c>
      <c r="C91" s="160" t="s">
        <v>22</v>
      </c>
      <c r="D91" s="162">
        <v>0.04</v>
      </c>
      <c r="E91" s="154">
        <f t="shared" si="9"/>
        <v>1</v>
      </c>
      <c r="F91" s="157">
        <f>+D82*D91</f>
        <v>52000</v>
      </c>
      <c r="G91" s="157">
        <f t="shared" si="8"/>
        <v>52000</v>
      </c>
    </row>
    <row r="92" spans="2:7" x14ac:dyDescent="0.25">
      <c r="B92" s="154" t="s">
        <v>21</v>
      </c>
      <c r="C92" s="160" t="s">
        <v>23</v>
      </c>
      <c r="D92" s="162">
        <v>0.02</v>
      </c>
      <c r="E92" s="154">
        <f t="shared" si="9"/>
        <v>1</v>
      </c>
      <c r="F92" s="157">
        <f>+D82*D92</f>
        <v>26000</v>
      </c>
      <c r="G92" s="157">
        <f t="shared" si="8"/>
        <v>26000</v>
      </c>
    </row>
    <row r="93" spans="2:7" x14ac:dyDescent="0.25">
      <c r="B93" s="154" t="s">
        <v>21</v>
      </c>
      <c r="C93" s="160" t="s">
        <v>24</v>
      </c>
      <c r="D93" s="162">
        <v>0.02</v>
      </c>
      <c r="E93" s="154">
        <f t="shared" si="9"/>
        <v>1</v>
      </c>
      <c r="F93" s="157">
        <f>+D82*D93</f>
        <v>26000</v>
      </c>
      <c r="G93" s="157">
        <f t="shared" si="8"/>
        <v>26000</v>
      </c>
    </row>
    <row r="94" spans="2:7" x14ac:dyDescent="0.25">
      <c r="F94" s="163" t="s">
        <v>1</v>
      </c>
      <c r="G94" s="163">
        <f>+SUM(G82:G93)</f>
        <v>2063877.9993499999</v>
      </c>
    </row>
    <row r="96" spans="2:7" x14ac:dyDescent="0.25">
      <c r="G96" s="42">
        <f>+G94-G82</f>
        <v>763877.99934999994</v>
      </c>
    </row>
    <row r="97" spans="7:7" x14ac:dyDescent="0.25">
      <c r="G97" s="58">
        <f>+G96/G82</f>
        <v>0.58759846103846147</v>
      </c>
    </row>
  </sheetData>
  <mergeCells count="5">
    <mergeCell ref="B3:G3"/>
    <mergeCell ref="B22:G22"/>
    <mergeCell ref="B42:G42"/>
    <mergeCell ref="B61:G61"/>
    <mergeCell ref="B80:G80"/>
  </mergeCells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6909A-6F77-4CC6-B8DB-32F1B5BB7EBA}">
  <sheetPr>
    <tabColor rgb="FF92D050"/>
  </sheetPr>
  <dimension ref="B1:L41"/>
  <sheetViews>
    <sheetView showGridLines="0" zoomScale="85" zoomScaleNormal="85" workbookViewId="0">
      <selection activeCell="D7" sqref="D7"/>
    </sheetView>
  </sheetViews>
  <sheetFormatPr defaultRowHeight="13.8" x14ac:dyDescent="0.25"/>
  <cols>
    <col min="1" max="1" width="8.88671875" style="36"/>
    <col min="2" max="2" width="8.77734375" style="149"/>
    <col min="3" max="3" width="16.33203125" style="36" bestFit="1" customWidth="1"/>
    <col min="4" max="4" width="46.77734375" style="36" customWidth="1"/>
    <col min="5" max="5" width="16.88671875" style="36" bestFit="1" customWidth="1"/>
    <col min="6" max="6" width="14.5546875" style="106" bestFit="1" customWidth="1"/>
    <col min="7" max="7" width="14.6640625" style="57" bestFit="1" customWidth="1"/>
    <col min="8" max="9" width="8.88671875" style="36"/>
    <col min="10" max="10" width="32.88671875" style="150" bestFit="1" customWidth="1"/>
    <col min="11" max="11" width="9.77734375" style="150" bestFit="1" customWidth="1"/>
    <col min="12" max="12" width="15.6640625" style="150" bestFit="1" customWidth="1"/>
    <col min="13" max="16384" width="8.88671875" style="36"/>
  </cols>
  <sheetData>
    <row r="1" spans="2:12" ht="14.4" thickBot="1" x14ac:dyDescent="0.3">
      <c r="K1" s="151">
        <v>20</v>
      </c>
      <c r="L1" s="151">
        <v>10</v>
      </c>
    </row>
    <row r="2" spans="2:12" ht="16.2" thickBot="1" x14ac:dyDescent="0.3">
      <c r="B2" s="55" t="s">
        <v>113</v>
      </c>
      <c r="C2" s="55" t="s">
        <v>111</v>
      </c>
      <c r="D2" s="55" t="s">
        <v>106</v>
      </c>
      <c r="E2" s="55" t="s">
        <v>107</v>
      </c>
      <c r="F2" s="105" t="s">
        <v>4</v>
      </c>
      <c r="G2" s="105" t="s">
        <v>108</v>
      </c>
      <c r="J2" s="1" t="s">
        <v>114</v>
      </c>
      <c r="K2" s="4" t="s">
        <v>131</v>
      </c>
      <c r="L2" s="4" t="s">
        <v>132</v>
      </c>
    </row>
    <row r="3" spans="2:12" ht="16.2" thickBot="1" x14ac:dyDescent="0.3">
      <c r="B3" s="149">
        <v>1</v>
      </c>
      <c r="C3" s="36" t="s">
        <v>112</v>
      </c>
      <c r="D3" s="36" t="s">
        <v>233</v>
      </c>
      <c r="E3" s="57">
        <v>500000</v>
      </c>
      <c r="F3" s="149">
        <v>20</v>
      </c>
      <c r="G3" s="57">
        <f>+E3*F3</f>
        <v>10000000</v>
      </c>
      <c r="H3" s="57"/>
      <c r="J3" s="2" t="s">
        <v>133</v>
      </c>
      <c r="K3" s="5" t="s">
        <v>134</v>
      </c>
      <c r="L3" s="6"/>
    </row>
    <row r="4" spans="2:12" ht="16.2" thickBot="1" x14ac:dyDescent="0.3">
      <c r="B4" s="149">
        <v>2</v>
      </c>
      <c r="C4" s="36" t="s">
        <v>112</v>
      </c>
      <c r="D4" s="36" t="s">
        <v>135</v>
      </c>
      <c r="E4" s="57">
        <v>700000</v>
      </c>
      <c r="F4" s="149">
        <v>10</v>
      </c>
      <c r="G4" s="57">
        <f t="shared" ref="G4:G19" si="0">+E4*F4</f>
        <v>7000000</v>
      </c>
      <c r="H4" s="57"/>
      <c r="J4" s="3" t="s">
        <v>135</v>
      </c>
      <c r="K4" s="7"/>
      <c r="L4" s="7" t="s">
        <v>134</v>
      </c>
    </row>
    <row r="5" spans="2:12" ht="16.2" thickBot="1" x14ac:dyDescent="0.3">
      <c r="B5" s="149">
        <v>3</v>
      </c>
      <c r="C5" s="36" t="s">
        <v>112</v>
      </c>
      <c r="D5" s="36" t="s">
        <v>136</v>
      </c>
      <c r="E5" s="57">
        <v>100000</v>
      </c>
      <c r="F5" s="149">
        <v>10</v>
      </c>
      <c r="G5" s="57">
        <f t="shared" si="0"/>
        <v>1000000</v>
      </c>
      <c r="H5" s="57"/>
      <c r="J5" s="2" t="s">
        <v>136</v>
      </c>
      <c r="K5" s="6"/>
      <c r="L5" s="5" t="s">
        <v>134</v>
      </c>
    </row>
    <row r="6" spans="2:12" ht="16.2" thickBot="1" x14ac:dyDescent="0.3">
      <c r="B6" s="149">
        <v>4</v>
      </c>
      <c r="C6" s="36" t="s">
        <v>112</v>
      </c>
      <c r="D6" s="36" t="s">
        <v>234</v>
      </c>
      <c r="E6" s="57">
        <v>400000</v>
      </c>
      <c r="F6" s="149">
        <v>30</v>
      </c>
      <c r="G6" s="57">
        <f t="shared" si="0"/>
        <v>12000000</v>
      </c>
      <c r="J6" s="3" t="s">
        <v>137</v>
      </c>
      <c r="K6" s="7" t="s">
        <v>134</v>
      </c>
      <c r="L6" s="7" t="s">
        <v>134</v>
      </c>
    </row>
    <row r="7" spans="2:12" ht="16.2" thickBot="1" x14ac:dyDescent="0.3">
      <c r="B7" s="149">
        <v>5</v>
      </c>
      <c r="C7" s="36" t="s">
        <v>112</v>
      </c>
      <c r="D7" s="36" t="s">
        <v>144</v>
      </c>
      <c r="E7" s="57">
        <v>300000</v>
      </c>
      <c r="F7" s="149">
        <v>30</v>
      </c>
      <c r="G7" s="57">
        <f t="shared" si="0"/>
        <v>9000000</v>
      </c>
      <c r="J7" s="2" t="s">
        <v>138</v>
      </c>
      <c r="K7" s="5" t="s">
        <v>134</v>
      </c>
      <c r="L7" s="5" t="s">
        <v>134</v>
      </c>
    </row>
    <row r="8" spans="2:12" ht="16.2" thickBot="1" x14ac:dyDescent="0.3">
      <c r="B8" s="149">
        <v>6</v>
      </c>
      <c r="C8" s="36" t="s">
        <v>112</v>
      </c>
      <c r="D8" s="36" t="s">
        <v>139</v>
      </c>
      <c r="E8" s="57">
        <v>50000</v>
      </c>
      <c r="F8" s="149">
        <v>30</v>
      </c>
      <c r="G8" s="57">
        <f t="shared" si="0"/>
        <v>1500000</v>
      </c>
      <c r="J8" s="3" t="s">
        <v>139</v>
      </c>
      <c r="K8" s="7" t="s">
        <v>134</v>
      </c>
      <c r="L8" s="7" t="s">
        <v>134</v>
      </c>
    </row>
    <row r="9" spans="2:12" ht="16.2" thickBot="1" x14ac:dyDescent="0.3">
      <c r="B9" s="149">
        <v>7</v>
      </c>
      <c r="C9" s="36" t="s">
        <v>112</v>
      </c>
      <c r="D9" s="36" t="s">
        <v>140</v>
      </c>
      <c r="E9" s="57">
        <v>700000</v>
      </c>
      <c r="F9" s="149">
        <v>10</v>
      </c>
      <c r="G9" s="57">
        <f t="shared" si="0"/>
        <v>7000000</v>
      </c>
      <c r="J9" s="2" t="s">
        <v>140</v>
      </c>
      <c r="K9" s="6"/>
      <c r="L9" s="5" t="s">
        <v>134</v>
      </c>
    </row>
    <row r="10" spans="2:12" ht="16.2" thickBot="1" x14ac:dyDescent="0.3">
      <c r="B10" s="149">
        <v>8</v>
      </c>
      <c r="C10" s="36" t="s">
        <v>112</v>
      </c>
      <c r="D10" s="36" t="s">
        <v>141</v>
      </c>
      <c r="E10" s="57">
        <v>4000000</v>
      </c>
      <c r="F10" s="149">
        <v>10</v>
      </c>
      <c r="G10" s="57">
        <f t="shared" si="0"/>
        <v>40000000</v>
      </c>
      <c r="J10" s="3" t="s">
        <v>141</v>
      </c>
      <c r="K10" s="7" t="s">
        <v>134</v>
      </c>
      <c r="L10" s="7" t="s">
        <v>134</v>
      </c>
    </row>
    <row r="11" spans="2:12" ht="16.2" thickBot="1" x14ac:dyDescent="0.3">
      <c r="B11" s="149">
        <v>9</v>
      </c>
      <c r="C11" s="36" t="s">
        <v>112</v>
      </c>
      <c r="D11" s="36" t="s">
        <v>142</v>
      </c>
      <c r="E11" s="57">
        <v>4000000</v>
      </c>
      <c r="F11" s="149">
        <v>10</v>
      </c>
      <c r="G11" s="57">
        <f t="shared" si="0"/>
        <v>40000000</v>
      </c>
      <c r="J11" s="2" t="s">
        <v>142</v>
      </c>
      <c r="K11" s="6"/>
      <c r="L11" s="5" t="s">
        <v>134</v>
      </c>
    </row>
    <row r="12" spans="2:12" ht="16.2" thickBot="1" x14ac:dyDescent="0.3">
      <c r="B12" s="149">
        <v>10</v>
      </c>
      <c r="C12" s="36" t="s">
        <v>112</v>
      </c>
      <c r="D12" s="36" t="s">
        <v>143</v>
      </c>
      <c r="E12" s="57">
        <v>4000000</v>
      </c>
      <c r="F12" s="149">
        <v>10</v>
      </c>
      <c r="G12" s="57">
        <f t="shared" si="0"/>
        <v>40000000</v>
      </c>
      <c r="J12" s="3" t="s">
        <v>143</v>
      </c>
      <c r="K12" s="7"/>
      <c r="L12" s="7" t="s">
        <v>134</v>
      </c>
    </row>
    <row r="13" spans="2:12" x14ac:dyDescent="0.25">
      <c r="B13" s="149">
        <f>+B12+1</f>
        <v>11</v>
      </c>
      <c r="C13" s="36" t="s">
        <v>112</v>
      </c>
      <c r="D13" s="36" t="s">
        <v>235</v>
      </c>
      <c r="E13" s="57">
        <v>100000000</v>
      </c>
      <c r="F13" s="149">
        <v>1</v>
      </c>
      <c r="G13" s="57">
        <f t="shared" si="0"/>
        <v>100000000</v>
      </c>
    </row>
    <row r="14" spans="2:12" x14ac:dyDescent="0.25">
      <c r="B14" s="149">
        <f t="shared" ref="B14:B18" si="1">+B13+1</f>
        <v>12</v>
      </c>
      <c r="C14" s="36" t="s">
        <v>112</v>
      </c>
      <c r="D14" s="36" t="s">
        <v>121</v>
      </c>
      <c r="E14" s="57">
        <v>15000000</v>
      </c>
      <c r="F14" s="149">
        <v>1</v>
      </c>
      <c r="G14" s="57">
        <f t="shared" si="0"/>
        <v>15000000</v>
      </c>
    </row>
    <row r="15" spans="2:12" x14ac:dyDescent="0.25">
      <c r="B15" s="149">
        <f t="shared" si="1"/>
        <v>13</v>
      </c>
      <c r="C15" s="36" t="s">
        <v>112</v>
      </c>
      <c r="D15" s="36" t="s">
        <v>122</v>
      </c>
      <c r="E15" s="57">
        <v>20000000</v>
      </c>
      <c r="F15" s="149">
        <v>1</v>
      </c>
      <c r="G15" s="57">
        <f t="shared" si="0"/>
        <v>20000000</v>
      </c>
    </row>
    <row r="16" spans="2:12" x14ac:dyDescent="0.25">
      <c r="B16" s="149">
        <f t="shared" si="1"/>
        <v>14</v>
      </c>
      <c r="C16" s="36" t="s">
        <v>112</v>
      </c>
      <c r="D16" s="36" t="s">
        <v>123</v>
      </c>
      <c r="E16" s="57">
        <v>20000000</v>
      </c>
      <c r="F16" s="149">
        <v>1</v>
      </c>
      <c r="G16" s="57">
        <f t="shared" si="0"/>
        <v>20000000</v>
      </c>
    </row>
    <row r="17" spans="2:12" x14ac:dyDescent="0.25">
      <c r="B17" s="149">
        <f t="shared" si="1"/>
        <v>15</v>
      </c>
      <c r="C17" s="36" t="s">
        <v>112</v>
      </c>
      <c r="D17" s="36" t="s">
        <v>124</v>
      </c>
      <c r="E17" s="57">
        <v>10000000</v>
      </c>
      <c r="F17" s="149">
        <v>1</v>
      </c>
      <c r="G17" s="57">
        <f t="shared" si="0"/>
        <v>10000000</v>
      </c>
    </row>
    <row r="18" spans="2:12" x14ac:dyDescent="0.25">
      <c r="B18" s="149">
        <f t="shared" si="1"/>
        <v>16</v>
      </c>
      <c r="C18" s="36" t="s">
        <v>112</v>
      </c>
      <c r="D18" s="36" t="s">
        <v>149</v>
      </c>
      <c r="E18" s="57">
        <v>15000000</v>
      </c>
      <c r="F18" s="149">
        <v>1</v>
      </c>
      <c r="G18" s="57">
        <f t="shared" si="0"/>
        <v>15000000</v>
      </c>
    </row>
    <row r="19" spans="2:12" x14ac:dyDescent="0.25">
      <c r="B19" s="149">
        <f>+B18+1</f>
        <v>17</v>
      </c>
      <c r="C19" s="36" t="s">
        <v>112</v>
      </c>
      <c r="D19" s="36" t="s">
        <v>129</v>
      </c>
      <c r="E19" s="57">
        <v>10000000</v>
      </c>
      <c r="F19" s="149">
        <v>1</v>
      </c>
      <c r="G19" s="57">
        <f t="shared" si="0"/>
        <v>10000000</v>
      </c>
    </row>
    <row r="20" spans="2:12" x14ac:dyDescent="0.25">
      <c r="E20" s="57"/>
      <c r="F20" s="149"/>
    </row>
    <row r="21" spans="2:12" x14ac:dyDescent="0.25">
      <c r="E21" s="57"/>
      <c r="F21" s="149"/>
    </row>
    <row r="22" spans="2:12" x14ac:dyDescent="0.25">
      <c r="B22" s="55"/>
      <c r="C22" s="47" t="s">
        <v>1</v>
      </c>
      <c r="D22" s="47"/>
      <c r="E22" s="68"/>
      <c r="F22" s="55"/>
      <c r="G22" s="68">
        <f>SUBTOTAL(109,G3:G19)</f>
        <v>357500000</v>
      </c>
    </row>
    <row r="23" spans="2:12" x14ac:dyDescent="0.25">
      <c r="E23" s="57"/>
      <c r="F23" s="149"/>
    </row>
    <row r="24" spans="2:12" x14ac:dyDescent="0.25">
      <c r="E24" s="57"/>
      <c r="F24" s="149"/>
    </row>
    <row r="26" spans="2:12" x14ac:dyDescent="0.25">
      <c r="B26" s="55" t="s">
        <v>113</v>
      </c>
      <c r="C26" s="55" t="s">
        <v>111</v>
      </c>
      <c r="D26" s="55" t="s">
        <v>106</v>
      </c>
      <c r="E26" s="55" t="s">
        <v>107</v>
      </c>
      <c r="F26" s="105" t="s">
        <v>4</v>
      </c>
      <c r="G26" s="105" t="s">
        <v>108</v>
      </c>
    </row>
    <row r="27" spans="2:12" ht="14.4" thickBot="1" x14ac:dyDescent="0.3">
      <c r="B27" s="149">
        <v>1</v>
      </c>
      <c r="C27" s="36" t="s">
        <v>110</v>
      </c>
      <c r="D27" s="36" t="s">
        <v>116</v>
      </c>
      <c r="E27" s="57">
        <v>30000000</v>
      </c>
      <c r="F27" s="149">
        <v>2</v>
      </c>
      <c r="G27" s="57">
        <f>+E27*F27</f>
        <v>60000000</v>
      </c>
    </row>
    <row r="28" spans="2:12" ht="16.2" thickBot="1" x14ac:dyDescent="0.3">
      <c r="B28" s="149">
        <v>2</v>
      </c>
      <c r="C28" s="36" t="s">
        <v>110</v>
      </c>
      <c r="D28" s="36" t="s">
        <v>118</v>
      </c>
      <c r="E28" s="57">
        <v>15000000</v>
      </c>
      <c r="F28" s="149">
        <v>2</v>
      </c>
      <c r="G28" s="57">
        <f t="shared" ref="G28:G30" si="2">+E28*F28</f>
        <v>30000000</v>
      </c>
      <c r="J28" s="1" t="s">
        <v>114</v>
      </c>
      <c r="K28" s="4" t="s">
        <v>4</v>
      </c>
      <c r="L28" s="4" t="s">
        <v>115</v>
      </c>
    </row>
    <row r="29" spans="2:12" ht="16.2" thickBot="1" x14ac:dyDescent="0.3">
      <c r="B29" s="149">
        <v>3</v>
      </c>
      <c r="C29" s="36" t="s">
        <v>110</v>
      </c>
      <c r="D29" s="36" t="s">
        <v>150</v>
      </c>
      <c r="E29" s="57">
        <v>100000000</v>
      </c>
      <c r="F29" s="149">
        <v>1</v>
      </c>
      <c r="G29" s="57">
        <f t="shared" si="2"/>
        <v>100000000</v>
      </c>
      <c r="J29" s="2" t="s">
        <v>116</v>
      </c>
      <c r="K29" s="5">
        <v>2</v>
      </c>
      <c r="L29" s="5" t="s">
        <v>117</v>
      </c>
    </row>
    <row r="30" spans="2:12" ht="16.2" thickBot="1" x14ac:dyDescent="0.3">
      <c r="B30" s="149">
        <v>9</v>
      </c>
      <c r="C30" s="36" t="s">
        <v>110</v>
      </c>
      <c r="D30" s="36" t="s">
        <v>125</v>
      </c>
      <c r="E30" s="57">
        <v>70000000</v>
      </c>
      <c r="F30" s="149">
        <v>1</v>
      </c>
      <c r="G30" s="57">
        <f t="shared" si="2"/>
        <v>70000000</v>
      </c>
      <c r="J30" s="3" t="s">
        <v>118</v>
      </c>
      <c r="K30" s="7">
        <v>2</v>
      </c>
      <c r="L30" s="7" t="s">
        <v>117</v>
      </c>
    </row>
    <row r="31" spans="2:12" ht="16.2" thickBot="1" x14ac:dyDescent="0.3">
      <c r="J31" s="2" t="s">
        <v>119</v>
      </c>
      <c r="K31" s="5">
        <v>25</v>
      </c>
      <c r="L31" s="5" t="s">
        <v>117</v>
      </c>
    </row>
    <row r="32" spans="2:12" ht="16.2" thickBot="1" x14ac:dyDescent="0.3">
      <c r="C32" s="47" t="s">
        <v>1</v>
      </c>
      <c r="D32" s="47"/>
      <c r="E32" s="47"/>
      <c r="F32" s="105"/>
      <c r="G32" s="68">
        <f>SUM(G27:G31)</f>
        <v>260000000</v>
      </c>
      <c r="J32" s="3" t="s">
        <v>120</v>
      </c>
      <c r="K32" s="7">
        <v>1</v>
      </c>
      <c r="L32" s="7" t="s">
        <v>117</v>
      </c>
    </row>
    <row r="33" spans="10:12" ht="16.2" thickBot="1" x14ac:dyDescent="0.3">
      <c r="J33" s="2" t="s">
        <v>121</v>
      </c>
      <c r="K33" s="5">
        <v>1</v>
      </c>
      <c r="L33" s="5" t="s">
        <v>117</v>
      </c>
    </row>
    <row r="34" spans="10:12" ht="16.2" thickBot="1" x14ac:dyDescent="0.3">
      <c r="J34" s="3" t="s">
        <v>122</v>
      </c>
      <c r="K34" s="7">
        <v>1</v>
      </c>
      <c r="L34" s="7" t="s">
        <v>117</v>
      </c>
    </row>
    <row r="35" spans="10:12" ht="16.2" thickBot="1" x14ac:dyDescent="0.3">
      <c r="J35" s="2" t="s">
        <v>123</v>
      </c>
      <c r="K35" s="5">
        <v>1</v>
      </c>
      <c r="L35" s="5" t="s">
        <v>117</v>
      </c>
    </row>
    <row r="36" spans="10:12" ht="16.2" thickBot="1" x14ac:dyDescent="0.3">
      <c r="J36" s="3" t="s">
        <v>124</v>
      </c>
      <c r="K36" s="7">
        <v>1</v>
      </c>
      <c r="L36" s="7" t="s">
        <v>117</v>
      </c>
    </row>
    <row r="37" spans="10:12" ht="16.2" thickBot="1" x14ac:dyDescent="0.3">
      <c r="J37" s="2" t="s">
        <v>125</v>
      </c>
      <c r="K37" s="5">
        <v>1</v>
      </c>
      <c r="L37" s="5" t="s">
        <v>291</v>
      </c>
    </row>
    <row r="38" spans="10:12" ht="16.2" thickBot="1" x14ac:dyDescent="0.3">
      <c r="J38" s="3" t="s">
        <v>126</v>
      </c>
      <c r="K38" s="7">
        <v>1</v>
      </c>
      <c r="L38" s="7" t="s">
        <v>117</v>
      </c>
    </row>
    <row r="39" spans="10:12" ht="16.2" thickBot="1" x14ac:dyDescent="0.3">
      <c r="J39" s="2" t="s">
        <v>127</v>
      </c>
      <c r="K39" s="5">
        <v>1</v>
      </c>
      <c r="L39" s="5" t="s">
        <v>128</v>
      </c>
    </row>
    <row r="40" spans="10:12" ht="16.2" thickBot="1" x14ac:dyDescent="0.3">
      <c r="J40" s="3" t="s">
        <v>129</v>
      </c>
      <c r="K40" s="7">
        <v>1</v>
      </c>
      <c r="L40" s="7" t="s">
        <v>117</v>
      </c>
    </row>
    <row r="41" spans="10:12" ht="16.2" thickBot="1" x14ac:dyDescent="0.3">
      <c r="J41" s="2" t="s">
        <v>130</v>
      </c>
      <c r="K41" s="5">
        <v>1</v>
      </c>
      <c r="L41" s="5" t="s">
        <v>128</v>
      </c>
    </row>
  </sheetData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24A46-FD98-4B26-AEA0-529971C58C9B}">
  <sheetPr>
    <tabColor rgb="FF92D050"/>
  </sheetPr>
  <dimension ref="B2:E15"/>
  <sheetViews>
    <sheetView showGridLines="0" zoomScaleNormal="100" workbookViewId="0">
      <selection activeCell="C13" sqref="C13"/>
    </sheetView>
  </sheetViews>
  <sheetFormatPr defaultRowHeight="13.8" x14ac:dyDescent="0.25"/>
  <cols>
    <col min="1" max="2" width="8.88671875" style="36"/>
    <col min="3" max="3" width="46.77734375" style="36" customWidth="1"/>
    <col min="4" max="4" width="16.109375" style="57" bestFit="1" customWidth="1"/>
    <col min="5" max="16384" width="8.88671875" style="36"/>
  </cols>
  <sheetData>
    <row r="2" spans="2:5" x14ac:dyDescent="0.25">
      <c r="B2" s="147" t="s">
        <v>113</v>
      </c>
      <c r="C2" s="147" t="s">
        <v>106</v>
      </c>
      <c r="D2" s="148" t="s">
        <v>107</v>
      </c>
    </row>
    <row r="3" spans="2:5" x14ac:dyDescent="0.25">
      <c r="B3" s="149">
        <v>1</v>
      </c>
      <c r="C3" s="36" t="s">
        <v>109</v>
      </c>
      <c r="D3" s="57">
        <v>500000000</v>
      </c>
      <c r="E3" s="57"/>
    </row>
    <row r="4" spans="2:5" x14ac:dyDescent="0.25">
      <c r="B4" s="149">
        <v>2</v>
      </c>
      <c r="C4" s="36" t="s">
        <v>105</v>
      </c>
      <c r="D4" s="57">
        <v>1500000000</v>
      </c>
      <c r="E4" s="57"/>
    </row>
    <row r="5" spans="2:5" x14ac:dyDescent="0.25">
      <c r="B5" s="149">
        <v>3</v>
      </c>
      <c r="C5" s="36" t="s">
        <v>155</v>
      </c>
      <c r="D5" s="57">
        <f>+'3 Estudio Tecnico II'!G32</f>
        <v>260000000</v>
      </c>
      <c r="E5" s="57"/>
    </row>
    <row r="6" spans="2:5" x14ac:dyDescent="0.25">
      <c r="B6" s="149">
        <v>4</v>
      </c>
      <c r="C6" s="36" t="s">
        <v>156</v>
      </c>
      <c r="D6" s="57">
        <f>+'3 Estudio Tecnico II'!G22</f>
        <v>357500000</v>
      </c>
    </row>
    <row r="7" spans="2:5" x14ac:dyDescent="0.25">
      <c r="B7" s="149">
        <v>5</v>
      </c>
      <c r="C7" s="36" t="s">
        <v>146</v>
      </c>
      <c r="D7" s="57">
        <v>102500000</v>
      </c>
    </row>
    <row r="8" spans="2:5" x14ac:dyDescent="0.25">
      <c r="B8" s="149">
        <v>6</v>
      </c>
      <c r="C8" s="36" t="s">
        <v>261</v>
      </c>
      <c r="D8" s="57">
        <v>80000000</v>
      </c>
    </row>
    <row r="9" spans="2:5" x14ac:dyDescent="0.25">
      <c r="B9" s="149">
        <v>7</v>
      </c>
      <c r="C9" s="36" t="s">
        <v>154</v>
      </c>
      <c r="D9" s="57">
        <v>100000000</v>
      </c>
    </row>
    <row r="11" spans="2:5" x14ac:dyDescent="0.25">
      <c r="B11" s="55" t="s">
        <v>108</v>
      </c>
      <c r="C11" s="47"/>
      <c r="D11" s="68">
        <f>SUM(D3:D9)</f>
        <v>2900000000</v>
      </c>
    </row>
    <row r="13" spans="2:5" x14ac:dyDescent="0.25">
      <c r="C13" s="36" t="s">
        <v>145</v>
      </c>
      <c r="D13" s="57">
        <f>+'1 Financiacion'!G2</f>
        <v>2900000000</v>
      </c>
    </row>
    <row r="15" spans="2:5" x14ac:dyDescent="0.25">
      <c r="C15" s="36" t="s">
        <v>147</v>
      </c>
      <c r="D15" s="108">
        <f>+D13-D11</f>
        <v>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M24"/>
  <sheetViews>
    <sheetView showGridLines="0" zoomScale="70" zoomScaleNormal="70" workbookViewId="0">
      <selection sqref="A1:XFD1048576"/>
    </sheetView>
  </sheetViews>
  <sheetFormatPr defaultColWidth="11.44140625" defaultRowHeight="13.8" x14ac:dyDescent="0.25"/>
  <cols>
    <col min="1" max="1" width="11.44140625" style="39"/>
    <col min="2" max="2" width="62.109375" style="36" bestFit="1" customWidth="1"/>
    <col min="3" max="3" width="20.33203125" style="36" bestFit="1" customWidth="1"/>
    <col min="4" max="13" width="15.44140625" style="36" customWidth="1"/>
    <col min="14" max="16384" width="11.44140625" style="36"/>
  </cols>
  <sheetData>
    <row r="1" spans="1:13" x14ac:dyDescent="0.25">
      <c r="A1" s="41" t="s">
        <v>101</v>
      </c>
    </row>
    <row r="2" spans="1:13" ht="16.2" thickBot="1" x14ac:dyDescent="0.35">
      <c r="B2" s="136"/>
      <c r="C2" s="137">
        <f>+'7 Informacion Base'!D1</f>
        <v>2021</v>
      </c>
      <c r="D2" s="137">
        <f>+'7 Informacion Base'!E1</f>
        <v>2022</v>
      </c>
      <c r="E2" s="137">
        <f>+'7 Informacion Base'!F1</f>
        <v>2023</v>
      </c>
      <c r="F2" s="137">
        <f>+'7 Informacion Base'!G1</f>
        <v>2024</v>
      </c>
      <c r="G2" s="137">
        <f>+'7 Informacion Base'!H1</f>
        <v>2025</v>
      </c>
      <c r="H2" s="137">
        <f>+'7 Informacion Base'!I1</f>
        <v>2026</v>
      </c>
      <c r="I2" s="137">
        <f>+'7 Informacion Base'!J1</f>
        <v>2027</v>
      </c>
      <c r="J2" s="137">
        <f>+'7 Informacion Base'!K1</f>
        <v>2028</v>
      </c>
      <c r="K2" s="137">
        <f>+'7 Informacion Base'!L1</f>
        <v>2029</v>
      </c>
      <c r="L2" s="137">
        <f>+'7 Informacion Base'!M1</f>
        <v>2030</v>
      </c>
      <c r="M2" s="137">
        <f>+'7 Informacion Base'!N1</f>
        <v>2031</v>
      </c>
    </row>
    <row r="3" spans="1:13" x14ac:dyDescent="0.25">
      <c r="B3" s="138"/>
      <c r="C3" s="138"/>
      <c r="D3" s="138"/>
      <c r="E3" s="138"/>
      <c r="F3" s="138"/>
      <c r="G3" s="138"/>
      <c r="H3" s="138"/>
      <c r="I3" s="138"/>
    </row>
    <row r="4" spans="1:13" x14ac:dyDescent="0.25">
      <c r="A4" s="39" t="s">
        <v>100</v>
      </c>
      <c r="B4" s="139" t="s">
        <v>98</v>
      </c>
      <c r="C4" s="140">
        <f>+'7 Informacion Base'!D3</f>
        <v>2.5000000000000001E-2</v>
      </c>
      <c r="D4" s="140">
        <f>+'7 Informacion Base'!E3</f>
        <v>0.03</v>
      </c>
      <c r="E4" s="140">
        <f>+'7 Informacion Base'!F3</f>
        <v>0.03</v>
      </c>
      <c r="F4" s="140">
        <f>+'7 Informacion Base'!G3</f>
        <v>0.03</v>
      </c>
      <c r="G4" s="140">
        <f>+'7 Informacion Base'!H3</f>
        <v>0.03</v>
      </c>
      <c r="H4" s="140">
        <f>+'7 Informacion Base'!I3</f>
        <v>0.03</v>
      </c>
      <c r="I4" s="140">
        <f>+'7 Informacion Base'!J3</f>
        <v>0.03</v>
      </c>
      <c r="J4" s="140">
        <f>+'7 Informacion Base'!K3</f>
        <v>0.03</v>
      </c>
      <c r="K4" s="140">
        <f>+'7 Informacion Base'!L3</f>
        <v>0.03</v>
      </c>
      <c r="L4" s="140">
        <f>+'7 Informacion Base'!M3</f>
        <v>0.03</v>
      </c>
      <c r="M4" s="140">
        <f>+'7 Informacion Base'!N3</f>
        <v>0.03</v>
      </c>
    </row>
    <row r="6" spans="1:13" x14ac:dyDescent="0.25">
      <c r="B6" s="47" t="s">
        <v>27</v>
      </c>
    </row>
    <row r="7" spans="1:13" x14ac:dyDescent="0.25">
      <c r="B7" s="36" t="s">
        <v>28</v>
      </c>
      <c r="I7" s="46">
        <f>+I8/H8</f>
        <v>1</v>
      </c>
    </row>
    <row r="8" spans="1:13" s="47" customFormat="1" x14ac:dyDescent="0.25">
      <c r="A8" s="41" t="s">
        <v>100</v>
      </c>
      <c r="B8" s="47" t="s">
        <v>29</v>
      </c>
      <c r="C8" s="141">
        <f>+C9+C10+(C10*C9)</f>
        <v>0.10187500000000001</v>
      </c>
      <c r="D8" s="76">
        <f t="shared" ref="D8:M8" si="0">+D9+D10+(D10*D9)</f>
        <v>0.12269999999999999</v>
      </c>
      <c r="E8" s="76">
        <f t="shared" si="0"/>
        <v>0.12269999999999999</v>
      </c>
      <c r="F8" s="76">
        <f t="shared" si="0"/>
        <v>0.12269999999999999</v>
      </c>
      <c r="G8" s="76">
        <f t="shared" si="0"/>
        <v>0.12269999999999999</v>
      </c>
      <c r="H8" s="76">
        <f t="shared" si="0"/>
        <v>0.12269999999999999</v>
      </c>
      <c r="I8" s="76">
        <f t="shared" si="0"/>
        <v>0.12269999999999999</v>
      </c>
      <c r="J8" s="76">
        <f t="shared" si="0"/>
        <v>0.12269999999999999</v>
      </c>
      <c r="K8" s="76">
        <f t="shared" si="0"/>
        <v>0.12269999999999999</v>
      </c>
      <c r="L8" s="76">
        <f t="shared" si="0"/>
        <v>0.12269999999999999</v>
      </c>
      <c r="M8" s="76">
        <f t="shared" si="0"/>
        <v>0.12269999999999999</v>
      </c>
    </row>
    <row r="9" spans="1:13" x14ac:dyDescent="0.25">
      <c r="A9" s="39" t="s">
        <v>100</v>
      </c>
      <c r="B9" s="36" t="s">
        <v>30</v>
      </c>
      <c r="C9" s="142">
        <f>+C4</f>
        <v>2.5000000000000001E-2</v>
      </c>
      <c r="D9" s="142">
        <f t="shared" ref="D9:M9" si="1">+D4</f>
        <v>0.03</v>
      </c>
      <c r="E9" s="142">
        <f t="shared" si="1"/>
        <v>0.03</v>
      </c>
      <c r="F9" s="142">
        <f t="shared" si="1"/>
        <v>0.03</v>
      </c>
      <c r="G9" s="142">
        <f t="shared" si="1"/>
        <v>0.03</v>
      </c>
      <c r="H9" s="142">
        <f t="shared" si="1"/>
        <v>0.03</v>
      </c>
      <c r="I9" s="142">
        <f t="shared" si="1"/>
        <v>0.03</v>
      </c>
      <c r="J9" s="142">
        <f t="shared" si="1"/>
        <v>0.03</v>
      </c>
      <c r="K9" s="142">
        <f t="shared" si="1"/>
        <v>0.03</v>
      </c>
      <c r="L9" s="142">
        <f t="shared" si="1"/>
        <v>0.03</v>
      </c>
      <c r="M9" s="142">
        <f t="shared" si="1"/>
        <v>0.03</v>
      </c>
    </row>
    <row r="10" spans="1:13" x14ac:dyDescent="0.25">
      <c r="A10" s="39" t="s">
        <v>100</v>
      </c>
      <c r="B10" s="36" t="s">
        <v>31</v>
      </c>
      <c r="C10" s="113">
        <f>+C9+(C9*2)</f>
        <v>7.5000000000000011E-2</v>
      </c>
      <c r="D10" s="113">
        <f t="shared" ref="D10:M10" si="2">+D9+(D9*2)</f>
        <v>0.09</v>
      </c>
      <c r="E10" s="113">
        <f t="shared" si="2"/>
        <v>0.09</v>
      </c>
      <c r="F10" s="113">
        <f t="shared" si="2"/>
        <v>0.09</v>
      </c>
      <c r="G10" s="113">
        <f t="shared" si="2"/>
        <v>0.09</v>
      </c>
      <c r="H10" s="113">
        <f t="shared" si="2"/>
        <v>0.09</v>
      </c>
      <c r="I10" s="113">
        <f t="shared" si="2"/>
        <v>0.09</v>
      </c>
      <c r="J10" s="113">
        <f t="shared" si="2"/>
        <v>0.09</v>
      </c>
      <c r="K10" s="113">
        <f t="shared" si="2"/>
        <v>0.09</v>
      </c>
      <c r="L10" s="113">
        <f t="shared" si="2"/>
        <v>0.09</v>
      </c>
      <c r="M10" s="113">
        <f t="shared" si="2"/>
        <v>0.09</v>
      </c>
    </row>
    <row r="12" spans="1:13" x14ac:dyDescent="0.25">
      <c r="A12" s="39" t="s">
        <v>100</v>
      </c>
      <c r="B12" s="36" t="s">
        <v>32</v>
      </c>
      <c r="C12" s="64">
        <f>+'1 Financiacion'!H2</f>
        <v>1740000000</v>
      </c>
      <c r="D12" s="64">
        <f>+C12</f>
        <v>1740000000</v>
      </c>
      <c r="E12" s="64">
        <f t="shared" ref="E12:M12" si="3">+D12</f>
        <v>1740000000</v>
      </c>
      <c r="F12" s="64">
        <f t="shared" si="3"/>
        <v>1740000000</v>
      </c>
      <c r="G12" s="64">
        <f t="shared" si="3"/>
        <v>1740000000</v>
      </c>
      <c r="H12" s="64">
        <f t="shared" si="3"/>
        <v>1740000000</v>
      </c>
      <c r="I12" s="64">
        <f t="shared" si="3"/>
        <v>1740000000</v>
      </c>
      <c r="J12" s="64">
        <f t="shared" si="3"/>
        <v>1740000000</v>
      </c>
      <c r="K12" s="64">
        <f t="shared" si="3"/>
        <v>1740000000</v>
      </c>
      <c r="L12" s="64">
        <f t="shared" si="3"/>
        <v>1740000000</v>
      </c>
      <c r="M12" s="64">
        <f t="shared" si="3"/>
        <v>1740000000</v>
      </c>
    </row>
    <row r="13" spans="1:13" x14ac:dyDescent="0.25">
      <c r="A13" s="39" t="s">
        <v>100</v>
      </c>
      <c r="B13" s="36" t="s">
        <v>33</v>
      </c>
      <c r="C13" s="57">
        <f>+'1 Financiacion'!$C$4</f>
        <v>1160000000</v>
      </c>
      <c r="D13" s="57">
        <f>+'1 Financiacion'!$C$4</f>
        <v>1160000000</v>
      </c>
      <c r="E13" s="57">
        <f>+'1 Financiacion'!$C$4</f>
        <v>1160000000</v>
      </c>
      <c r="F13" s="57">
        <f>+'1 Financiacion'!$C$4</f>
        <v>1160000000</v>
      </c>
      <c r="G13" s="57">
        <f>+'1 Financiacion'!$C$4</f>
        <v>1160000000</v>
      </c>
      <c r="H13" s="57">
        <f>+'1 Financiacion'!$C$4</f>
        <v>1160000000</v>
      </c>
      <c r="I13" s="57">
        <f>+'1 Financiacion'!$C$4</f>
        <v>1160000000</v>
      </c>
      <c r="J13" s="57">
        <f>+'1 Financiacion'!$C$4</f>
        <v>1160000000</v>
      </c>
      <c r="K13" s="57">
        <f>+'1 Financiacion'!$C$4</f>
        <v>1160000000</v>
      </c>
      <c r="L13" s="57">
        <f>+'1 Financiacion'!$C$4</f>
        <v>1160000000</v>
      </c>
      <c r="M13" s="57">
        <f>+'1 Financiacion'!$C$4</f>
        <v>1160000000</v>
      </c>
    </row>
    <row r="14" spans="1:13" x14ac:dyDescent="0.25">
      <c r="C14" s="143">
        <f>+C12+C13</f>
        <v>2900000000</v>
      </c>
      <c r="D14" s="143">
        <f t="shared" ref="D14:M14" si="4">+D12+D13</f>
        <v>2900000000</v>
      </c>
      <c r="E14" s="143">
        <f t="shared" si="4"/>
        <v>2900000000</v>
      </c>
      <c r="F14" s="143">
        <f t="shared" si="4"/>
        <v>2900000000</v>
      </c>
      <c r="G14" s="143">
        <f t="shared" si="4"/>
        <v>2900000000</v>
      </c>
      <c r="H14" s="143">
        <f t="shared" si="4"/>
        <v>2900000000</v>
      </c>
      <c r="I14" s="143">
        <f t="shared" si="4"/>
        <v>2900000000</v>
      </c>
      <c r="J14" s="143">
        <f t="shared" si="4"/>
        <v>2900000000</v>
      </c>
      <c r="K14" s="143">
        <f t="shared" si="4"/>
        <v>2900000000</v>
      </c>
      <c r="L14" s="143">
        <f t="shared" si="4"/>
        <v>2900000000</v>
      </c>
      <c r="M14" s="143">
        <f t="shared" si="4"/>
        <v>2900000000</v>
      </c>
    </row>
    <row r="16" spans="1:13" x14ac:dyDescent="0.25">
      <c r="B16" s="36" t="s">
        <v>34</v>
      </c>
      <c r="C16" s="144">
        <f>+C12/$C$14</f>
        <v>0.6</v>
      </c>
      <c r="D16" s="144"/>
      <c r="E16" s="144"/>
      <c r="F16" s="144"/>
      <c r="G16" s="144"/>
      <c r="H16" s="144"/>
      <c r="I16" s="144"/>
      <c r="J16" s="144"/>
      <c r="K16" s="144"/>
      <c r="L16" s="144"/>
      <c r="M16" s="144"/>
    </row>
    <row r="17" spans="2:13" x14ac:dyDescent="0.25">
      <c r="B17" s="36" t="s">
        <v>35</v>
      </c>
      <c r="C17" s="144">
        <f>+C13/$C$14</f>
        <v>0.4</v>
      </c>
      <c r="D17" s="144"/>
      <c r="E17" s="144"/>
      <c r="F17" s="144"/>
      <c r="G17" s="144"/>
      <c r="H17" s="144"/>
      <c r="I17" s="144"/>
      <c r="J17" s="144"/>
      <c r="K17" s="144"/>
      <c r="L17" s="144"/>
      <c r="M17" s="144"/>
    </row>
    <row r="18" spans="2:13" x14ac:dyDescent="0.25">
      <c r="B18" s="36" t="s">
        <v>262</v>
      </c>
      <c r="C18" s="58">
        <f>+'1 Financiacion'!$E$7*(1-'7 Informacion Base'!D6)</f>
        <v>9.130821128169378E-2</v>
      </c>
      <c r="D18" s="58">
        <f>+'1 Financiacion'!$E$7*(1-'7 Informacion Base'!E6)</f>
        <v>9.130821128169378E-2</v>
      </c>
      <c r="E18" s="58">
        <f>+'1 Financiacion'!$E$7*(1-'7 Informacion Base'!F6)</f>
        <v>9.130821128169378E-2</v>
      </c>
      <c r="F18" s="58">
        <f>+'1 Financiacion'!$E$7*(1-'7 Informacion Base'!G6)</f>
        <v>9.130821128169378E-2</v>
      </c>
      <c r="G18" s="58">
        <f>+'1 Financiacion'!$E$7*(1-'7 Informacion Base'!H6)</f>
        <v>9.130821128169378E-2</v>
      </c>
      <c r="H18" s="58">
        <f>+'1 Financiacion'!$E$7*(1-'7 Informacion Base'!I6)</f>
        <v>9.130821128169378E-2</v>
      </c>
      <c r="I18" s="58">
        <f>+'1 Financiacion'!$E$7*(1-'7 Informacion Base'!J6)</f>
        <v>9.130821128169378E-2</v>
      </c>
      <c r="J18" s="58">
        <f>+'1 Financiacion'!$E$7*(1-'7 Informacion Base'!K6)</f>
        <v>9.130821128169378E-2</v>
      </c>
      <c r="K18" s="58">
        <f>+'1 Financiacion'!$E$7*(1-'7 Informacion Base'!L6)</f>
        <v>9.130821128169378E-2</v>
      </c>
      <c r="L18" s="58">
        <f>+'1 Financiacion'!$E$7*(1-'7 Informacion Base'!M6)</f>
        <v>9.130821128169378E-2</v>
      </c>
      <c r="M18" s="58">
        <f>+'1 Financiacion'!$E$7*(1-'7 Informacion Base'!N6)</f>
        <v>9.130821128169378E-2</v>
      </c>
    </row>
    <row r="19" spans="2:13" x14ac:dyDescent="0.25">
      <c r="B19" s="36" t="s">
        <v>36</v>
      </c>
      <c r="C19" s="116">
        <f>+C8</f>
        <v>0.10187500000000001</v>
      </c>
      <c r="D19" s="116">
        <f t="shared" ref="D19:M19" si="5">+D8</f>
        <v>0.12269999999999999</v>
      </c>
      <c r="E19" s="116">
        <f t="shared" si="5"/>
        <v>0.12269999999999999</v>
      </c>
      <c r="F19" s="116">
        <f t="shared" si="5"/>
        <v>0.12269999999999999</v>
      </c>
      <c r="G19" s="116">
        <f t="shared" si="5"/>
        <v>0.12269999999999999</v>
      </c>
      <c r="H19" s="116">
        <f t="shared" si="5"/>
        <v>0.12269999999999999</v>
      </c>
      <c r="I19" s="116">
        <f t="shared" si="5"/>
        <v>0.12269999999999999</v>
      </c>
      <c r="J19" s="116">
        <f t="shared" si="5"/>
        <v>0.12269999999999999</v>
      </c>
      <c r="K19" s="116">
        <f t="shared" si="5"/>
        <v>0.12269999999999999</v>
      </c>
      <c r="L19" s="116">
        <f t="shared" si="5"/>
        <v>0.12269999999999999</v>
      </c>
      <c r="M19" s="116">
        <f t="shared" si="5"/>
        <v>0.12269999999999999</v>
      </c>
    </row>
    <row r="21" spans="2:13" x14ac:dyDescent="0.25">
      <c r="B21" s="36" t="s">
        <v>37</v>
      </c>
      <c r="C21" s="116">
        <f>+AVERAGE(C18:M18)</f>
        <v>9.1308211281693766E-2</v>
      </c>
    </row>
    <row r="22" spans="2:13" x14ac:dyDescent="0.25">
      <c r="B22" s="36" t="s">
        <v>38</v>
      </c>
      <c r="C22" s="116">
        <f>+AVERAGE(C19:M19)</f>
        <v>0.12080681818181818</v>
      </c>
    </row>
    <row r="24" spans="2:13" x14ac:dyDescent="0.25">
      <c r="B24" s="145" t="s">
        <v>39</v>
      </c>
      <c r="C24" s="146">
        <f>+(C16*C22)+(C17*C21)</f>
        <v>0.10900737542176842</v>
      </c>
      <c r="D24" s="145" t="s">
        <v>40</v>
      </c>
      <c r="E24" s="146">
        <f>+(1+C24)^(1/12)-1</f>
        <v>8.6593907166787609E-3</v>
      </c>
      <c r="F24" s="145" t="s">
        <v>41</v>
      </c>
    </row>
  </sheetData>
  <pageMargins left="0.70866141732283472" right="0.70866141732283472" top="0.74803149606299213" bottom="0.74803149606299213" header="0.31496062992125984" footer="0.31496062992125984"/>
  <pageSetup scale="5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X76"/>
  <sheetViews>
    <sheetView showGridLines="0" zoomScale="70" zoomScaleNormal="70" workbookViewId="0">
      <selection activeCell="B10" sqref="B10"/>
    </sheetView>
  </sheetViews>
  <sheetFormatPr defaultColWidth="11.44140625" defaultRowHeight="13.8" x14ac:dyDescent="0.25"/>
  <cols>
    <col min="1" max="1" width="11.44140625" style="39"/>
    <col min="2" max="2" width="72.5546875" style="36" bestFit="1" customWidth="1"/>
    <col min="3" max="3" width="58.21875" style="36" bestFit="1" customWidth="1"/>
    <col min="4" max="4" width="53" style="36" bestFit="1" customWidth="1"/>
    <col min="5" max="5" width="15" style="36" bestFit="1" customWidth="1"/>
    <col min="6" max="8" width="16.6640625" style="36" bestFit="1" customWidth="1"/>
    <col min="9" max="14" width="16.6640625" style="36" customWidth="1"/>
    <col min="15" max="21" width="11.44140625" style="36"/>
    <col min="22" max="24" width="11.44140625" style="57"/>
    <col min="25" max="16384" width="11.44140625" style="36"/>
  </cols>
  <sheetData>
    <row r="1" spans="1:24" s="110" customFormat="1" ht="17.399999999999999" x14ac:dyDescent="0.3">
      <c r="A1" s="109" t="s">
        <v>101</v>
      </c>
      <c r="C1" s="110" t="s">
        <v>0</v>
      </c>
      <c r="D1" s="111">
        <v>2021</v>
      </c>
      <c r="E1" s="111">
        <v>2022</v>
      </c>
      <c r="F1" s="111">
        <f>+E1+1</f>
        <v>2023</v>
      </c>
      <c r="G1" s="111">
        <f t="shared" ref="G1:N1" si="0">+F1+1</f>
        <v>2024</v>
      </c>
      <c r="H1" s="111">
        <f t="shared" si="0"/>
        <v>2025</v>
      </c>
      <c r="I1" s="111">
        <f t="shared" si="0"/>
        <v>2026</v>
      </c>
      <c r="J1" s="111">
        <f t="shared" si="0"/>
        <v>2027</v>
      </c>
      <c r="K1" s="111">
        <f t="shared" si="0"/>
        <v>2028</v>
      </c>
      <c r="L1" s="111">
        <f t="shared" si="0"/>
        <v>2029</v>
      </c>
      <c r="M1" s="111">
        <f t="shared" si="0"/>
        <v>2030</v>
      </c>
      <c r="N1" s="111">
        <f t="shared" si="0"/>
        <v>2031</v>
      </c>
      <c r="V1" s="112"/>
      <c r="W1" s="112"/>
      <c r="X1" s="112"/>
    </row>
    <row r="3" spans="1:24" x14ac:dyDescent="0.25">
      <c r="A3" s="39" t="s">
        <v>100</v>
      </c>
      <c r="B3" s="36" t="s">
        <v>99</v>
      </c>
      <c r="D3" s="113">
        <v>2.5000000000000001E-2</v>
      </c>
      <c r="E3" s="113">
        <v>0.03</v>
      </c>
      <c r="F3" s="113">
        <f>E3</f>
        <v>0.03</v>
      </c>
      <c r="G3" s="113">
        <f t="shared" ref="G3:N3" si="1">F3</f>
        <v>0.03</v>
      </c>
      <c r="H3" s="113">
        <f t="shared" si="1"/>
        <v>0.03</v>
      </c>
      <c r="I3" s="113">
        <f t="shared" si="1"/>
        <v>0.03</v>
      </c>
      <c r="J3" s="113">
        <f t="shared" si="1"/>
        <v>0.03</v>
      </c>
      <c r="K3" s="113">
        <f t="shared" si="1"/>
        <v>0.03</v>
      </c>
      <c r="L3" s="113">
        <f t="shared" si="1"/>
        <v>0.03</v>
      </c>
      <c r="M3" s="113">
        <f t="shared" si="1"/>
        <v>0.03</v>
      </c>
      <c r="N3" s="113">
        <f t="shared" si="1"/>
        <v>0.03</v>
      </c>
    </row>
    <row r="4" spans="1:24" x14ac:dyDescent="0.25">
      <c r="A4" s="39" t="s">
        <v>100</v>
      </c>
      <c r="B4" s="36" t="s">
        <v>2</v>
      </c>
      <c r="D4" s="58"/>
      <c r="E4" s="114">
        <f>+E19</f>
        <v>0.4</v>
      </c>
      <c r="F4" s="114">
        <f t="shared" ref="F4:N4" si="2">+F19</f>
        <v>0.42857142857142855</v>
      </c>
      <c r="G4" s="114">
        <f t="shared" si="2"/>
        <v>0.4</v>
      </c>
      <c r="H4" s="114">
        <f t="shared" si="2"/>
        <v>0.2857142857142857</v>
      </c>
      <c r="I4" s="114">
        <f t="shared" si="2"/>
        <v>5.5555555555555552E-2</v>
      </c>
      <c r="J4" s="114">
        <f t="shared" si="2"/>
        <v>0</v>
      </c>
      <c r="K4" s="114">
        <f t="shared" si="2"/>
        <v>0</v>
      </c>
      <c r="L4" s="114">
        <f t="shared" si="2"/>
        <v>0</v>
      </c>
      <c r="M4" s="114">
        <f t="shared" si="2"/>
        <v>0</v>
      </c>
      <c r="N4" s="114">
        <f t="shared" si="2"/>
        <v>0</v>
      </c>
    </row>
    <row r="5" spans="1:24" x14ac:dyDescent="0.25">
      <c r="H5" s="46"/>
    </row>
    <row r="6" spans="1:24" x14ac:dyDescent="0.25">
      <c r="A6" s="39" t="s">
        <v>100</v>
      </c>
      <c r="B6" s="36" t="s">
        <v>51</v>
      </c>
      <c r="D6" s="115">
        <v>0.09</v>
      </c>
      <c r="E6" s="115">
        <v>0.09</v>
      </c>
      <c r="F6" s="115">
        <v>0.09</v>
      </c>
      <c r="G6" s="115">
        <v>0.09</v>
      </c>
      <c r="H6" s="115">
        <v>0.09</v>
      </c>
      <c r="I6" s="115">
        <v>0.09</v>
      </c>
      <c r="J6" s="115">
        <v>0.09</v>
      </c>
      <c r="K6" s="115">
        <v>0.09</v>
      </c>
      <c r="L6" s="115">
        <v>0.09</v>
      </c>
      <c r="M6" s="115">
        <v>0.09</v>
      </c>
      <c r="N6" s="115">
        <v>0.09</v>
      </c>
    </row>
    <row r="8" spans="1:24" x14ac:dyDescent="0.25">
      <c r="A8" s="39" t="s">
        <v>100</v>
      </c>
      <c r="B8" s="36" t="s">
        <v>39</v>
      </c>
      <c r="C8" s="116">
        <f>+'6 WACC'!$C$24</f>
        <v>0.10900737542176842</v>
      </c>
      <c r="D8" s="36" t="s">
        <v>40</v>
      </c>
      <c r="E8" s="116">
        <f>+(C8+1)^(0.0833333333333333)-1</f>
        <v>8.6593907166787609E-3</v>
      </c>
      <c r="F8" s="116" t="s">
        <v>41</v>
      </c>
      <c r="G8" s="116"/>
      <c r="H8" s="116"/>
      <c r="I8" s="116"/>
      <c r="J8" s="116"/>
      <c r="K8" s="116"/>
      <c r="L8" s="116"/>
      <c r="M8" s="116"/>
      <c r="N8" s="116"/>
    </row>
    <row r="9" spans="1:24" x14ac:dyDescent="0.25">
      <c r="A9" s="39" t="s">
        <v>100</v>
      </c>
      <c r="B9" s="36" t="s">
        <v>237</v>
      </c>
      <c r="C9" s="117">
        <v>7.0000000000000001E-3</v>
      </c>
    </row>
    <row r="10" spans="1:24" x14ac:dyDescent="0.25">
      <c r="A10" s="39" t="s">
        <v>100</v>
      </c>
      <c r="B10" s="36" t="s">
        <v>238</v>
      </c>
      <c r="C10" s="36">
        <f>80*12</f>
        <v>960</v>
      </c>
      <c r="D10" s="36" t="s">
        <v>53</v>
      </c>
      <c r="T10" s="118">
        <f>19/30</f>
        <v>0.6333333333333333</v>
      </c>
    </row>
    <row r="11" spans="1:24" x14ac:dyDescent="0.25">
      <c r="A11" s="39" t="s">
        <v>100</v>
      </c>
      <c r="B11" s="36" t="s">
        <v>239</v>
      </c>
      <c r="C11" s="36">
        <f>10*12</f>
        <v>120</v>
      </c>
      <c r="D11" s="36" t="s">
        <v>53</v>
      </c>
    </row>
    <row r="12" spans="1:24" x14ac:dyDescent="0.25">
      <c r="A12" s="39" t="s">
        <v>100</v>
      </c>
      <c r="B12" s="36" t="s">
        <v>240</v>
      </c>
      <c r="C12" s="36">
        <f>10*12</f>
        <v>120</v>
      </c>
      <c r="D12" s="36" t="s">
        <v>53</v>
      </c>
    </row>
    <row r="13" spans="1:24" x14ac:dyDescent="0.25">
      <c r="A13" s="39" t="s">
        <v>100</v>
      </c>
      <c r="B13" s="36" t="s">
        <v>104</v>
      </c>
      <c r="C13" s="116">
        <v>2.5000000000000001E-2</v>
      </c>
    </row>
    <row r="14" spans="1:24" x14ac:dyDescent="0.25">
      <c r="B14" s="36" t="s">
        <v>148</v>
      </c>
      <c r="C14" s="119">
        <v>0.5</v>
      </c>
    </row>
    <row r="15" spans="1:24" x14ac:dyDescent="0.25">
      <c r="C15" s="119"/>
      <c r="D15" s="108">
        <f>+D16-D23</f>
        <v>0</v>
      </c>
      <c r="E15" s="108">
        <f t="shared" ref="E15:N15" si="3">+E16-E23</f>
        <v>0</v>
      </c>
      <c r="F15" s="108">
        <f t="shared" si="3"/>
        <v>0</v>
      </c>
      <c r="G15" s="108">
        <f t="shared" si="3"/>
        <v>0</v>
      </c>
      <c r="H15" s="108">
        <f t="shared" si="3"/>
        <v>0</v>
      </c>
      <c r="I15" s="108">
        <f t="shared" si="3"/>
        <v>0</v>
      </c>
      <c r="J15" s="108">
        <f t="shared" si="3"/>
        <v>0</v>
      </c>
      <c r="K15" s="108">
        <f t="shared" si="3"/>
        <v>0</v>
      </c>
      <c r="L15" s="108">
        <f t="shared" si="3"/>
        <v>0</v>
      </c>
      <c r="M15" s="108">
        <f t="shared" si="3"/>
        <v>0</v>
      </c>
      <c r="N15" s="108">
        <f t="shared" si="3"/>
        <v>0</v>
      </c>
    </row>
    <row r="16" spans="1:24" x14ac:dyDescent="0.25">
      <c r="C16" s="119"/>
      <c r="D16" s="64">
        <f>+D17*D20</f>
        <v>3645157.6159577076</v>
      </c>
      <c r="E16" s="64">
        <f t="shared" ref="E16:N16" si="4">+E17*E20</f>
        <v>5256317.2822110141</v>
      </c>
      <c r="F16" s="64">
        <f t="shared" si="4"/>
        <v>7734295.4295390649</v>
      </c>
      <c r="G16" s="64">
        <f t="shared" si="4"/>
        <v>11152854.009395333</v>
      </c>
      <c r="H16" s="64">
        <f t="shared" si="4"/>
        <v>14769565.238156391</v>
      </c>
      <c r="I16" s="64">
        <f t="shared" si="4"/>
        <v>16057799.539484477</v>
      </c>
      <c r="J16" s="64">
        <f t="shared" si="4"/>
        <v>16539533.525669012</v>
      </c>
      <c r="K16" s="64">
        <f t="shared" si="4"/>
        <v>17035719.531439081</v>
      </c>
      <c r="L16" s="64">
        <f t="shared" si="4"/>
        <v>17546791.117382254</v>
      </c>
      <c r="M16" s="64">
        <f t="shared" si="4"/>
        <v>18073194.850903723</v>
      </c>
      <c r="N16" s="64">
        <f t="shared" si="4"/>
        <v>18615390.696430836</v>
      </c>
    </row>
    <row r="17" spans="1:24" x14ac:dyDescent="0.25">
      <c r="C17" s="119"/>
      <c r="D17" s="64">
        <f>+'2 EstudioTecnico I'!J19</f>
        <v>729031.52319154155</v>
      </c>
      <c r="E17" s="64">
        <f>+'2 EstudioTecnico I'!K19</f>
        <v>750902.46888728777</v>
      </c>
      <c r="F17" s="64">
        <f>+'2 EstudioTecnico I'!L19</f>
        <v>773429.54295390646</v>
      </c>
      <c r="G17" s="64">
        <f>+'2 EstudioTecnico I'!M19</f>
        <v>796632.42924252374</v>
      </c>
      <c r="H17" s="64">
        <f>+'2 EstudioTecnico I'!N19</f>
        <v>820531.40211979952</v>
      </c>
      <c r="I17" s="64">
        <f>+'2 EstudioTecnico I'!O19</f>
        <v>845147.34418339352</v>
      </c>
      <c r="J17" s="64">
        <f>+'2 EstudioTecnico I'!P19</f>
        <v>870501.76450889534</v>
      </c>
      <c r="K17" s="64">
        <f>+'2 EstudioTecnico I'!Q19</f>
        <v>896616.81744416221</v>
      </c>
      <c r="L17" s="64">
        <f>+'2 EstudioTecnico I'!R19</f>
        <v>923515.32196748711</v>
      </c>
      <c r="M17" s="64">
        <f>+'2 EstudioTecnico I'!S19</f>
        <v>951220.78162651171</v>
      </c>
      <c r="N17" s="64">
        <f>+'2 EstudioTecnico I'!T19</f>
        <v>979757.40507530712</v>
      </c>
    </row>
    <row r="18" spans="1:24" x14ac:dyDescent="0.25">
      <c r="A18" s="39" t="s">
        <v>100</v>
      </c>
      <c r="B18" s="36" t="s">
        <v>54</v>
      </c>
      <c r="C18" s="89">
        <v>1</v>
      </c>
      <c r="E18" s="116"/>
    </row>
    <row r="19" spans="1:24" x14ac:dyDescent="0.25">
      <c r="C19" s="57"/>
      <c r="E19" s="120">
        <f>+(E20-D20)/D20</f>
        <v>0.4</v>
      </c>
      <c r="F19" s="120">
        <f t="shared" ref="F19:N19" si="5">+(F20-E20)/E20</f>
        <v>0.42857142857142855</v>
      </c>
      <c r="G19" s="120">
        <f t="shared" si="5"/>
        <v>0.4</v>
      </c>
      <c r="H19" s="120">
        <f t="shared" si="5"/>
        <v>0.2857142857142857</v>
      </c>
      <c r="I19" s="120">
        <f t="shared" si="5"/>
        <v>5.5555555555555552E-2</v>
      </c>
      <c r="J19" s="120">
        <f t="shared" si="5"/>
        <v>0</v>
      </c>
      <c r="K19" s="120">
        <f t="shared" si="5"/>
        <v>0</v>
      </c>
      <c r="L19" s="120">
        <f t="shared" si="5"/>
        <v>0</v>
      </c>
      <c r="M19" s="120">
        <f t="shared" si="5"/>
        <v>0</v>
      </c>
      <c r="N19" s="120">
        <f t="shared" si="5"/>
        <v>0</v>
      </c>
    </row>
    <row r="20" spans="1:24" x14ac:dyDescent="0.25">
      <c r="A20" s="39" t="s">
        <v>100</v>
      </c>
      <c r="B20" s="36" t="s">
        <v>241</v>
      </c>
      <c r="D20" s="121">
        <v>5</v>
      </c>
      <c r="E20" s="121">
        <v>7</v>
      </c>
      <c r="F20" s="121">
        <v>10</v>
      </c>
      <c r="G20" s="121">
        <v>14</v>
      </c>
      <c r="H20" s="121">
        <v>18</v>
      </c>
      <c r="I20" s="121">
        <v>19</v>
      </c>
      <c r="J20" s="121">
        <v>19</v>
      </c>
      <c r="K20" s="121">
        <v>19</v>
      </c>
      <c r="L20" s="121">
        <v>19</v>
      </c>
      <c r="M20" s="121">
        <v>19</v>
      </c>
      <c r="N20" s="121">
        <v>19</v>
      </c>
      <c r="O20" s="118"/>
    </row>
    <row r="21" spans="1:24" x14ac:dyDescent="0.25">
      <c r="A21" s="39" t="s">
        <v>100</v>
      </c>
      <c r="B21" s="36" t="s">
        <v>242</v>
      </c>
      <c r="D21" s="122">
        <v>4500000</v>
      </c>
      <c r="E21" s="74">
        <f t="shared" ref="E21:N21" si="6">+D21*(1+D3)</f>
        <v>4612500</v>
      </c>
      <c r="F21" s="74">
        <f t="shared" si="6"/>
        <v>4750875</v>
      </c>
      <c r="G21" s="74">
        <f t="shared" si="6"/>
        <v>4893401.25</v>
      </c>
      <c r="H21" s="74">
        <f t="shared" si="6"/>
        <v>5040203.2875000006</v>
      </c>
      <c r="I21" s="74">
        <f t="shared" si="6"/>
        <v>5191409.3861250011</v>
      </c>
      <c r="J21" s="74">
        <f t="shared" si="6"/>
        <v>5347151.6677087517</v>
      </c>
      <c r="K21" s="74">
        <f t="shared" si="6"/>
        <v>5507566.2177400142</v>
      </c>
      <c r="L21" s="74">
        <f t="shared" si="6"/>
        <v>5672793.2042722143</v>
      </c>
      <c r="M21" s="74">
        <f t="shared" si="6"/>
        <v>5842977.0004003812</v>
      </c>
      <c r="N21" s="74">
        <f t="shared" si="6"/>
        <v>6018266.310412393</v>
      </c>
      <c r="O21" s="45"/>
    </row>
    <row r="22" spans="1:24" x14ac:dyDescent="0.25"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</row>
    <row r="23" spans="1:24" x14ac:dyDescent="0.25">
      <c r="B23" s="36" t="s">
        <v>192</v>
      </c>
      <c r="D23" s="64">
        <f>+'2 EstudioTecnico I'!J19*D20</f>
        <v>3645157.6159577076</v>
      </c>
      <c r="E23" s="64">
        <f>+'2 EstudioTecnico I'!K19*E20</f>
        <v>5256317.2822110141</v>
      </c>
      <c r="F23" s="64">
        <f>+'2 EstudioTecnico I'!L19*F20</f>
        <v>7734295.4295390649</v>
      </c>
      <c r="G23" s="64">
        <f>+'2 EstudioTecnico I'!M19*G20</f>
        <v>11152854.009395333</v>
      </c>
      <c r="H23" s="64">
        <f>+'2 EstudioTecnico I'!N19*H20</f>
        <v>14769565.238156391</v>
      </c>
      <c r="I23" s="64">
        <f>+'2 EstudioTecnico I'!O19*I20</f>
        <v>16057799.539484477</v>
      </c>
      <c r="J23" s="64">
        <f>+'2 EstudioTecnico I'!P19*J20</f>
        <v>16539533.525669012</v>
      </c>
      <c r="K23" s="64">
        <f>+'2 EstudioTecnico I'!Q19*K20</f>
        <v>17035719.531439081</v>
      </c>
      <c r="L23" s="64">
        <f>+'2 EstudioTecnico I'!R19*L20</f>
        <v>17546791.117382254</v>
      </c>
      <c r="M23" s="64">
        <f>+'2 EstudioTecnico I'!S19*M20</f>
        <v>18073194.850903723</v>
      </c>
      <c r="N23" s="64">
        <f>+'2 EstudioTecnico I'!T19*N20</f>
        <v>18615390.696430836</v>
      </c>
    </row>
    <row r="24" spans="1:24" x14ac:dyDescent="0.25"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</row>
    <row r="25" spans="1:24" x14ac:dyDescent="0.25">
      <c r="A25" s="39" t="s">
        <v>100</v>
      </c>
      <c r="B25" s="36" t="s">
        <v>243</v>
      </c>
      <c r="D25" s="74">
        <f>+'5 Costo Nomina'!H17</f>
        <v>9881356.2663011011</v>
      </c>
      <c r="E25" s="74">
        <f t="shared" ref="E25:N25" si="7">+D25*(1+D3)</f>
        <v>10128390.172958627</v>
      </c>
      <c r="F25" s="74">
        <f t="shared" si="7"/>
        <v>10432241.878147386</v>
      </c>
      <c r="G25" s="74">
        <f t="shared" si="7"/>
        <v>10745209.134491809</v>
      </c>
      <c r="H25" s="74">
        <f t="shared" si="7"/>
        <v>11067565.408526564</v>
      </c>
      <c r="I25" s="74">
        <f t="shared" si="7"/>
        <v>11399592.37078236</v>
      </c>
      <c r="J25" s="74">
        <f t="shared" si="7"/>
        <v>11741580.141905831</v>
      </c>
      <c r="K25" s="74">
        <f t="shared" si="7"/>
        <v>12093827.546163006</v>
      </c>
      <c r="L25" s="74">
        <f t="shared" si="7"/>
        <v>12456642.372547897</v>
      </c>
      <c r="M25" s="74">
        <f t="shared" si="7"/>
        <v>12830341.643724333</v>
      </c>
      <c r="N25" s="74">
        <f t="shared" si="7"/>
        <v>13215251.893036064</v>
      </c>
    </row>
    <row r="26" spans="1:24" x14ac:dyDescent="0.25">
      <c r="A26" s="39" t="s">
        <v>100</v>
      </c>
      <c r="B26" s="36" t="s">
        <v>194</v>
      </c>
      <c r="D26" s="74">
        <f>+'2 EstudioTecnico I'!H42</f>
        <v>5066666.666666667</v>
      </c>
      <c r="E26" s="74">
        <f t="shared" ref="E26:N26" si="8">+D26*(1+D3)</f>
        <v>5193333.333333333</v>
      </c>
      <c r="F26" s="74">
        <f t="shared" si="8"/>
        <v>5349133.333333333</v>
      </c>
      <c r="G26" s="74">
        <f t="shared" si="8"/>
        <v>5509607.333333333</v>
      </c>
      <c r="H26" s="74">
        <f t="shared" si="8"/>
        <v>5674895.5533333328</v>
      </c>
      <c r="I26" s="74">
        <f t="shared" si="8"/>
        <v>5845142.4199333331</v>
      </c>
      <c r="J26" s="74">
        <f t="shared" si="8"/>
        <v>6020496.6925313333</v>
      </c>
      <c r="K26" s="74">
        <f t="shared" si="8"/>
        <v>6201111.5933072735</v>
      </c>
      <c r="L26" s="74">
        <f t="shared" si="8"/>
        <v>6387144.9411064917</v>
      </c>
      <c r="M26" s="74">
        <f t="shared" si="8"/>
        <v>6578759.2893396867</v>
      </c>
      <c r="N26" s="74">
        <f t="shared" si="8"/>
        <v>6776122.0680198772</v>
      </c>
    </row>
    <row r="27" spans="1:24" x14ac:dyDescent="0.25">
      <c r="D27" s="123"/>
      <c r="E27" s="45"/>
      <c r="F27" s="45"/>
      <c r="G27" s="45"/>
      <c r="H27" s="45"/>
      <c r="I27" s="45"/>
      <c r="J27" s="45"/>
      <c r="K27" s="45"/>
      <c r="L27" s="45"/>
      <c r="M27" s="45"/>
      <c r="N27" s="45"/>
    </row>
    <row r="28" spans="1:24" x14ac:dyDescent="0.25">
      <c r="D28" s="118"/>
    </row>
    <row r="29" spans="1:24" x14ac:dyDescent="0.25">
      <c r="B29" s="124" t="s">
        <v>55</v>
      </c>
      <c r="C29" s="10"/>
      <c r="V29" s="68"/>
      <c r="W29" s="68"/>
      <c r="X29" s="68"/>
    </row>
    <row r="30" spans="1:24" x14ac:dyDescent="0.25">
      <c r="A30" s="39" t="s">
        <v>100</v>
      </c>
      <c r="B30" s="11" t="s">
        <v>103</v>
      </c>
      <c r="C30" s="125">
        <f>'4 Estudio tecnico III'!D4+'4 Estudio tecnico III'!D5</f>
        <v>1760000000</v>
      </c>
    </row>
    <row r="31" spans="1:24" x14ac:dyDescent="0.25">
      <c r="A31" s="39" t="s">
        <v>100</v>
      </c>
      <c r="B31" s="11" t="s">
        <v>215</v>
      </c>
      <c r="C31" s="125">
        <f>+'4 Estudio tecnico III'!D3</f>
        <v>500000000</v>
      </c>
    </row>
    <row r="32" spans="1:24" x14ac:dyDescent="0.25">
      <c r="A32" s="39" t="s">
        <v>100</v>
      </c>
      <c r="B32" s="11" t="s">
        <v>151</v>
      </c>
      <c r="C32" s="125">
        <f>+'4 Estudio tecnico III'!D6</f>
        <v>357500000</v>
      </c>
    </row>
    <row r="33" spans="1:14" x14ac:dyDescent="0.25">
      <c r="A33" s="39" t="s">
        <v>100</v>
      </c>
      <c r="B33" s="11" t="s">
        <v>152</v>
      </c>
      <c r="C33" s="125">
        <f>+'4 Estudio tecnico III'!D8</f>
        <v>80000000</v>
      </c>
      <c r="E33" s="57"/>
      <c r="F33" s="57"/>
      <c r="G33" s="57"/>
      <c r="H33" s="57"/>
      <c r="I33" s="57"/>
      <c r="J33" s="57"/>
      <c r="K33" s="57"/>
      <c r="L33" s="57"/>
      <c r="M33" s="57"/>
      <c r="N33" s="57"/>
    </row>
    <row r="34" spans="1:14" x14ac:dyDescent="0.25">
      <c r="A34" s="39" t="s">
        <v>100</v>
      </c>
      <c r="B34" s="11" t="s">
        <v>153</v>
      </c>
      <c r="C34" s="125">
        <f>+'4 Estudio tecnico III'!D9</f>
        <v>100000000</v>
      </c>
      <c r="E34" s="42"/>
      <c r="F34" s="126"/>
      <c r="G34" s="126"/>
      <c r="H34" s="126"/>
      <c r="I34" s="126"/>
      <c r="J34" s="126"/>
      <c r="K34" s="126"/>
      <c r="L34" s="126"/>
      <c r="M34" s="126"/>
      <c r="N34" s="126"/>
    </row>
    <row r="35" spans="1:14" x14ac:dyDescent="0.25">
      <c r="A35" s="39" t="s">
        <v>100</v>
      </c>
      <c r="B35" s="11" t="s">
        <v>157</v>
      </c>
      <c r="C35" s="125">
        <f>+'4 Estudio tecnico III'!D7</f>
        <v>102500000</v>
      </c>
      <c r="H35" s="127"/>
      <c r="I35" s="127"/>
      <c r="J35" s="127"/>
      <c r="K35" s="127"/>
      <c r="L35" s="127"/>
      <c r="M35" s="127"/>
      <c r="N35" s="127"/>
    </row>
    <row r="36" spans="1:14" x14ac:dyDescent="0.25">
      <c r="B36" s="11"/>
      <c r="C36" s="125"/>
      <c r="E36" s="128"/>
      <c r="F36" s="128"/>
      <c r="G36" s="128"/>
      <c r="H36" s="128"/>
      <c r="I36" s="128"/>
      <c r="J36" s="128"/>
      <c r="K36" s="128"/>
      <c r="L36" s="128"/>
      <c r="M36" s="128"/>
      <c r="N36" s="128"/>
    </row>
    <row r="37" spans="1:14" x14ac:dyDescent="0.25">
      <c r="B37" s="11"/>
      <c r="C37" s="125"/>
      <c r="E37" s="126"/>
      <c r="F37" s="42"/>
      <c r="G37" s="42"/>
      <c r="H37" s="42"/>
      <c r="I37" s="42"/>
      <c r="J37" s="42"/>
      <c r="K37" s="42"/>
      <c r="L37" s="42"/>
      <c r="M37" s="42"/>
      <c r="N37" s="42"/>
    </row>
    <row r="38" spans="1:14" x14ac:dyDescent="0.25">
      <c r="A38" s="39" t="s">
        <v>100</v>
      </c>
      <c r="B38" s="129" t="s">
        <v>1</v>
      </c>
      <c r="C38" s="130">
        <f>SUM(C30:C37)</f>
        <v>2900000000</v>
      </c>
      <c r="I38" s="131"/>
      <c r="J38" s="131"/>
      <c r="K38" s="131"/>
      <c r="L38" s="131"/>
      <c r="M38" s="131"/>
      <c r="N38" s="131"/>
    </row>
    <row r="39" spans="1:14" x14ac:dyDescent="0.25">
      <c r="C39" s="77">
        <f>+'1 Financiacion'!G2</f>
        <v>2900000000</v>
      </c>
      <c r="I39" s="131"/>
      <c r="J39" s="131"/>
      <c r="K39" s="131"/>
      <c r="L39" s="131"/>
      <c r="M39" s="131"/>
      <c r="N39" s="131"/>
    </row>
    <row r="40" spans="1:14" x14ac:dyDescent="0.25">
      <c r="C40" s="83">
        <f>+C38-C39</f>
        <v>0</v>
      </c>
      <c r="I40" s="131"/>
      <c r="J40" s="131"/>
      <c r="K40" s="131"/>
      <c r="L40" s="131"/>
      <c r="M40" s="131"/>
      <c r="N40" s="131"/>
    </row>
    <row r="41" spans="1:14" x14ac:dyDescent="0.25">
      <c r="C41" s="128"/>
      <c r="I41" s="131"/>
      <c r="J41" s="131"/>
      <c r="K41" s="131"/>
      <c r="L41" s="131"/>
      <c r="M41" s="131"/>
      <c r="N41" s="131"/>
    </row>
    <row r="42" spans="1:14" x14ac:dyDescent="0.25">
      <c r="B42" s="132" t="s">
        <v>65</v>
      </c>
      <c r="C42" s="55"/>
    </row>
    <row r="43" spans="1:14" x14ac:dyDescent="0.25">
      <c r="A43" s="39" t="s">
        <v>100</v>
      </c>
      <c r="B43" s="36" t="s">
        <v>245</v>
      </c>
      <c r="C43" s="64">
        <f>+C30</f>
        <v>1760000000</v>
      </c>
    </row>
    <row r="44" spans="1:14" x14ac:dyDescent="0.25">
      <c r="A44" s="39" t="s">
        <v>100</v>
      </c>
      <c r="B44" s="36" t="s">
        <v>244</v>
      </c>
      <c r="C44" s="74">
        <f>+C43/C10</f>
        <v>1833333.3333333333</v>
      </c>
    </row>
    <row r="45" spans="1:14" x14ac:dyDescent="0.25">
      <c r="A45" s="39" t="s">
        <v>100</v>
      </c>
      <c r="B45" s="36" t="s">
        <v>198</v>
      </c>
      <c r="C45" s="64">
        <f>+(C32+C34)/120</f>
        <v>3812500</v>
      </c>
    </row>
    <row r="46" spans="1:14" x14ac:dyDescent="0.25">
      <c r="A46" s="39" t="s">
        <v>100</v>
      </c>
      <c r="B46" s="36" t="s">
        <v>196</v>
      </c>
      <c r="C46" s="64">
        <f>+C33/120</f>
        <v>666666.66666666663</v>
      </c>
    </row>
    <row r="47" spans="1:14" x14ac:dyDescent="0.25">
      <c r="A47" s="39" t="s">
        <v>100</v>
      </c>
      <c r="B47" s="36" t="s">
        <v>56</v>
      </c>
      <c r="C47" s="74">
        <f>+(C44+C45+C46)*12</f>
        <v>75750000</v>
      </c>
    </row>
    <row r="49" spans="1:24" x14ac:dyDescent="0.25">
      <c r="A49" s="39" t="s">
        <v>100</v>
      </c>
      <c r="B49" s="36" t="s">
        <v>197</v>
      </c>
      <c r="D49" s="122">
        <v>1724000</v>
      </c>
      <c r="E49" s="74">
        <f t="shared" ref="E49:N49" si="9">+D49*(1+D3)</f>
        <v>1767099.9999999998</v>
      </c>
      <c r="F49" s="74">
        <f t="shared" si="9"/>
        <v>1820112.9999999998</v>
      </c>
      <c r="G49" s="74">
        <f t="shared" si="9"/>
        <v>1874716.39</v>
      </c>
      <c r="H49" s="74">
        <f t="shared" si="9"/>
        <v>1930957.8817</v>
      </c>
      <c r="I49" s="74">
        <f t="shared" si="9"/>
        <v>1988886.618151</v>
      </c>
      <c r="J49" s="74">
        <f t="shared" si="9"/>
        <v>2048553.2166955301</v>
      </c>
      <c r="K49" s="74">
        <f t="shared" si="9"/>
        <v>2110009.813196396</v>
      </c>
      <c r="L49" s="74">
        <f t="shared" si="9"/>
        <v>2173310.1075922879</v>
      </c>
      <c r="M49" s="74">
        <f t="shared" si="9"/>
        <v>2238509.4108200567</v>
      </c>
      <c r="N49" s="74">
        <f t="shared" si="9"/>
        <v>2305664.6931446586</v>
      </c>
    </row>
    <row r="50" spans="1:24" x14ac:dyDescent="0.25">
      <c r="A50" s="39" t="s">
        <v>100</v>
      </c>
      <c r="B50" s="36" t="s">
        <v>57</v>
      </c>
      <c r="C50" s="36" t="s">
        <v>58</v>
      </c>
    </row>
    <row r="51" spans="1:24" x14ac:dyDescent="0.25">
      <c r="A51" s="39" t="s">
        <v>100</v>
      </c>
      <c r="B51" s="36" t="s">
        <v>59</v>
      </c>
      <c r="C51" s="36" t="s">
        <v>60</v>
      </c>
    </row>
    <row r="52" spans="1:24" x14ac:dyDescent="0.25">
      <c r="A52" s="39" t="s">
        <v>100</v>
      </c>
      <c r="B52" s="36" t="s">
        <v>247</v>
      </c>
      <c r="D52" s="133">
        <v>2000000</v>
      </c>
      <c r="E52" s="134">
        <f>D52*(1+E$3)</f>
        <v>2060000</v>
      </c>
      <c r="F52" s="134">
        <f>E52*(1+F$3)</f>
        <v>2121800</v>
      </c>
      <c r="G52" s="134">
        <f t="shared" ref="G52:N52" si="10">F52*(1+G$3)</f>
        <v>2185454</v>
      </c>
      <c r="H52" s="134">
        <f t="shared" si="10"/>
        <v>2251017.62</v>
      </c>
      <c r="I52" s="134">
        <f t="shared" si="10"/>
        <v>2318548.1486</v>
      </c>
      <c r="J52" s="134">
        <f t="shared" si="10"/>
        <v>2388104.5930579999</v>
      </c>
      <c r="K52" s="134">
        <f t="shared" si="10"/>
        <v>2459747.7308497401</v>
      </c>
      <c r="L52" s="134">
        <f t="shared" si="10"/>
        <v>2533540.1627752325</v>
      </c>
      <c r="M52" s="134">
        <f t="shared" si="10"/>
        <v>2609546.3676584894</v>
      </c>
      <c r="N52" s="134">
        <f t="shared" si="10"/>
        <v>2687832.758688244</v>
      </c>
    </row>
    <row r="53" spans="1:24" x14ac:dyDescent="0.25">
      <c r="A53" s="39" t="s">
        <v>100</v>
      </c>
      <c r="B53" s="36" t="s">
        <v>269</v>
      </c>
      <c r="D53" s="133">
        <v>2000000</v>
      </c>
      <c r="E53" s="134"/>
      <c r="F53" s="134"/>
      <c r="G53" s="134"/>
      <c r="H53" s="134"/>
      <c r="I53" s="134"/>
      <c r="J53" s="134"/>
      <c r="K53" s="134"/>
      <c r="L53" s="134"/>
      <c r="M53" s="134"/>
      <c r="N53" s="134"/>
    </row>
    <row r="54" spans="1:24" x14ac:dyDescent="0.25">
      <c r="A54" s="39" t="s">
        <v>100</v>
      </c>
      <c r="B54" s="36" t="s">
        <v>248</v>
      </c>
      <c r="D54" s="133">
        <v>600000</v>
      </c>
      <c r="E54" s="134">
        <f>D54*(1+E$3)</f>
        <v>618000</v>
      </c>
      <c r="F54" s="134">
        <f>E54*(1+F$3)</f>
        <v>636540</v>
      </c>
      <c r="G54" s="134">
        <f t="shared" ref="G54:N54" si="11">F54*(1+G$3)</f>
        <v>655636.20000000007</v>
      </c>
      <c r="H54" s="134">
        <f t="shared" si="11"/>
        <v>675305.28600000008</v>
      </c>
      <c r="I54" s="134">
        <f t="shared" si="11"/>
        <v>695564.44458000013</v>
      </c>
      <c r="J54" s="134">
        <f t="shared" si="11"/>
        <v>716431.3779174001</v>
      </c>
      <c r="K54" s="134">
        <f t="shared" si="11"/>
        <v>737924.3192549221</v>
      </c>
      <c r="L54" s="134">
        <f t="shared" si="11"/>
        <v>760062.04883256974</v>
      </c>
      <c r="M54" s="134">
        <f t="shared" si="11"/>
        <v>782863.91029754688</v>
      </c>
      <c r="N54" s="134">
        <f t="shared" si="11"/>
        <v>806349.82760647335</v>
      </c>
    </row>
    <row r="55" spans="1:24" x14ac:dyDescent="0.25">
      <c r="A55" s="39" t="s">
        <v>100</v>
      </c>
      <c r="B55" s="36" t="s">
        <v>249</v>
      </c>
      <c r="D55" s="133">
        <v>3000000</v>
      </c>
      <c r="E55" s="134">
        <f>D55*(1+E$3)</f>
        <v>3090000</v>
      </c>
      <c r="F55" s="134">
        <f>E55*(1+F$3)</f>
        <v>3182700</v>
      </c>
      <c r="G55" s="134">
        <f t="shared" ref="G55:N55" si="12">F55*(1+G$3)</f>
        <v>3278181</v>
      </c>
      <c r="H55" s="134">
        <f t="shared" si="12"/>
        <v>3376526.43</v>
      </c>
      <c r="I55" s="134">
        <f t="shared" si="12"/>
        <v>3477822.2229000004</v>
      </c>
      <c r="J55" s="134">
        <f t="shared" si="12"/>
        <v>3582156.8895870005</v>
      </c>
      <c r="K55" s="134">
        <f t="shared" si="12"/>
        <v>3689621.5962746106</v>
      </c>
      <c r="L55" s="134">
        <f t="shared" si="12"/>
        <v>3800310.2441628492</v>
      </c>
      <c r="M55" s="134">
        <f t="shared" si="12"/>
        <v>3914319.5514877345</v>
      </c>
      <c r="N55" s="134">
        <f t="shared" si="12"/>
        <v>4031749.1380323665</v>
      </c>
    </row>
    <row r="56" spans="1:24" x14ac:dyDescent="0.25">
      <c r="C56" s="135"/>
      <c r="E56" s="45"/>
      <c r="F56" s="45"/>
      <c r="G56" s="45"/>
      <c r="H56" s="45"/>
      <c r="I56" s="45"/>
      <c r="J56" s="45"/>
      <c r="K56" s="45"/>
      <c r="L56" s="45"/>
      <c r="M56" s="45"/>
      <c r="N56" s="45"/>
    </row>
    <row r="57" spans="1:24" x14ac:dyDescent="0.25">
      <c r="C57" s="13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</row>
    <row r="59" spans="1:24" x14ac:dyDescent="0.25">
      <c r="A59" s="39" t="s">
        <v>100</v>
      </c>
      <c r="B59" s="36" t="s">
        <v>61</v>
      </c>
      <c r="C59" s="36">
        <v>12</v>
      </c>
    </row>
    <row r="60" spans="1:24" x14ac:dyDescent="0.25">
      <c r="V60" s="68"/>
      <c r="W60" s="68"/>
      <c r="X60" s="68"/>
    </row>
    <row r="61" spans="1:24" x14ac:dyDescent="0.25">
      <c r="A61" s="39" t="s">
        <v>100</v>
      </c>
      <c r="B61" s="36" t="s">
        <v>62</v>
      </c>
      <c r="D61" s="89">
        <f>+((C30+C31)*1%)/4</f>
        <v>5650000</v>
      </c>
      <c r="E61" s="57">
        <f t="shared" ref="E61:N61" si="13">+D61*(1+D3)</f>
        <v>5791249.9999999991</v>
      </c>
      <c r="F61" s="57">
        <f t="shared" si="13"/>
        <v>5964987.4999999991</v>
      </c>
      <c r="G61" s="57">
        <f t="shared" si="13"/>
        <v>6143937.1249999991</v>
      </c>
      <c r="H61" s="57">
        <f t="shared" si="13"/>
        <v>6328255.2387499996</v>
      </c>
      <c r="I61" s="57">
        <f t="shared" si="13"/>
        <v>6518102.8959125001</v>
      </c>
      <c r="J61" s="57">
        <f t="shared" si="13"/>
        <v>6713645.982789875</v>
      </c>
      <c r="K61" s="57">
        <f t="shared" si="13"/>
        <v>6915055.3622735711</v>
      </c>
      <c r="L61" s="57">
        <f t="shared" si="13"/>
        <v>7122507.0231417781</v>
      </c>
      <c r="M61" s="57">
        <f t="shared" si="13"/>
        <v>7336182.2338360315</v>
      </c>
      <c r="N61" s="57">
        <f t="shared" si="13"/>
        <v>7556267.7008511126</v>
      </c>
    </row>
    <row r="62" spans="1:24" x14ac:dyDescent="0.25">
      <c r="A62" s="39" t="s">
        <v>100</v>
      </c>
      <c r="B62" s="36" t="s">
        <v>246</v>
      </c>
      <c r="D62" s="89">
        <v>1500000</v>
      </c>
      <c r="E62" s="57">
        <f t="shared" ref="E62:N62" si="14">+D62*(1+D3)</f>
        <v>1537499.9999999998</v>
      </c>
      <c r="F62" s="57">
        <f t="shared" si="14"/>
        <v>1583624.9999999998</v>
      </c>
      <c r="G62" s="57">
        <f t="shared" si="14"/>
        <v>1631133.7499999998</v>
      </c>
      <c r="H62" s="57">
        <f t="shared" si="14"/>
        <v>1680067.7624999997</v>
      </c>
      <c r="I62" s="57">
        <f t="shared" si="14"/>
        <v>1730469.7953749998</v>
      </c>
      <c r="J62" s="57">
        <f t="shared" si="14"/>
        <v>1782383.8892362497</v>
      </c>
      <c r="K62" s="57">
        <f t="shared" si="14"/>
        <v>1835855.4059133374</v>
      </c>
      <c r="L62" s="57">
        <f t="shared" si="14"/>
        <v>1890931.0680907376</v>
      </c>
      <c r="M62" s="57">
        <f t="shared" si="14"/>
        <v>1947659.0001334597</v>
      </c>
      <c r="N62" s="57">
        <f t="shared" si="14"/>
        <v>2006088.7701374635</v>
      </c>
      <c r="X62" s="68"/>
    </row>
    <row r="63" spans="1:24" x14ac:dyDescent="0.25">
      <c r="X63" s="58"/>
    </row>
    <row r="65" spans="2:3" x14ac:dyDescent="0.25">
      <c r="B65" s="47"/>
    </row>
    <row r="66" spans="2:3" x14ac:dyDescent="0.25">
      <c r="C66" s="57"/>
    </row>
    <row r="67" spans="2:3" x14ac:dyDescent="0.25">
      <c r="C67" s="57"/>
    </row>
    <row r="68" spans="2:3" x14ac:dyDescent="0.25">
      <c r="C68" s="57"/>
    </row>
    <row r="69" spans="2:3" x14ac:dyDescent="0.25">
      <c r="C69" s="57"/>
    </row>
    <row r="70" spans="2:3" x14ac:dyDescent="0.25">
      <c r="C70" s="126"/>
    </row>
    <row r="72" spans="2:3" x14ac:dyDescent="0.25">
      <c r="B72" s="47"/>
    </row>
    <row r="73" spans="2:3" x14ac:dyDescent="0.25">
      <c r="C73" s="57"/>
    </row>
    <row r="76" spans="2:3" x14ac:dyDescent="0.25">
      <c r="B76" s="47"/>
      <c r="C76" s="128"/>
    </row>
  </sheetData>
  <pageMargins left="0.70866141732283472" right="0.70866141732283472" top="0.74803149606299213" bottom="0.74803149606299213" header="0.31496062992125984" footer="0.31496062992125984"/>
  <pageSetup scale="62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B2:EF48"/>
  <sheetViews>
    <sheetView showGridLines="0" zoomScale="70" zoomScaleNormal="70" workbookViewId="0"/>
  </sheetViews>
  <sheetFormatPr defaultColWidth="11.44140625" defaultRowHeight="13.8" x14ac:dyDescent="0.25"/>
  <cols>
    <col min="1" max="1" width="1" style="36" customWidth="1"/>
    <col min="2" max="2" width="7.44140625" style="39" customWidth="1"/>
    <col min="3" max="3" width="18.44140625" style="39" bestFit="1" customWidth="1"/>
    <col min="4" max="4" width="26.109375" style="36" customWidth="1"/>
    <col min="5" max="136" width="22.5546875" style="57" customWidth="1"/>
    <col min="137" max="16384" width="11.44140625" style="36"/>
  </cols>
  <sheetData>
    <row r="2" spans="2:136" s="53" customFormat="1" ht="20.399999999999999" x14ac:dyDescent="0.35">
      <c r="B2" s="91"/>
      <c r="C2" s="91"/>
      <c r="E2" s="92">
        <v>2021</v>
      </c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3">
        <f>+E2+1</f>
        <v>2022</v>
      </c>
      <c r="R2" s="94"/>
      <c r="S2" s="94"/>
      <c r="T2" s="94"/>
      <c r="U2" s="94"/>
      <c r="V2" s="94"/>
      <c r="W2" s="94"/>
      <c r="X2" s="94"/>
      <c r="Y2" s="94"/>
      <c r="Z2" s="94"/>
      <c r="AA2" s="94"/>
      <c r="AB2" s="95"/>
      <c r="AC2" s="93">
        <f t="shared" ref="AC2" si="0">+Q2+1</f>
        <v>2023</v>
      </c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5"/>
      <c r="AO2" s="92">
        <v>2024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>
        <v>2025</v>
      </c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>
        <v>2026</v>
      </c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>
        <v>2027</v>
      </c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>
        <v>2028</v>
      </c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>
        <v>2029</v>
      </c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>
        <v>2030</v>
      </c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6">
        <v>2031</v>
      </c>
      <c r="DV2" s="96"/>
      <c r="DW2" s="96"/>
      <c r="DX2" s="96"/>
      <c r="DY2" s="96"/>
      <c r="DZ2" s="96"/>
      <c r="EA2" s="96"/>
      <c r="EB2" s="96"/>
      <c r="EC2" s="96"/>
      <c r="ED2" s="96"/>
      <c r="EE2" s="96"/>
      <c r="EF2" s="96"/>
    </row>
    <row r="3" spans="2:136" s="55" customFormat="1" x14ac:dyDescent="0.25">
      <c r="B3" s="97" t="s">
        <v>101</v>
      </c>
      <c r="C3" s="97"/>
      <c r="E3" s="88" t="s">
        <v>69</v>
      </c>
      <c r="F3" s="88" t="s">
        <v>70</v>
      </c>
      <c r="G3" s="88" t="s">
        <v>71</v>
      </c>
      <c r="H3" s="88" t="s">
        <v>58</v>
      </c>
      <c r="I3" s="88" t="s">
        <v>72</v>
      </c>
      <c r="J3" s="88" t="s">
        <v>73</v>
      </c>
      <c r="K3" s="88" t="s">
        <v>74</v>
      </c>
      <c r="L3" s="88" t="s">
        <v>75</v>
      </c>
      <c r="M3" s="88" t="s">
        <v>76</v>
      </c>
      <c r="N3" s="88" t="s">
        <v>77</v>
      </c>
      <c r="O3" s="88" t="s">
        <v>78</v>
      </c>
      <c r="P3" s="88" t="s">
        <v>79</v>
      </c>
      <c r="Q3" s="88" t="s">
        <v>69</v>
      </c>
      <c r="R3" s="88" t="s">
        <v>70</v>
      </c>
      <c r="S3" s="88" t="s">
        <v>71</v>
      </c>
      <c r="T3" s="88" t="s">
        <v>58</v>
      </c>
      <c r="U3" s="88" t="s">
        <v>72</v>
      </c>
      <c r="V3" s="88" t="s">
        <v>73</v>
      </c>
      <c r="W3" s="88" t="s">
        <v>74</v>
      </c>
      <c r="X3" s="88" t="s">
        <v>75</v>
      </c>
      <c r="Y3" s="88" t="s">
        <v>76</v>
      </c>
      <c r="Z3" s="88" t="s">
        <v>77</v>
      </c>
      <c r="AA3" s="88" t="s">
        <v>78</v>
      </c>
      <c r="AB3" s="88" t="s">
        <v>79</v>
      </c>
      <c r="AC3" s="88" t="s">
        <v>69</v>
      </c>
      <c r="AD3" s="88" t="s">
        <v>70</v>
      </c>
      <c r="AE3" s="88" t="s">
        <v>71</v>
      </c>
      <c r="AF3" s="88" t="s">
        <v>58</v>
      </c>
      <c r="AG3" s="88" t="s">
        <v>72</v>
      </c>
      <c r="AH3" s="88" t="s">
        <v>73</v>
      </c>
      <c r="AI3" s="88" t="s">
        <v>74</v>
      </c>
      <c r="AJ3" s="88" t="s">
        <v>75</v>
      </c>
      <c r="AK3" s="88" t="s">
        <v>76</v>
      </c>
      <c r="AL3" s="88" t="s">
        <v>77</v>
      </c>
      <c r="AM3" s="88" t="s">
        <v>78</v>
      </c>
      <c r="AN3" s="88" t="s">
        <v>79</v>
      </c>
      <c r="AO3" s="88" t="s">
        <v>69</v>
      </c>
      <c r="AP3" s="88" t="s">
        <v>70</v>
      </c>
      <c r="AQ3" s="88" t="s">
        <v>71</v>
      </c>
      <c r="AR3" s="88" t="s">
        <v>58</v>
      </c>
      <c r="AS3" s="88" t="s">
        <v>72</v>
      </c>
      <c r="AT3" s="88" t="s">
        <v>73</v>
      </c>
      <c r="AU3" s="88" t="s">
        <v>74</v>
      </c>
      <c r="AV3" s="88" t="s">
        <v>75</v>
      </c>
      <c r="AW3" s="88" t="s">
        <v>76</v>
      </c>
      <c r="AX3" s="88" t="s">
        <v>77</v>
      </c>
      <c r="AY3" s="88" t="s">
        <v>78</v>
      </c>
      <c r="AZ3" s="88" t="s">
        <v>79</v>
      </c>
      <c r="BA3" s="88" t="s">
        <v>69</v>
      </c>
      <c r="BB3" s="88" t="s">
        <v>70</v>
      </c>
      <c r="BC3" s="88" t="s">
        <v>71</v>
      </c>
      <c r="BD3" s="88" t="s">
        <v>58</v>
      </c>
      <c r="BE3" s="88" t="s">
        <v>72</v>
      </c>
      <c r="BF3" s="88" t="s">
        <v>73</v>
      </c>
      <c r="BG3" s="88" t="s">
        <v>74</v>
      </c>
      <c r="BH3" s="88" t="s">
        <v>75</v>
      </c>
      <c r="BI3" s="88" t="s">
        <v>76</v>
      </c>
      <c r="BJ3" s="88" t="s">
        <v>77</v>
      </c>
      <c r="BK3" s="88" t="s">
        <v>78</v>
      </c>
      <c r="BL3" s="88" t="s">
        <v>79</v>
      </c>
      <c r="BM3" s="88" t="s">
        <v>69</v>
      </c>
      <c r="BN3" s="88" t="s">
        <v>70</v>
      </c>
      <c r="BO3" s="88" t="s">
        <v>71</v>
      </c>
      <c r="BP3" s="88" t="s">
        <v>58</v>
      </c>
      <c r="BQ3" s="88" t="s">
        <v>72</v>
      </c>
      <c r="BR3" s="88" t="s">
        <v>73</v>
      </c>
      <c r="BS3" s="88" t="s">
        <v>74</v>
      </c>
      <c r="BT3" s="88" t="s">
        <v>75</v>
      </c>
      <c r="BU3" s="88" t="s">
        <v>76</v>
      </c>
      <c r="BV3" s="88" t="s">
        <v>77</v>
      </c>
      <c r="BW3" s="88" t="s">
        <v>78</v>
      </c>
      <c r="BX3" s="88" t="s">
        <v>79</v>
      </c>
      <c r="BY3" s="88" t="s">
        <v>69</v>
      </c>
      <c r="BZ3" s="88" t="s">
        <v>70</v>
      </c>
      <c r="CA3" s="88" t="s">
        <v>71</v>
      </c>
      <c r="CB3" s="88" t="s">
        <v>58</v>
      </c>
      <c r="CC3" s="88" t="s">
        <v>72</v>
      </c>
      <c r="CD3" s="88" t="s">
        <v>73</v>
      </c>
      <c r="CE3" s="88" t="s">
        <v>74</v>
      </c>
      <c r="CF3" s="88" t="s">
        <v>75</v>
      </c>
      <c r="CG3" s="88" t="s">
        <v>76</v>
      </c>
      <c r="CH3" s="88" t="s">
        <v>77</v>
      </c>
      <c r="CI3" s="88" t="s">
        <v>78</v>
      </c>
      <c r="CJ3" s="88" t="s">
        <v>79</v>
      </c>
      <c r="CK3" s="88" t="s">
        <v>69</v>
      </c>
      <c r="CL3" s="88" t="s">
        <v>70</v>
      </c>
      <c r="CM3" s="88" t="s">
        <v>71</v>
      </c>
      <c r="CN3" s="88" t="s">
        <v>58</v>
      </c>
      <c r="CO3" s="88" t="s">
        <v>72</v>
      </c>
      <c r="CP3" s="88" t="s">
        <v>73</v>
      </c>
      <c r="CQ3" s="88" t="s">
        <v>74</v>
      </c>
      <c r="CR3" s="88" t="s">
        <v>75</v>
      </c>
      <c r="CS3" s="88" t="s">
        <v>76</v>
      </c>
      <c r="CT3" s="88" t="s">
        <v>77</v>
      </c>
      <c r="CU3" s="88" t="s">
        <v>78</v>
      </c>
      <c r="CV3" s="88" t="s">
        <v>79</v>
      </c>
      <c r="CW3" s="88" t="s">
        <v>69</v>
      </c>
      <c r="CX3" s="88" t="s">
        <v>70</v>
      </c>
      <c r="CY3" s="88" t="s">
        <v>71</v>
      </c>
      <c r="CZ3" s="88" t="s">
        <v>58</v>
      </c>
      <c r="DA3" s="88" t="s">
        <v>72</v>
      </c>
      <c r="DB3" s="88" t="s">
        <v>73</v>
      </c>
      <c r="DC3" s="88" t="s">
        <v>74</v>
      </c>
      <c r="DD3" s="88" t="s">
        <v>75</v>
      </c>
      <c r="DE3" s="88" t="s">
        <v>76</v>
      </c>
      <c r="DF3" s="88" t="s">
        <v>77</v>
      </c>
      <c r="DG3" s="88" t="s">
        <v>78</v>
      </c>
      <c r="DH3" s="88" t="s">
        <v>79</v>
      </c>
      <c r="DI3" s="88" t="s">
        <v>69</v>
      </c>
      <c r="DJ3" s="88" t="s">
        <v>70</v>
      </c>
      <c r="DK3" s="88" t="s">
        <v>71</v>
      </c>
      <c r="DL3" s="88" t="s">
        <v>58</v>
      </c>
      <c r="DM3" s="88" t="s">
        <v>72</v>
      </c>
      <c r="DN3" s="88" t="s">
        <v>73</v>
      </c>
      <c r="DO3" s="88" t="s">
        <v>74</v>
      </c>
      <c r="DP3" s="88" t="s">
        <v>75</v>
      </c>
      <c r="DQ3" s="88" t="s">
        <v>76</v>
      </c>
      <c r="DR3" s="88" t="s">
        <v>77</v>
      </c>
      <c r="DS3" s="88" t="s">
        <v>78</v>
      </c>
      <c r="DT3" s="88" t="s">
        <v>79</v>
      </c>
      <c r="DU3" s="88" t="s">
        <v>69</v>
      </c>
      <c r="DV3" s="88" t="s">
        <v>70</v>
      </c>
      <c r="DW3" s="88" t="s">
        <v>71</v>
      </c>
      <c r="DX3" s="88" t="s">
        <v>58</v>
      </c>
      <c r="DY3" s="88" t="s">
        <v>72</v>
      </c>
      <c r="DZ3" s="88" t="s">
        <v>73</v>
      </c>
      <c r="EA3" s="88" t="s">
        <v>74</v>
      </c>
      <c r="EB3" s="88" t="s">
        <v>75</v>
      </c>
      <c r="EC3" s="88" t="s">
        <v>76</v>
      </c>
      <c r="ED3" s="88" t="s">
        <v>77</v>
      </c>
      <c r="EE3" s="88" t="s">
        <v>78</v>
      </c>
      <c r="EF3" s="88" t="s">
        <v>79</v>
      </c>
    </row>
    <row r="5" spans="2:136" s="47" customFormat="1" x14ac:dyDescent="0.25">
      <c r="B5" s="41" t="s">
        <v>100</v>
      </c>
      <c r="C5" s="41"/>
      <c r="D5" s="47" t="s">
        <v>64</v>
      </c>
      <c r="E5" s="68">
        <v>0</v>
      </c>
      <c r="F5" s="68">
        <f>+'7 Informacion Base'!$D$20*'7 Informacion Base'!$D$21*'7 Informacion Base'!$C$18</f>
        <v>22500000</v>
      </c>
      <c r="G5" s="68">
        <f>+'7 Informacion Base'!$D$20*'7 Informacion Base'!$D$21*'7 Informacion Base'!$C$18</f>
        <v>22500000</v>
      </c>
      <c r="H5" s="68">
        <f>+'7 Informacion Base'!$D$20*'7 Informacion Base'!$D$21*'7 Informacion Base'!$C$18</f>
        <v>22500000</v>
      </c>
      <c r="I5" s="68">
        <f>+'7 Informacion Base'!$D$20*'7 Informacion Base'!$D$21*'7 Informacion Base'!$C$18</f>
        <v>22500000</v>
      </c>
      <c r="J5" s="68">
        <f>+'7 Informacion Base'!$D$20*'7 Informacion Base'!$D$21*'7 Informacion Base'!$C$18</f>
        <v>22500000</v>
      </c>
      <c r="K5" s="68">
        <f>+'7 Informacion Base'!$D$20*'7 Informacion Base'!$D$21*'7 Informacion Base'!$C$18</f>
        <v>22500000</v>
      </c>
      <c r="L5" s="68">
        <f>+'7 Informacion Base'!$D$20*'7 Informacion Base'!$D$21*'7 Informacion Base'!$C$18</f>
        <v>22500000</v>
      </c>
      <c r="M5" s="68">
        <f>+'7 Informacion Base'!$D$20*'7 Informacion Base'!$D$21*'7 Informacion Base'!$C$18</f>
        <v>22500000</v>
      </c>
      <c r="N5" s="68">
        <f>+'7 Informacion Base'!$D$20*'7 Informacion Base'!$D$21*'7 Informacion Base'!$C$18</f>
        <v>22500000</v>
      </c>
      <c r="O5" s="68">
        <f>+'7 Informacion Base'!$D$20*'7 Informacion Base'!$D$21*'7 Informacion Base'!$C$18</f>
        <v>22500000</v>
      </c>
      <c r="P5" s="68">
        <f>+'7 Informacion Base'!$D$20*'7 Informacion Base'!$D$21*'7 Informacion Base'!$C$18</f>
        <v>22500000</v>
      </c>
      <c r="Q5" s="68">
        <f>+'7 Informacion Base'!$E$20*'7 Informacion Base'!$E$21*'7 Informacion Base'!$C$18</f>
        <v>32287500</v>
      </c>
      <c r="R5" s="68">
        <f>+'7 Informacion Base'!$E$20*'7 Informacion Base'!$E$21*'7 Informacion Base'!$C$18</f>
        <v>32287500</v>
      </c>
      <c r="S5" s="68">
        <f>+'7 Informacion Base'!$E$20*'7 Informacion Base'!$E$21*'7 Informacion Base'!$C$18</f>
        <v>32287500</v>
      </c>
      <c r="T5" s="68">
        <f>+'7 Informacion Base'!$E$20*'7 Informacion Base'!$E$21*'7 Informacion Base'!$C$18</f>
        <v>32287500</v>
      </c>
      <c r="U5" s="68">
        <f>+'7 Informacion Base'!$E$20*'7 Informacion Base'!$E$21*'7 Informacion Base'!$C$18</f>
        <v>32287500</v>
      </c>
      <c r="V5" s="68">
        <f>+'7 Informacion Base'!$E$20*'7 Informacion Base'!$E$21*'7 Informacion Base'!$C$18</f>
        <v>32287500</v>
      </c>
      <c r="W5" s="68">
        <f>+'7 Informacion Base'!$E$20*'7 Informacion Base'!$E$21*'7 Informacion Base'!$C$18</f>
        <v>32287500</v>
      </c>
      <c r="X5" s="68">
        <f>+'7 Informacion Base'!$E$20*'7 Informacion Base'!$E$21*'7 Informacion Base'!$C$18</f>
        <v>32287500</v>
      </c>
      <c r="Y5" s="68">
        <f>+'7 Informacion Base'!$E$20*'7 Informacion Base'!$E$21*'7 Informacion Base'!$C$18</f>
        <v>32287500</v>
      </c>
      <c r="Z5" s="68">
        <f>+'7 Informacion Base'!$E$20*'7 Informacion Base'!$E$21*'7 Informacion Base'!$C$18</f>
        <v>32287500</v>
      </c>
      <c r="AA5" s="68">
        <f>+'7 Informacion Base'!$E$20*'7 Informacion Base'!$E$21*'7 Informacion Base'!$C$18</f>
        <v>32287500</v>
      </c>
      <c r="AB5" s="68">
        <f>+'7 Informacion Base'!$E$20*'7 Informacion Base'!$E$21*'7 Informacion Base'!$C$18</f>
        <v>32287500</v>
      </c>
      <c r="AC5" s="68">
        <f>+'7 Informacion Base'!$F$20*'7 Informacion Base'!$F$21*'7 Informacion Base'!$C$18</f>
        <v>47508750</v>
      </c>
      <c r="AD5" s="68">
        <f>+'7 Informacion Base'!$F$20*'7 Informacion Base'!$F$21*'7 Informacion Base'!$C$18</f>
        <v>47508750</v>
      </c>
      <c r="AE5" s="68">
        <f>+'7 Informacion Base'!$F$20*'7 Informacion Base'!$F$21*'7 Informacion Base'!$C$18</f>
        <v>47508750</v>
      </c>
      <c r="AF5" s="68">
        <f>+'7 Informacion Base'!$F$20*'7 Informacion Base'!$F$21*'7 Informacion Base'!$C$18</f>
        <v>47508750</v>
      </c>
      <c r="AG5" s="68">
        <f>+'7 Informacion Base'!$F$20*'7 Informacion Base'!$F$21*'7 Informacion Base'!$C$18</f>
        <v>47508750</v>
      </c>
      <c r="AH5" s="68">
        <f>+'7 Informacion Base'!$F$20*'7 Informacion Base'!$F$21*'7 Informacion Base'!$C$18</f>
        <v>47508750</v>
      </c>
      <c r="AI5" s="68">
        <f>+'7 Informacion Base'!$F$20*'7 Informacion Base'!$F$21*'7 Informacion Base'!$C$18</f>
        <v>47508750</v>
      </c>
      <c r="AJ5" s="68">
        <f>+'7 Informacion Base'!$F$20*'7 Informacion Base'!$F$21*'7 Informacion Base'!$C$18</f>
        <v>47508750</v>
      </c>
      <c r="AK5" s="68">
        <f>+'7 Informacion Base'!$F$20*'7 Informacion Base'!$F$21*'7 Informacion Base'!$C$18</f>
        <v>47508750</v>
      </c>
      <c r="AL5" s="68">
        <f>+'7 Informacion Base'!$F$20*'7 Informacion Base'!$F$21*'7 Informacion Base'!$C$18</f>
        <v>47508750</v>
      </c>
      <c r="AM5" s="68">
        <f>+'7 Informacion Base'!$F$20*'7 Informacion Base'!$F$21*'7 Informacion Base'!$C$18</f>
        <v>47508750</v>
      </c>
      <c r="AN5" s="68">
        <f>+'7 Informacion Base'!$F$20*'7 Informacion Base'!$F$21*'7 Informacion Base'!$C$18</f>
        <v>47508750</v>
      </c>
      <c r="AO5" s="68">
        <f>+'7 Informacion Base'!$G$20*'7 Informacion Base'!$G$21*'7 Informacion Base'!$C$18</f>
        <v>68507617.5</v>
      </c>
      <c r="AP5" s="68">
        <f>+'7 Informacion Base'!$G$20*'7 Informacion Base'!$G$21*'7 Informacion Base'!$C$18</f>
        <v>68507617.5</v>
      </c>
      <c r="AQ5" s="68">
        <f>+'7 Informacion Base'!$G$20*'7 Informacion Base'!$G$21*'7 Informacion Base'!$C$18</f>
        <v>68507617.5</v>
      </c>
      <c r="AR5" s="68">
        <f>+'7 Informacion Base'!$G$20*'7 Informacion Base'!$G$21*'7 Informacion Base'!$C$18</f>
        <v>68507617.5</v>
      </c>
      <c r="AS5" s="68">
        <f>+'7 Informacion Base'!$G$20*'7 Informacion Base'!$G$21*'7 Informacion Base'!$C$18</f>
        <v>68507617.5</v>
      </c>
      <c r="AT5" s="68">
        <f>+'7 Informacion Base'!$G$20*'7 Informacion Base'!$G$21*'7 Informacion Base'!$C$18</f>
        <v>68507617.5</v>
      </c>
      <c r="AU5" s="68">
        <f>+'7 Informacion Base'!$G$20*'7 Informacion Base'!$G$21*'7 Informacion Base'!$C$18</f>
        <v>68507617.5</v>
      </c>
      <c r="AV5" s="68">
        <f>+'7 Informacion Base'!$G$20*'7 Informacion Base'!$G$21*'7 Informacion Base'!$C$18</f>
        <v>68507617.5</v>
      </c>
      <c r="AW5" s="68">
        <f>+'7 Informacion Base'!$G$20*'7 Informacion Base'!$G$21*'7 Informacion Base'!$C$18</f>
        <v>68507617.5</v>
      </c>
      <c r="AX5" s="68">
        <f>+'7 Informacion Base'!$G$20*'7 Informacion Base'!$G$21*'7 Informacion Base'!$C$18</f>
        <v>68507617.5</v>
      </c>
      <c r="AY5" s="68">
        <f>+'7 Informacion Base'!$G$20*'7 Informacion Base'!$G$21*'7 Informacion Base'!$C$18</f>
        <v>68507617.5</v>
      </c>
      <c r="AZ5" s="68">
        <f>+'7 Informacion Base'!$G$20*'7 Informacion Base'!$G$21*'7 Informacion Base'!$C$18</f>
        <v>68507617.5</v>
      </c>
      <c r="BA5" s="68">
        <f>+'7 Informacion Base'!$H$20*'7 Informacion Base'!$H$21*'7 Informacion Base'!$C$18</f>
        <v>90723659.175000012</v>
      </c>
      <c r="BB5" s="68">
        <f>+'7 Informacion Base'!$H$20*'7 Informacion Base'!$H$21*'7 Informacion Base'!$C$18</f>
        <v>90723659.175000012</v>
      </c>
      <c r="BC5" s="68">
        <f>+'7 Informacion Base'!$H$20*'7 Informacion Base'!$H$21*'7 Informacion Base'!$C$18</f>
        <v>90723659.175000012</v>
      </c>
      <c r="BD5" s="68">
        <f>+'7 Informacion Base'!$H$20*'7 Informacion Base'!$H$21*'7 Informacion Base'!$C$18</f>
        <v>90723659.175000012</v>
      </c>
      <c r="BE5" s="68">
        <f>+'7 Informacion Base'!$H$20*'7 Informacion Base'!$H$21*'7 Informacion Base'!$C$18</f>
        <v>90723659.175000012</v>
      </c>
      <c r="BF5" s="68">
        <f>+'7 Informacion Base'!$H$20*'7 Informacion Base'!$H$21*'7 Informacion Base'!$C$18</f>
        <v>90723659.175000012</v>
      </c>
      <c r="BG5" s="68">
        <f>+'7 Informacion Base'!$H$20*'7 Informacion Base'!$H$21*'7 Informacion Base'!$C$18</f>
        <v>90723659.175000012</v>
      </c>
      <c r="BH5" s="68">
        <f>+'7 Informacion Base'!$H$20*'7 Informacion Base'!$H$21*'7 Informacion Base'!$C$18</f>
        <v>90723659.175000012</v>
      </c>
      <c r="BI5" s="68">
        <f>+'7 Informacion Base'!$H$20*'7 Informacion Base'!$H$21*'7 Informacion Base'!$C$18</f>
        <v>90723659.175000012</v>
      </c>
      <c r="BJ5" s="68">
        <f>+'7 Informacion Base'!$H$20*'7 Informacion Base'!$H$21*'7 Informacion Base'!$C$18</f>
        <v>90723659.175000012</v>
      </c>
      <c r="BK5" s="68">
        <f>+'7 Informacion Base'!$H$20*'7 Informacion Base'!$H$21*'7 Informacion Base'!$C$18</f>
        <v>90723659.175000012</v>
      </c>
      <c r="BL5" s="68">
        <f>+'7 Informacion Base'!$H$20*'7 Informacion Base'!$H$21*'7 Informacion Base'!$C$18</f>
        <v>90723659.175000012</v>
      </c>
      <c r="BM5" s="68">
        <f>+'7 Informacion Base'!$I$20*'7 Informacion Base'!$I$21*'7 Informacion Base'!$C$18</f>
        <v>98636778.336375028</v>
      </c>
      <c r="BN5" s="68">
        <f>+'7 Informacion Base'!$I$20*'7 Informacion Base'!$I$21*'7 Informacion Base'!$C$18</f>
        <v>98636778.336375028</v>
      </c>
      <c r="BO5" s="68">
        <f>+'7 Informacion Base'!$I$20*'7 Informacion Base'!$I$21*'7 Informacion Base'!$C$18</f>
        <v>98636778.336375028</v>
      </c>
      <c r="BP5" s="68">
        <f>+'7 Informacion Base'!$I$20*'7 Informacion Base'!$I$21*'7 Informacion Base'!$C$18</f>
        <v>98636778.336375028</v>
      </c>
      <c r="BQ5" s="68">
        <f>+'7 Informacion Base'!$I$20*'7 Informacion Base'!$I$21*'7 Informacion Base'!$C$18</f>
        <v>98636778.336375028</v>
      </c>
      <c r="BR5" s="68">
        <f>+'7 Informacion Base'!$I$20*'7 Informacion Base'!$I$21*'7 Informacion Base'!$C$18</f>
        <v>98636778.336375028</v>
      </c>
      <c r="BS5" s="68">
        <f>+'7 Informacion Base'!$I$20*'7 Informacion Base'!$I$21*'7 Informacion Base'!$C$18</f>
        <v>98636778.336375028</v>
      </c>
      <c r="BT5" s="68">
        <f>+'7 Informacion Base'!$I$20*'7 Informacion Base'!$I$21*'7 Informacion Base'!$C$18</f>
        <v>98636778.336375028</v>
      </c>
      <c r="BU5" s="68">
        <f>+'7 Informacion Base'!$I$20*'7 Informacion Base'!$I$21*'7 Informacion Base'!$C$18</f>
        <v>98636778.336375028</v>
      </c>
      <c r="BV5" s="68">
        <f>+'7 Informacion Base'!$I$20*'7 Informacion Base'!$I$21*'7 Informacion Base'!$C$18</f>
        <v>98636778.336375028</v>
      </c>
      <c r="BW5" s="68">
        <f>+'7 Informacion Base'!$I$20*'7 Informacion Base'!$I$21*'7 Informacion Base'!$C$18</f>
        <v>98636778.336375028</v>
      </c>
      <c r="BX5" s="68">
        <f>+'7 Informacion Base'!$I$20*'7 Informacion Base'!$I$21*'7 Informacion Base'!$C$18</f>
        <v>98636778.336375028</v>
      </c>
      <c r="BY5" s="68">
        <f>+'7 Informacion Base'!$J$20*'7 Informacion Base'!$J$21*'7 Informacion Base'!$C$18</f>
        <v>101595881.68646628</v>
      </c>
      <c r="BZ5" s="68">
        <f>+'7 Informacion Base'!$J$20*'7 Informacion Base'!$J$21*'7 Informacion Base'!$C$18</f>
        <v>101595881.68646628</v>
      </c>
      <c r="CA5" s="68">
        <f>+'7 Informacion Base'!$J$20*'7 Informacion Base'!$J$21*'7 Informacion Base'!$C$18</f>
        <v>101595881.68646628</v>
      </c>
      <c r="CB5" s="68">
        <f>+'7 Informacion Base'!$J$20*'7 Informacion Base'!$J$21*'7 Informacion Base'!$C$18</f>
        <v>101595881.68646628</v>
      </c>
      <c r="CC5" s="68">
        <f>+'7 Informacion Base'!$J$20*'7 Informacion Base'!$J$21*'7 Informacion Base'!$C$18</f>
        <v>101595881.68646628</v>
      </c>
      <c r="CD5" s="68">
        <f>+'7 Informacion Base'!$J$20*'7 Informacion Base'!$J$21*'7 Informacion Base'!$C$18</f>
        <v>101595881.68646628</v>
      </c>
      <c r="CE5" s="68">
        <f>+'7 Informacion Base'!$J$20*'7 Informacion Base'!$J$21*'7 Informacion Base'!$C$18</f>
        <v>101595881.68646628</v>
      </c>
      <c r="CF5" s="68">
        <f>+'7 Informacion Base'!$J$20*'7 Informacion Base'!$J$21*'7 Informacion Base'!$C$18</f>
        <v>101595881.68646628</v>
      </c>
      <c r="CG5" s="68">
        <f>+'7 Informacion Base'!$J$20*'7 Informacion Base'!$J$21*'7 Informacion Base'!$C$18</f>
        <v>101595881.68646628</v>
      </c>
      <c r="CH5" s="68">
        <f>+'7 Informacion Base'!$J$20*'7 Informacion Base'!$J$21*'7 Informacion Base'!$C$18</f>
        <v>101595881.68646628</v>
      </c>
      <c r="CI5" s="68">
        <f>+'7 Informacion Base'!$J$20*'7 Informacion Base'!$J$21*'7 Informacion Base'!$C$18</f>
        <v>101595881.68646628</v>
      </c>
      <c r="CJ5" s="68">
        <f>+'7 Informacion Base'!$J$20*'7 Informacion Base'!$J$21*'7 Informacion Base'!$C$18</f>
        <v>101595881.68646628</v>
      </c>
      <c r="CK5" s="68">
        <f>+'7 Informacion Base'!$K$20*'7 Informacion Base'!$K$21*'7 Informacion Base'!$C$18</f>
        <v>104643758.13706027</v>
      </c>
      <c r="CL5" s="68">
        <f>+'7 Informacion Base'!$K$20*'7 Informacion Base'!$K$21*'7 Informacion Base'!$C$18</f>
        <v>104643758.13706027</v>
      </c>
      <c r="CM5" s="68">
        <f>+'7 Informacion Base'!$K$20*'7 Informacion Base'!$K$21*'7 Informacion Base'!$C$18</f>
        <v>104643758.13706027</v>
      </c>
      <c r="CN5" s="68">
        <f>+'7 Informacion Base'!$K$20*'7 Informacion Base'!$K$21*'7 Informacion Base'!$C$18</f>
        <v>104643758.13706027</v>
      </c>
      <c r="CO5" s="68">
        <f>+'7 Informacion Base'!$K$20*'7 Informacion Base'!$K$21*'7 Informacion Base'!$C$18</f>
        <v>104643758.13706027</v>
      </c>
      <c r="CP5" s="68">
        <f>+'7 Informacion Base'!$K$20*'7 Informacion Base'!$K$21*'7 Informacion Base'!$C$18</f>
        <v>104643758.13706027</v>
      </c>
      <c r="CQ5" s="68">
        <f>+'7 Informacion Base'!$K$20*'7 Informacion Base'!$K$21*'7 Informacion Base'!$C$18</f>
        <v>104643758.13706027</v>
      </c>
      <c r="CR5" s="68">
        <f>+'7 Informacion Base'!$K$20*'7 Informacion Base'!$K$21*'7 Informacion Base'!$C$18</f>
        <v>104643758.13706027</v>
      </c>
      <c r="CS5" s="68">
        <f>+'7 Informacion Base'!$K$20*'7 Informacion Base'!$K$21*'7 Informacion Base'!$C$18</f>
        <v>104643758.13706027</v>
      </c>
      <c r="CT5" s="68">
        <f>+'7 Informacion Base'!$K$20*'7 Informacion Base'!$K$21*'7 Informacion Base'!$C$18</f>
        <v>104643758.13706027</v>
      </c>
      <c r="CU5" s="68">
        <f>+'7 Informacion Base'!$K$20*'7 Informacion Base'!$K$21*'7 Informacion Base'!$C$18</f>
        <v>104643758.13706027</v>
      </c>
      <c r="CV5" s="68">
        <f>+'7 Informacion Base'!$K$20*'7 Informacion Base'!$K$21*'7 Informacion Base'!$C$18</f>
        <v>104643758.13706027</v>
      </c>
      <c r="CW5" s="68">
        <f>+'7 Informacion Base'!$L$20*'7 Informacion Base'!$L$21*'7 Informacion Base'!$C$18</f>
        <v>107783070.88117208</v>
      </c>
      <c r="CX5" s="68">
        <f>+'7 Informacion Base'!$L$20*'7 Informacion Base'!$L$21*'7 Informacion Base'!$C$18</f>
        <v>107783070.88117208</v>
      </c>
      <c r="CY5" s="68">
        <f>+'7 Informacion Base'!$L$20*'7 Informacion Base'!$L$21*'7 Informacion Base'!$C$18</f>
        <v>107783070.88117208</v>
      </c>
      <c r="CZ5" s="68">
        <f>+'7 Informacion Base'!$L$20*'7 Informacion Base'!$L$21*'7 Informacion Base'!$C$18</f>
        <v>107783070.88117208</v>
      </c>
      <c r="DA5" s="68">
        <f>+'7 Informacion Base'!$L$20*'7 Informacion Base'!$L$21*'7 Informacion Base'!$C$18</f>
        <v>107783070.88117208</v>
      </c>
      <c r="DB5" s="68">
        <f>+'7 Informacion Base'!$L$20*'7 Informacion Base'!$L$21*'7 Informacion Base'!$C$18</f>
        <v>107783070.88117208</v>
      </c>
      <c r="DC5" s="68">
        <f>+'7 Informacion Base'!$L$20*'7 Informacion Base'!$L$21*'7 Informacion Base'!$C$18</f>
        <v>107783070.88117208</v>
      </c>
      <c r="DD5" s="68">
        <f>+'7 Informacion Base'!$L$20*'7 Informacion Base'!$L$21*'7 Informacion Base'!$C$18</f>
        <v>107783070.88117208</v>
      </c>
      <c r="DE5" s="68">
        <f>+'7 Informacion Base'!$L$20*'7 Informacion Base'!$L$21*'7 Informacion Base'!$C$18</f>
        <v>107783070.88117208</v>
      </c>
      <c r="DF5" s="68">
        <f>+'7 Informacion Base'!$L$20*'7 Informacion Base'!$L$21*'7 Informacion Base'!$C$18</f>
        <v>107783070.88117208</v>
      </c>
      <c r="DG5" s="68">
        <f>+'7 Informacion Base'!$L$20*'7 Informacion Base'!$L$21*'7 Informacion Base'!$C$18</f>
        <v>107783070.88117208</v>
      </c>
      <c r="DH5" s="68">
        <f>+'7 Informacion Base'!$L$20*'7 Informacion Base'!$L$21*'7 Informacion Base'!$C$18</f>
        <v>107783070.88117208</v>
      </c>
      <c r="DI5" s="68">
        <f>+'7 Informacion Base'!$M$20*'7 Informacion Base'!$M$21*'7 Informacion Base'!$C$18</f>
        <v>111016563.00760724</v>
      </c>
      <c r="DJ5" s="68">
        <f>+'7 Informacion Base'!$M$20*'7 Informacion Base'!$M$21*'7 Informacion Base'!$C$18</f>
        <v>111016563.00760724</v>
      </c>
      <c r="DK5" s="68">
        <f>+'7 Informacion Base'!$M$20*'7 Informacion Base'!$M$21*'7 Informacion Base'!$C$18</f>
        <v>111016563.00760724</v>
      </c>
      <c r="DL5" s="68">
        <f>+'7 Informacion Base'!$M$20*'7 Informacion Base'!$M$21*'7 Informacion Base'!$C$18</f>
        <v>111016563.00760724</v>
      </c>
      <c r="DM5" s="68">
        <f>+'7 Informacion Base'!$M$20*'7 Informacion Base'!$M$21*'7 Informacion Base'!$C$18</f>
        <v>111016563.00760724</v>
      </c>
      <c r="DN5" s="68">
        <f>+'7 Informacion Base'!$M$20*'7 Informacion Base'!$M$21*'7 Informacion Base'!$C$18</f>
        <v>111016563.00760724</v>
      </c>
      <c r="DO5" s="68">
        <f>+'7 Informacion Base'!$M$20*'7 Informacion Base'!$M$21*'7 Informacion Base'!$C$18</f>
        <v>111016563.00760724</v>
      </c>
      <c r="DP5" s="68">
        <f>+'7 Informacion Base'!$M$20*'7 Informacion Base'!$M$21*'7 Informacion Base'!$C$18</f>
        <v>111016563.00760724</v>
      </c>
      <c r="DQ5" s="68">
        <f>+'7 Informacion Base'!$M$20*'7 Informacion Base'!$M$21*'7 Informacion Base'!$C$18</f>
        <v>111016563.00760724</v>
      </c>
      <c r="DR5" s="68">
        <f>+'7 Informacion Base'!$M$20*'7 Informacion Base'!$M$21*'7 Informacion Base'!$C$18</f>
        <v>111016563.00760724</v>
      </c>
      <c r="DS5" s="68">
        <f>+'7 Informacion Base'!$M$20*'7 Informacion Base'!$M$21*'7 Informacion Base'!$C$18</f>
        <v>111016563.00760724</v>
      </c>
      <c r="DT5" s="68">
        <f>+'7 Informacion Base'!$M$20*'7 Informacion Base'!$M$21*'7 Informacion Base'!$C$18</f>
        <v>111016563.00760724</v>
      </c>
      <c r="DU5" s="68">
        <f>+'7 Informacion Base'!$N$20*'7 Informacion Base'!$N$21*'7 Informacion Base'!$C$18</f>
        <v>114347059.89783546</v>
      </c>
      <c r="DV5" s="68">
        <f>+'7 Informacion Base'!$N$20*'7 Informacion Base'!$N$21*'7 Informacion Base'!$C$18</f>
        <v>114347059.89783546</v>
      </c>
      <c r="DW5" s="68">
        <f>+'7 Informacion Base'!$N$20*'7 Informacion Base'!$N$21*'7 Informacion Base'!$C$18</f>
        <v>114347059.89783546</v>
      </c>
      <c r="DX5" s="68">
        <f>+'7 Informacion Base'!$N$20*'7 Informacion Base'!$N$21*'7 Informacion Base'!$C$18</f>
        <v>114347059.89783546</v>
      </c>
      <c r="DY5" s="68">
        <f>+'7 Informacion Base'!$N$20*'7 Informacion Base'!$N$21*'7 Informacion Base'!$C$18</f>
        <v>114347059.89783546</v>
      </c>
      <c r="DZ5" s="68">
        <f>+'7 Informacion Base'!$N$20*'7 Informacion Base'!$N$21*'7 Informacion Base'!$C$18</f>
        <v>114347059.89783546</v>
      </c>
      <c r="EA5" s="68">
        <f>+'7 Informacion Base'!$N$20*'7 Informacion Base'!$N$21*'7 Informacion Base'!$C$18</f>
        <v>114347059.89783546</v>
      </c>
      <c r="EB5" s="68">
        <f>+'7 Informacion Base'!$N$20*'7 Informacion Base'!$N$21*'7 Informacion Base'!$C$18</f>
        <v>114347059.89783546</v>
      </c>
      <c r="EC5" s="68">
        <f>+'7 Informacion Base'!$N$20*'7 Informacion Base'!$N$21*'7 Informacion Base'!$C$18</f>
        <v>114347059.89783546</v>
      </c>
      <c r="ED5" s="68">
        <f>+'7 Informacion Base'!$N$20*'7 Informacion Base'!$N$21*'7 Informacion Base'!$C$18</f>
        <v>114347059.89783546</v>
      </c>
      <c r="EE5" s="68">
        <f>+'7 Informacion Base'!$N$20*'7 Informacion Base'!$N$21*'7 Informacion Base'!$C$18</f>
        <v>114347059.89783546</v>
      </c>
      <c r="EF5" s="68">
        <f>+'7 Informacion Base'!$N$20*'7 Informacion Base'!$N$21*'7 Informacion Base'!$C$18</f>
        <v>114347059.89783546</v>
      </c>
    </row>
    <row r="6" spans="2:136" s="98" customFormat="1" x14ac:dyDescent="0.25">
      <c r="B6" s="39" t="s">
        <v>100</v>
      </c>
      <c r="C6" s="39"/>
      <c r="D6" s="98" t="s">
        <v>80</v>
      </c>
      <c r="E6" s="99">
        <f>-SUM(E7:E17)</f>
        <v>-12878875.000000002</v>
      </c>
      <c r="F6" s="99">
        <f t="shared" ref="F6" si="1">-SUM(F7:F17)</f>
        <v>-21036638.882258806</v>
      </c>
      <c r="G6" s="99">
        <f t="shared" ref="G6:BQ6" si="2">-SUM(G7:G17)</f>
        <v>-22760638.882258806</v>
      </c>
      <c r="H6" s="99">
        <f t="shared" si="2"/>
        <v>-26686638.882258806</v>
      </c>
      <c r="I6" s="99">
        <f t="shared" si="2"/>
        <v>-21036638.882258806</v>
      </c>
      <c r="J6" s="99">
        <f t="shared" si="2"/>
        <v>-21036638.882258806</v>
      </c>
      <c r="K6" s="99">
        <f t="shared" si="2"/>
        <v>-26686638.882258806</v>
      </c>
      <c r="L6" s="99">
        <f t="shared" si="2"/>
        <v>-21036638.882258806</v>
      </c>
      <c r="M6" s="99">
        <f t="shared" si="2"/>
        <v>-21036638.882258806</v>
      </c>
      <c r="N6" s="99">
        <f t="shared" si="2"/>
        <v>-26686638.882258806</v>
      </c>
      <c r="O6" s="99">
        <f t="shared" si="2"/>
        <v>-21036638.882258806</v>
      </c>
      <c r="P6" s="99">
        <f t="shared" si="2"/>
        <v>-21036638.882258806</v>
      </c>
      <c r="Q6" s="99">
        <f t="shared" si="2"/>
        <v>-28881456.20516964</v>
      </c>
      <c r="R6" s="99">
        <f t="shared" si="2"/>
        <v>-23090206.20516964</v>
      </c>
      <c r="S6" s="99">
        <f t="shared" si="2"/>
        <v>-24857306.20516964</v>
      </c>
      <c r="T6" s="99">
        <f t="shared" si="2"/>
        <v>-28881456.20516964</v>
      </c>
      <c r="U6" s="99">
        <f t="shared" si="2"/>
        <v>-23090206.20516964</v>
      </c>
      <c r="V6" s="99">
        <f t="shared" si="2"/>
        <v>-23090206.20516964</v>
      </c>
      <c r="W6" s="99">
        <f t="shared" si="2"/>
        <v>-28881456.20516964</v>
      </c>
      <c r="X6" s="99">
        <f t="shared" si="2"/>
        <v>-23090206.20516964</v>
      </c>
      <c r="Y6" s="99">
        <f t="shared" si="2"/>
        <v>-23090206.20516964</v>
      </c>
      <c r="Z6" s="99">
        <f t="shared" si="2"/>
        <v>-28881456.20516964</v>
      </c>
      <c r="AA6" s="99">
        <f t="shared" si="2"/>
        <v>-23090206.20516964</v>
      </c>
      <c r="AB6" s="99">
        <f t="shared" si="2"/>
        <v>-23090206.20516964</v>
      </c>
      <c r="AC6" s="99">
        <f t="shared" si="2"/>
        <v>-32352765.932686452</v>
      </c>
      <c r="AD6" s="99">
        <f t="shared" si="2"/>
        <v>-26387778.432686452</v>
      </c>
      <c r="AE6" s="99">
        <f t="shared" si="2"/>
        <v>-28207891.432686452</v>
      </c>
      <c r="AF6" s="99">
        <f t="shared" si="2"/>
        <v>-32352765.932686452</v>
      </c>
      <c r="AG6" s="99">
        <f t="shared" si="2"/>
        <v>-26387778.432686452</v>
      </c>
      <c r="AH6" s="99">
        <f t="shared" si="2"/>
        <v>-26387778.432686452</v>
      </c>
      <c r="AI6" s="99">
        <f t="shared" si="2"/>
        <v>-32352765.932686452</v>
      </c>
      <c r="AJ6" s="99">
        <f t="shared" si="2"/>
        <v>-26387778.432686452</v>
      </c>
      <c r="AK6" s="99">
        <f t="shared" si="2"/>
        <v>-26387778.432686452</v>
      </c>
      <c r="AL6" s="99">
        <f t="shared" si="2"/>
        <v>-32352765.932686452</v>
      </c>
      <c r="AM6" s="99">
        <f t="shared" si="2"/>
        <v>-26387778.432686452</v>
      </c>
      <c r="AN6" s="99">
        <f t="shared" si="2"/>
        <v>-26387778.432686452</v>
      </c>
      <c r="AO6" s="99">
        <f t="shared" si="2"/>
        <v>-36932668.495637134</v>
      </c>
      <c r="AP6" s="99">
        <f t="shared" si="2"/>
        <v>-30788731.370637137</v>
      </c>
      <c r="AQ6" s="99">
        <f t="shared" si="2"/>
        <v>-32663447.760637138</v>
      </c>
      <c r="AR6" s="99">
        <f t="shared" si="2"/>
        <v>-42787969.447663479</v>
      </c>
      <c r="AS6" s="99">
        <f t="shared" si="2"/>
        <v>-30788731.370637137</v>
      </c>
      <c r="AT6" s="99">
        <f t="shared" si="2"/>
        <v>-30788731.370637137</v>
      </c>
      <c r="AU6" s="99">
        <f t="shared" si="2"/>
        <v>-36932668.495637134</v>
      </c>
      <c r="AV6" s="99">
        <f t="shared" si="2"/>
        <v>-30788731.370637137</v>
      </c>
      <c r="AW6" s="99">
        <f t="shared" si="2"/>
        <v>-30788731.370637137</v>
      </c>
      <c r="AX6" s="99">
        <f t="shared" si="2"/>
        <v>-36932668.495637134</v>
      </c>
      <c r="AY6" s="99">
        <f t="shared" si="2"/>
        <v>-30788731.370637137</v>
      </c>
      <c r="AZ6" s="99">
        <f t="shared" si="2"/>
        <v>-30788731.370637137</v>
      </c>
      <c r="BA6" s="99">
        <f t="shared" si="2"/>
        <v>-41814697.99984546</v>
      </c>
      <c r="BB6" s="99">
        <f t="shared" si="2"/>
        <v>-35486442.761095457</v>
      </c>
      <c r="BC6" s="99">
        <f t="shared" si="2"/>
        <v>-37417400.642795458</v>
      </c>
      <c r="BD6" s="99">
        <f t="shared" si="2"/>
        <v>-66336959.180228949</v>
      </c>
      <c r="BE6" s="99">
        <f t="shared" si="2"/>
        <v>-35486442.761095457</v>
      </c>
      <c r="BF6" s="99">
        <f t="shared" si="2"/>
        <v>-35486442.761095457</v>
      </c>
      <c r="BG6" s="99">
        <f t="shared" si="2"/>
        <v>-41814697.99984546</v>
      </c>
      <c r="BH6" s="99">
        <f t="shared" si="2"/>
        <v>-35486442.761095457</v>
      </c>
      <c r="BI6" s="99">
        <f t="shared" si="2"/>
        <v>-35486442.761095457</v>
      </c>
      <c r="BJ6" s="99">
        <f t="shared" si="2"/>
        <v>-41814697.99984546</v>
      </c>
      <c r="BK6" s="99">
        <f t="shared" si="2"/>
        <v>-35486442.761095457</v>
      </c>
      <c r="BL6" s="99">
        <f t="shared" si="2"/>
        <v>-35486442.761095457</v>
      </c>
      <c r="BM6" s="99">
        <f t="shared" si="2"/>
        <v>-44015518.767053641</v>
      </c>
      <c r="BN6" s="99">
        <f t="shared" si="2"/>
        <v>-37497415.871141143</v>
      </c>
      <c r="BO6" s="99">
        <f t="shared" si="2"/>
        <v>-39486302.489292145</v>
      </c>
      <c r="BP6" s="99">
        <f t="shared" si="2"/>
        <v>-88276910.176388174</v>
      </c>
      <c r="BQ6" s="99">
        <f t="shared" si="2"/>
        <v>-37497415.871141143</v>
      </c>
      <c r="BR6" s="99">
        <f t="shared" ref="BR6:EC6" si="3">-SUM(BR7:BR17)</f>
        <v>-37497415.871141143</v>
      </c>
      <c r="BS6" s="99">
        <f t="shared" si="3"/>
        <v>-44015518.767053641</v>
      </c>
      <c r="BT6" s="99">
        <f t="shared" si="3"/>
        <v>-37497415.871141143</v>
      </c>
      <c r="BU6" s="99">
        <f t="shared" si="3"/>
        <v>-37497415.871141143</v>
      </c>
      <c r="BV6" s="99">
        <f t="shared" si="3"/>
        <v>-44015518.767053641</v>
      </c>
      <c r="BW6" s="99">
        <f t="shared" si="3"/>
        <v>-37497415.871141143</v>
      </c>
      <c r="BX6" s="99">
        <f t="shared" si="3"/>
        <v>-37497415.871141143</v>
      </c>
      <c r="BY6" s="99">
        <f t="shared" si="3"/>
        <v>-45217455.801431045</v>
      </c>
      <c r="BZ6" s="99">
        <f t="shared" si="3"/>
        <v>-38503809.818641171</v>
      </c>
      <c r="CA6" s="99">
        <f t="shared" si="3"/>
        <v>-40552363.035336703</v>
      </c>
      <c r="CB6" s="99">
        <f t="shared" si="3"/>
        <v>-96758570.51106289</v>
      </c>
      <c r="CC6" s="99">
        <f t="shared" si="3"/>
        <v>-38503809.818641171</v>
      </c>
      <c r="CD6" s="99">
        <f t="shared" si="3"/>
        <v>-38503809.818641171</v>
      </c>
      <c r="CE6" s="99">
        <f t="shared" si="3"/>
        <v>-45217455.801431045</v>
      </c>
      <c r="CF6" s="99">
        <f t="shared" si="3"/>
        <v>-38503809.818641171</v>
      </c>
      <c r="CG6" s="99">
        <f t="shared" si="3"/>
        <v>-38503809.818641171</v>
      </c>
      <c r="CH6" s="99">
        <f t="shared" si="3"/>
        <v>-45217455.801431045</v>
      </c>
      <c r="CI6" s="99">
        <f t="shared" si="3"/>
        <v>-38503809.818641171</v>
      </c>
      <c r="CJ6" s="99">
        <f t="shared" si="3"/>
        <v>-38503809.818641171</v>
      </c>
      <c r="CK6" s="99">
        <f t="shared" si="3"/>
        <v>-46696063.859967217</v>
      </c>
      <c r="CL6" s="99">
        <f t="shared" si="3"/>
        <v>-39781008.497693643</v>
      </c>
      <c r="CM6" s="99">
        <f t="shared" si="3"/>
        <v>-41891018.310890041</v>
      </c>
      <c r="CN6" s="99">
        <f t="shared" si="3"/>
        <v>-88149676.281094179</v>
      </c>
      <c r="CO6" s="99">
        <f t="shared" si="3"/>
        <v>-39781008.497693643</v>
      </c>
      <c r="CP6" s="99">
        <f t="shared" si="3"/>
        <v>-39781008.497693643</v>
      </c>
      <c r="CQ6" s="99">
        <f t="shared" si="3"/>
        <v>-46696063.859967217</v>
      </c>
      <c r="CR6" s="99">
        <f t="shared" si="3"/>
        <v>-39781008.497693643</v>
      </c>
      <c r="CS6" s="99">
        <f t="shared" si="3"/>
        <v>-39781008.497693643</v>
      </c>
      <c r="CT6" s="99">
        <f t="shared" si="3"/>
        <v>-46696063.859967217</v>
      </c>
      <c r="CU6" s="99">
        <f t="shared" si="3"/>
        <v>-39781008.497693643</v>
      </c>
      <c r="CV6" s="99">
        <f t="shared" si="3"/>
        <v>-39781008.497693643</v>
      </c>
      <c r="CW6" s="99">
        <f t="shared" si="3"/>
        <v>-48096945.775766231</v>
      </c>
      <c r="CX6" s="99">
        <f t="shared" si="3"/>
        <v>-40974438.752624452</v>
      </c>
      <c r="CY6" s="99">
        <f t="shared" si="3"/>
        <v>-43147748.860216737</v>
      </c>
      <c r="CZ6" s="99">
        <f t="shared" si="3"/>
        <v>-105764236.31949431</v>
      </c>
      <c r="DA6" s="99">
        <f t="shared" si="3"/>
        <v>-40974438.752624452</v>
      </c>
      <c r="DB6" s="99">
        <f t="shared" si="3"/>
        <v>-40974438.752624452</v>
      </c>
      <c r="DC6" s="99">
        <f t="shared" si="3"/>
        <v>-48096945.775766231</v>
      </c>
      <c r="DD6" s="99">
        <f t="shared" si="3"/>
        <v>-40974438.752624452</v>
      </c>
      <c r="DE6" s="99">
        <f t="shared" si="3"/>
        <v>-40974438.752624452</v>
      </c>
      <c r="DF6" s="99">
        <f t="shared" si="3"/>
        <v>-48096945.775766231</v>
      </c>
      <c r="DG6" s="99">
        <f t="shared" si="3"/>
        <v>-40974438.752624452</v>
      </c>
      <c r="DH6" s="99">
        <f t="shared" si="3"/>
        <v>-40974438.752624452</v>
      </c>
      <c r="DI6" s="99">
        <f t="shared" si="3"/>
        <v>-37309636.298535883</v>
      </c>
      <c r="DJ6" s="99">
        <f t="shared" si="3"/>
        <v>-29973454.064699847</v>
      </c>
      <c r="DK6" s="99">
        <f t="shared" si="3"/>
        <v>-32211963.475519903</v>
      </c>
      <c r="DL6" s="99">
        <f t="shared" si="3"/>
        <v>-98298229.980263606</v>
      </c>
      <c r="DM6" s="99">
        <f t="shared" si="3"/>
        <v>-29973454.064699847</v>
      </c>
      <c r="DN6" s="99">
        <f t="shared" si="3"/>
        <v>-29973454.064699847</v>
      </c>
      <c r="DO6" s="99">
        <f t="shared" si="3"/>
        <v>-37309636.298535883</v>
      </c>
      <c r="DP6" s="99">
        <f t="shared" si="3"/>
        <v>-29973454.064699847</v>
      </c>
      <c r="DQ6" s="99">
        <f t="shared" si="3"/>
        <v>-29973454.064699847</v>
      </c>
      <c r="DR6" s="99">
        <f t="shared" si="3"/>
        <v>-37309636.298535883</v>
      </c>
      <c r="DS6" s="99">
        <f t="shared" si="3"/>
        <v>-29973454.064699847</v>
      </c>
      <c r="DT6" s="99">
        <f t="shared" si="3"/>
        <v>-29973454.064699847</v>
      </c>
      <c r="DU6" s="99">
        <f t="shared" si="3"/>
        <v>-38428925.387491971</v>
      </c>
      <c r="DV6" s="99">
        <f t="shared" si="3"/>
        <v>-30872657.686640844</v>
      </c>
      <c r="DW6" s="99">
        <f t="shared" si="3"/>
        <v>-33178322.379785504</v>
      </c>
      <c r="DX6" s="99">
        <f t="shared" si="3"/>
        <v>-116137238.00609672</v>
      </c>
      <c r="DY6" s="99">
        <f t="shared" si="3"/>
        <v>-30872657.686640844</v>
      </c>
      <c r="DZ6" s="99">
        <f t="shared" si="3"/>
        <v>-30872657.686640844</v>
      </c>
      <c r="EA6" s="99">
        <f t="shared" si="3"/>
        <v>-38428925.387491971</v>
      </c>
      <c r="EB6" s="99">
        <f t="shared" si="3"/>
        <v>-30872657.686640844</v>
      </c>
      <c r="EC6" s="99">
        <f t="shared" si="3"/>
        <v>-30872657.686640844</v>
      </c>
      <c r="ED6" s="99">
        <f>-SUM(ED7:ED17)</f>
        <v>-38428925.387491971</v>
      </c>
      <c r="EE6" s="99">
        <f>-SUM(EE7:EE17)</f>
        <v>-30872657.686640844</v>
      </c>
      <c r="EF6" s="99">
        <f>-SUM(EF7:EF17)</f>
        <v>-118833283.3430056</v>
      </c>
    </row>
    <row r="7" spans="2:136" x14ac:dyDescent="0.25">
      <c r="B7" s="39" t="s">
        <v>100</v>
      </c>
      <c r="C7" s="39" t="s">
        <v>212</v>
      </c>
      <c r="D7" s="36" t="s">
        <v>25</v>
      </c>
      <c r="F7" s="57">
        <f>+'7 Informacion Base'!D23</f>
        <v>3645157.6159577076</v>
      </c>
      <c r="G7" s="57">
        <f>+F7</f>
        <v>3645157.6159577076</v>
      </c>
      <c r="H7" s="57">
        <f t="shared" ref="H7:P7" si="4">+G7</f>
        <v>3645157.6159577076</v>
      </c>
      <c r="I7" s="57">
        <f t="shared" si="4"/>
        <v>3645157.6159577076</v>
      </c>
      <c r="J7" s="57">
        <f t="shared" si="4"/>
        <v>3645157.6159577076</v>
      </c>
      <c r="K7" s="57">
        <f t="shared" si="4"/>
        <v>3645157.6159577076</v>
      </c>
      <c r="L7" s="57">
        <f t="shared" si="4"/>
        <v>3645157.6159577076</v>
      </c>
      <c r="M7" s="57">
        <f t="shared" si="4"/>
        <v>3645157.6159577076</v>
      </c>
      <c r="N7" s="57">
        <f t="shared" si="4"/>
        <v>3645157.6159577076</v>
      </c>
      <c r="O7" s="57">
        <f t="shared" si="4"/>
        <v>3645157.6159577076</v>
      </c>
      <c r="P7" s="57">
        <f t="shared" si="4"/>
        <v>3645157.6159577076</v>
      </c>
      <c r="Q7" s="57">
        <f>+'7 Informacion Base'!E23</f>
        <v>5256317.2822110141</v>
      </c>
      <c r="R7" s="57">
        <f>+Q7</f>
        <v>5256317.2822110141</v>
      </c>
      <c r="S7" s="57">
        <f t="shared" ref="S7:AB7" si="5">+R7</f>
        <v>5256317.2822110141</v>
      </c>
      <c r="T7" s="57">
        <f t="shared" si="5"/>
        <v>5256317.2822110141</v>
      </c>
      <c r="U7" s="57">
        <f t="shared" si="5"/>
        <v>5256317.2822110141</v>
      </c>
      <c r="V7" s="57">
        <f t="shared" si="5"/>
        <v>5256317.2822110141</v>
      </c>
      <c r="W7" s="57">
        <f t="shared" si="5"/>
        <v>5256317.2822110141</v>
      </c>
      <c r="X7" s="57">
        <f t="shared" si="5"/>
        <v>5256317.2822110141</v>
      </c>
      <c r="Y7" s="57">
        <f t="shared" si="5"/>
        <v>5256317.2822110141</v>
      </c>
      <c r="Z7" s="57">
        <f t="shared" si="5"/>
        <v>5256317.2822110141</v>
      </c>
      <c r="AA7" s="57">
        <f t="shared" si="5"/>
        <v>5256317.2822110141</v>
      </c>
      <c r="AB7" s="57">
        <f t="shared" si="5"/>
        <v>5256317.2822110141</v>
      </c>
      <c r="AC7" s="57">
        <f>+'7 Informacion Base'!F23</f>
        <v>7734295.4295390649</v>
      </c>
      <c r="AD7" s="57">
        <f>+AC7</f>
        <v>7734295.4295390649</v>
      </c>
      <c r="AE7" s="57">
        <f t="shared" ref="AE7:AN7" si="6">+AD7</f>
        <v>7734295.4295390649</v>
      </c>
      <c r="AF7" s="57">
        <f t="shared" si="6"/>
        <v>7734295.4295390649</v>
      </c>
      <c r="AG7" s="57">
        <f t="shared" si="6"/>
        <v>7734295.4295390649</v>
      </c>
      <c r="AH7" s="57">
        <f t="shared" si="6"/>
        <v>7734295.4295390649</v>
      </c>
      <c r="AI7" s="57">
        <f t="shared" si="6"/>
        <v>7734295.4295390649</v>
      </c>
      <c r="AJ7" s="57">
        <f t="shared" si="6"/>
        <v>7734295.4295390649</v>
      </c>
      <c r="AK7" s="57">
        <f t="shared" si="6"/>
        <v>7734295.4295390649</v>
      </c>
      <c r="AL7" s="57">
        <f t="shared" si="6"/>
        <v>7734295.4295390649</v>
      </c>
      <c r="AM7" s="57">
        <f t="shared" si="6"/>
        <v>7734295.4295390649</v>
      </c>
      <c r="AN7" s="57">
        <f t="shared" si="6"/>
        <v>7734295.4295390649</v>
      </c>
      <c r="AO7" s="57">
        <f>+'7 Informacion Base'!G23</f>
        <v>11152854.009395333</v>
      </c>
      <c r="AP7" s="57">
        <f>+AO7</f>
        <v>11152854.009395333</v>
      </c>
      <c r="AQ7" s="57">
        <f t="shared" ref="AQ7:AZ7" si="7">+AP7</f>
        <v>11152854.009395333</v>
      </c>
      <c r="AR7" s="57">
        <f t="shared" si="7"/>
        <v>11152854.009395333</v>
      </c>
      <c r="AS7" s="57">
        <f t="shared" si="7"/>
        <v>11152854.009395333</v>
      </c>
      <c r="AT7" s="57">
        <f t="shared" si="7"/>
        <v>11152854.009395333</v>
      </c>
      <c r="AU7" s="57">
        <f t="shared" si="7"/>
        <v>11152854.009395333</v>
      </c>
      <c r="AV7" s="57">
        <f t="shared" si="7"/>
        <v>11152854.009395333</v>
      </c>
      <c r="AW7" s="57">
        <f t="shared" si="7"/>
        <v>11152854.009395333</v>
      </c>
      <c r="AX7" s="57">
        <f t="shared" si="7"/>
        <v>11152854.009395333</v>
      </c>
      <c r="AY7" s="57">
        <f t="shared" si="7"/>
        <v>11152854.009395333</v>
      </c>
      <c r="AZ7" s="57">
        <f t="shared" si="7"/>
        <v>11152854.009395333</v>
      </c>
      <c r="BA7" s="57">
        <f>+'7 Informacion Base'!H23</f>
        <v>14769565.238156391</v>
      </c>
      <c r="BB7" s="57">
        <f>+BA7</f>
        <v>14769565.238156391</v>
      </c>
      <c r="BC7" s="57">
        <f t="shared" ref="BC7:BL7" si="8">+BB7</f>
        <v>14769565.238156391</v>
      </c>
      <c r="BD7" s="57">
        <f t="shared" si="8"/>
        <v>14769565.238156391</v>
      </c>
      <c r="BE7" s="57">
        <f t="shared" si="8"/>
        <v>14769565.238156391</v>
      </c>
      <c r="BF7" s="57">
        <f t="shared" si="8"/>
        <v>14769565.238156391</v>
      </c>
      <c r="BG7" s="57">
        <f t="shared" si="8"/>
        <v>14769565.238156391</v>
      </c>
      <c r="BH7" s="57">
        <f t="shared" si="8"/>
        <v>14769565.238156391</v>
      </c>
      <c r="BI7" s="57">
        <f t="shared" si="8"/>
        <v>14769565.238156391</v>
      </c>
      <c r="BJ7" s="57">
        <f t="shared" si="8"/>
        <v>14769565.238156391</v>
      </c>
      <c r="BK7" s="57">
        <f t="shared" si="8"/>
        <v>14769565.238156391</v>
      </c>
      <c r="BL7" s="57">
        <f t="shared" si="8"/>
        <v>14769565.238156391</v>
      </c>
      <c r="BM7" s="57">
        <f>+'7 Informacion Base'!I23</f>
        <v>16057799.539484477</v>
      </c>
      <c r="BN7" s="57">
        <f>+BM7</f>
        <v>16057799.539484477</v>
      </c>
      <c r="BO7" s="57">
        <f t="shared" ref="BO7:BX7" si="9">+BN7</f>
        <v>16057799.539484477</v>
      </c>
      <c r="BP7" s="57">
        <f t="shared" si="9"/>
        <v>16057799.539484477</v>
      </c>
      <c r="BQ7" s="57">
        <f t="shared" si="9"/>
        <v>16057799.539484477</v>
      </c>
      <c r="BR7" s="57">
        <f t="shared" si="9"/>
        <v>16057799.539484477</v>
      </c>
      <c r="BS7" s="57">
        <f t="shared" si="9"/>
        <v>16057799.539484477</v>
      </c>
      <c r="BT7" s="57">
        <f t="shared" si="9"/>
        <v>16057799.539484477</v>
      </c>
      <c r="BU7" s="57">
        <f t="shared" si="9"/>
        <v>16057799.539484477</v>
      </c>
      <c r="BV7" s="57">
        <f t="shared" si="9"/>
        <v>16057799.539484477</v>
      </c>
      <c r="BW7" s="57">
        <f t="shared" si="9"/>
        <v>16057799.539484477</v>
      </c>
      <c r="BX7" s="57">
        <f t="shared" si="9"/>
        <v>16057799.539484477</v>
      </c>
      <c r="BY7" s="57">
        <f>+'7 Informacion Base'!J23</f>
        <v>16539533.525669012</v>
      </c>
      <c r="BZ7" s="57">
        <f>+BY7</f>
        <v>16539533.525669012</v>
      </c>
      <c r="CA7" s="57">
        <f t="shared" ref="CA7:CV7" si="10">+BZ7</f>
        <v>16539533.525669012</v>
      </c>
      <c r="CB7" s="57">
        <f t="shared" si="10"/>
        <v>16539533.525669012</v>
      </c>
      <c r="CC7" s="57">
        <f t="shared" si="10"/>
        <v>16539533.525669012</v>
      </c>
      <c r="CD7" s="57">
        <f t="shared" si="10"/>
        <v>16539533.525669012</v>
      </c>
      <c r="CE7" s="57">
        <f t="shared" si="10"/>
        <v>16539533.525669012</v>
      </c>
      <c r="CF7" s="57">
        <f t="shared" si="10"/>
        <v>16539533.525669012</v>
      </c>
      <c r="CG7" s="57">
        <f t="shared" si="10"/>
        <v>16539533.525669012</v>
      </c>
      <c r="CH7" s="57">
        <f t="shared" si="10"/>
        <v>16539533.525669012</v>
      </c>
      <c r="CI7" s="57">
        <f t="shared" si="10"/>
        <v>16539533.525669012</v>
      </c>
      <c r="CJ7" s="57">
        <f t="shared" si="10"/>
        <v>16539533.525669012</v>
      </c>
      <c r="CK7" s="57">
        <f>+'7 Informacion Base'!K23</f>
        <v>17035719.531439081</v>
      </c>
      <c r="CL7" s="57">
        <f t="shared" si="10"/>
        <v>17035719.531439081</v>
      </c>
      <c r="CM7" s="57">
        <f t="shared" si="10"/>
        <v>17035719.531439081</v>
      </c>
      <c r="CN7" s="57">
        <f t="shared" si="10"/>
        <v>17035719.531439081</v>
      </c>
      <c r="CO7" s="57">
        <f t="shared" si="10"/>
        <v>17035719.531439081</v>
      </c>
      <c r="CP7" s="57">
        <f t="shared" si="10"/>
        <v>17035719.531439081</v>
      </c>
      <c r="CQ7" s="57">
        <f t="shared" si="10"/>
        <v>17035719.531439081</v>
      </c>
      <c r="CR7" s="57">
        <f t="shared" si="10"/>
        <v>17035719.531439081</v>
      </c>
      <c r="CS7" s="57">
        <f t="shared" si="10"/>
        <v>17035719.531439081</v>
      </c>
      <c r="CT7" s="57">
        <f t="shared" si="10"/>
        <v>17035719.531439081</v>
      </c>
      <c r="CU7" s="57">
        <f t="shared" si="10"/>
        <v>17035719.531439081</v>
      </c>
      <c r="CV7" s="57">
        <f t="shared" si="10"/>
        <v>17035719.531439081</v>
      </c>
      <c r="CW7" s="57">
        <f>+'7 Informacion Base'!L23</f>
        <v>17546791.117382254</v>
      </c>
      <c r="CX7" s="57">
        <f t="shared" ref="CX7:EF7" si="11">+CW7</f>
        <v>17546791.117382254</v>
      </c>
      <c r="CY7" s="57">
        <f t="shared" si="11"/>
        <v>17546791.117382254</v>
      </c>
      <c r="CZ7" s="57">
        <f t="shared" si="11"/>
        <v>17546791.117382254</v>
      </c>
      <c r="DA7" s="57">
        <f t="shared" si="11"/>
        <v>17546791.117382254</v>
      </c>
      <c r="DB7" s="57">
        <f t="shared" si="11"/>
        <v>17546791.117382254</v>
      </c>
      <c r="DC7" s="57">
        <f t="shared" si="11"/>
        <v>17546791.117382254</v>
      </c>
      <c r="DD7" s="57">
        <f t="shared" si="11"/>
        <v>17546791.117382254</v>
      </c>
      <c r="DE7" s="57">
        <f t="shared" si="11"/>
        <v>17546791.117382254</v>
      </c>
      <c r="DF7" s="57">
        <f t="shared" si="11"/>
        <v>17546791.117382254</v>
      </c>
      <c r="DG7" s="57">
        <f t="shared" si="11"/>
        <v>17546791.117382254</v>
      </c>
      <c r="DH7" s="57">
        <f t="shared" si="11"/>
        <v>17546791.117382254</v>
      </c>
      <c r="DI7" s="57">
        <f>+'7 Informacion Base'!M21</f>
        <v>5842977.0004003812</v>
      </c>
      <c r="DJ7" s="57">
        <f t="shared" si="11"/>
        <v>5842977.0004003812</v>
      </c>
      <c r="DK7" s="57">
        <f t="shared" si="11"/>
        <v>5842977.0004003812</v>
      </c>
      <c r="DL7" s="57">
        <f t="shared" si="11"/>
        <v>5842977.0004003812</v>
      </c>
      <c r="DM7" s="57">
        <f t="shared" si="11"/>
        <v>5842977.0004003812</v>
      </c>
      <c r="DN7" s="57">
        <f t="shared" si="11"/>
        <v>5842977.0004003812</v>
      </c>
      <c r="DO7" s="57">
        <f t="shared" si="11"/>
        <v>5842977.0004003812</v>
      </c>
      <c r="DP7" s="57">
        <f t="shared" si="11"/>
        <v>5842977.0004003812</v>
      </c>
      <c r="DQ7" s="57">
        <f t="shared" si="11"/>
        <v>5842977.0004003812</v>
      </c>
      <c r="DR7" s="57">
        <f t="shared" si="11"/>
        <v>5842977.0004003812</v>
      </c>
      <c r="DS7" s="57">
        <f t="shared" si="11"/>
        <v>5842977.0004003812</v>
      </c>
      <c r="DT7" s="57">
        <f t="shared" si="11"/>
        <v>5842977.0004003812</v>
      </c>
      <c r="DU7" s="57">
        <f>+'7 Informacion Base'!N21</f>
        <v>6018266.310412393</v>
      </c>
      <c r="DV7" s="57">
        <f t="shared" si="11"/>
        <v>6018266.310412393</v>
      </c>
      <c r="DW7" s="57">
        <f t="shared" si="11"/>
        <v>6018266.310412393</v>
      </c>
      <c r="DX7" s="57">
        <f t="shared" si="11"/>
        <v>6018266.310412393</v>
      </c>
      <c r="DY7" s="57">
        <f t="shared" si="11"/>
        <v>6018266.310412393</v>
      </c>
      <c r="DZ7" s="57">
        <f t="shared" si="11"/>
        <v>6018266.310412393</v>
      </c>
      <c r="EA7" s="57">
        <f t="shared" si="11"/>
        <v>6018266.310412393</v>
      </c>
      <c r="EB7" s="57">
        <f t="shared" si="11"/>
        <v>6018266.310412393</v>
      </c>
      <c r="EC7" s="57">
        <f t="shared" si="11"/>
        <v>6018266.310412393</v>
      </c>
      <c r="ED7" s="57">
        <f t="shared" si="11"/>
        <v>6018266.310412393</v>
      </c>
      <c r="EE7" s="57">
        <f t="shared" si="11"/>
        <v>6018266.310412393</v>
      </c>
      <c r="EF7" s="57">
        <f t="shared" si="11"/>
        <v>6018266.310412393</v>
      </c>
    </row>
    <row r="8" spans="2:136" x14ac:dyDescent="0.25">
      <c r="B8" s="39" t="s">
        <v>100</v>
      </c>
      <c r="C8" s="39" t="s">
        <v>212</v>
      </c>
      <c r="D8" s="36" t="s">
        <v>81</v>
      </c>
      <c r="F8" s="57">
        <f>+'7 Informacion Base'!$D$25</f>
        <v>9881356.2663011011</v>
      </c>
      <c r="G8" s="57">
        <f>+'7 Informacion Base'!$D$25</f>
        <v>9881356.2663011011</v>
      </c>
      <c r="H8" s="57">
        <f>+'7 Informacion Base'!$D$25</f>
        <v>9881356.2663011011</v>
      </c>
      <c r="I8" s="57">
        <f>+'7 Informacion Base'!$D$25</f>
        <v>9881356.2663011011</v>
      </c>
      <c r="J8" s="57">
        <f>+'7 Informacion Base'!$D$25</f>
        <v>9881356.2663011011</v>
      </c>
      <c r="K8" s="57">
        <f>+'7 Informacion Base'!$D$25</f>
        <v>9881356.2663011011</v>
      </c>
      <c r="L8" s="57">
        <f>+'7 Informacion Base'!$D$25</f>
        <v>9881356.2663011011</v>
      </c>
      <c r="M8" s="57">
        <f>+'7 Informacion Base'!$D$25</f>
        <v>9881356.2663011011</v>
      </c>
      <c r="N8" s="57">
        <f>+'7 Informacion Base'!$D$25</f>
        <v>9881356.2663011011</v>
      </c>
      <c r="O8" s="57">
        <f>+'7 Informacion Base'!$D$25</f>
        <v>9881356.2663011011</v>
      </c>
      <c r="P8" s="57">
        <f>+'7 Informacion Base'!$D$25</f>
        <v>9881356.2663011011</v>
      </c>
      <c r="Q8" s="57">
        <f>+'7 Informacion Base'!$E$25</f>
        <v>10128390.172958627</v>
      </c>
      <c r="R8" s="57">
        <f>+'7 Informacion Base'!$E$25</f>
        <v>10128390.172958627</v>
      </c>
      <c r="S8" s="57">
        <f>+'7 Informacion Base'!$E$25</f>
        <v>10128390.172958627</v>
      </c>
      <c r="T8" s="57">
        <f>+'7 Informacion Base'!$E$25</f>
        <v>10128390.172958627</v>
      </c>
      <c r="U8" s="57">
        <f>+'7 Informacion Base'!$E$25</f>
        <v>10128390.172958627</v>
      </c>
      <c r="V8" s="57">
        <f>+'7 Informacion Base'!$E$25</f>
        <v>10128390.172958627</v>
      </c>
      <c r="W8" s="57">
        <f>+'7 Informacion Base'!$E$25</f>
        <v>10128390.172958627</v>
      </c>
      <c r="X8" s="57">
        <f>+'7 Informacion Base'!$E$25</f>
        <v>10128390.172958627</v>
      </c>
      <c r="Y8" s="57">
        <f>+'7 Informacion Base'!$E$25</f>
        <v>10128390.172958627</v>
      </c>
      <c r="Z8" s="57">
        <f>+'7 Informacion Base'!$E$25</f>
        <v>10128390.172958627</v>
      </c>
      <c r="AA8" s="57">
        <f>+'7 Informacion Base'!$E$25</f>
        <v>10128390.172958627</v>
      </c>
      <c r="AB8" s="57">
        <f>+'7 Informacion Base'!$E$25</f>
        <v>10128390.172958627</v>
      </c>
      <c r="AC8" s="57">
        <f>+'7 Informacion Base'!$F$25</f>
        <v>10432241.878147386</v>
      </c>
      <c r="AD8" s="57">
        <f>+'7 Informacion Base'!$F$25</f>
        <v>10432241.878147386</v>
      </c>
      <c r="AE8" s="57">
        <f>+'7 Informacion Base'!$F$25</f>
        <v>10432241.878147386</v>
      </c>
      <c r="AF8" s="57">
        <f>+'7 Informacion Base'!$F$25</f>
        <v>10432241.878147386</v>
      </c>
      <c r="AG8" s="57">
        <f>+'7 Informacion Base'!$F$25</f>
        <v>10432241.878147386</v>
      </c>
      <c r="AH8" s="57">
        <f>+'7 Informacion Base'!$F$25</f>
        <v>10432241.878147386</v>
      </c>
      <c r="AI8" s="57">
        <f>+'7 Informacion Base'!$F$25</f>
        <v>10432241.878147386</v>
      </c>
      <c r="AJ8" s="57">
        <f>+'7 Informacion Base'!$F$25</f>
        <v>10432241.878147386</v>
      </c>
      <c r="AK8" s="57">
        <f>+'7 Informacion Base'!$F$25</f>
        <v>10432241.878147386</v>
      </c>
      <c r="AL8" s="57">
        <f>+'7 Informacion Base'!$F$25</f>
        <v>10432241.878147386</v>
      </c>
      <c r="AM8" s="57">
        <f>+'7 Informacion Base'!$F$25</f>
        <v>10432241.878147386</v>
      </c>
      <c r="AN8" s="57">
        <f>+'7 Informacion Base'!$F$25</f>
        <v>10432241.878147386</v>
      </c>
      <c r="AO8" s="57">
        <f>+'7 Informacion Base'!$G$25</f>
        <v>10745209.134491809</v>
      </c>
      <c r="AP8" s="57">
        <f>+'7 Informacion Base'!$G$25</f>
        <v>10745209.134491809</v>
      </c>
      <c r="AQ8" s="57">
        <f>+'7 Informacion Base'!$G$25</f>
        <v>10745209.134491809</v>
      </c>
      <c r="AR8" s="57">
        <f>+'7 Informacion Base'!$G$25</f>
        <v>10745209.134491809</v>
      </c>
      <c r="AS8" s="57">
        <f>+'7 Informacion Base'!$G$25</f>
        <v>10745209.134491809</v>
      </c>
      <c r="AT8" s="57">
        <f>+'7 Informacion Base'!$G$25</f>
        <v>10745209.134491809</v>
      </c>
      <c r="AU8" s="57">
        <f>+'7 Informacion Base'!$G$25</f>
        <v>10745209.134491809</v>
      </c>
      <c r="AV8" s="57">
        <f>+'7 Informacion Base'!$G$25</f>
        <v>10745209.134491809</v>
      </c>
      <c r="AW8" s="57">
        <f>+'7 Informacion Base'!$G$25</f>
        <v>10745209.134491809</v>
      </c>
      <c r="AX8" s="57">
        <f>+'7 Informacion Base'!$G$25</f>
        <v>10745209.134491809</v>
      </c>
      <c r="AY8" s="57">
        <f>+'7 Informacion Base'!$G$25</f>
        <v>10745209.134491809</v>
      </c>
      <c r="AZ8" s="57">
        <f>+'7 Informacion Base'!$G$25</f>
        <v>10745209.134491809</v>
      </c>
      <c r="BA8" s="57">
        <f>+'7 Informacion Base'!$H$25</f>
        <v>11067565.408526564</v>
      </c>
      <c r="BB8" s="57">
        <f>+'7 Informacion Base'!$H$25</f>
        <v>11067565.408526564</v>
      </c>
      <c r="BC8" s="57">
        <f>+'7 Informacion Base'!$H$25</f>
        <v>11067565.408526564</v>
      </c>
      <c r="BD8" s="57">
        <f>+'7 Informacion Base'!$H$25</f>
        <v>11067565.408526564</v>
      </c>
      <c r="BE8" s="57">
        <f>+'7 Informacion Base'!$H$25</f>
        <v>11067565.408526564</v>
      </c>
      <c r="BF8" s="57">
        <f>+'7 Informacion Base'!$H$25</f>
        <v>11067565.408526564</v>
      </c>
      <c r="BG8" s="57">
        <f>+'7 Informacion Base'!$H$25</f>
        <v>11067565.408526564</v>
      </c>
      <c r="BH8" s="57">
        <f>+'7 Informacion Base'!$H$25</f>
        <v>11067565.408526564</v>
      </c>
      <c r="BI8" s="57">
        <f>+'7 Informacion Base'!$H$25</f>
        <v>11067565.408526564</v>
      </c>
      <c r="BJ8" s="57">
        <f>+'7 Informacion Base'!$H$25</f>
        <v>11067565.408526564</v>
      </c>
      <c r="BK8" s="57">
        <f>+'7 Informacion Base'!$H$25</f>
        <v>11067565.408526564</v>
      </c>
      <c r="BL8" s="57">
        <f>+'7 Informacion Base'!$H$25</f>
        <v>11067565.408526564</v>
      </c>
      <c r="BM8" s="57">
        <f>+'7 Informacion Base'!$I$25</f>
        <v>11399592.37078236</v>
      </c>
      <c r="BN8" s="57">
        <f>+'7 Informacion Base'!$I$25</f>
        <v>11399592.37078236</v>
      </c>
      <c r="BO8" s="57">
        <f>+'7 Informacion Base'!$I$25</f>
        <v>11399592.37078236</v>
      </c>
      <c r="BP8" s="57">
        <f>+'7 Informacion Base'!$I$25</f>
        <v>11399592.37078236</v>
      </c>
      <c r="BQ8" s="57">
        <f>+'7 Informacion Base'!$I$25</f>
        <v>11399592.37078236</v>
      </c>
      <c r="BR8" s="57">
        <f>+'7 Informacion Base'!$I$25</f>
        <v>11399592.37078236</v>
      </c>
      <c r="BS8" s="57">
        <f>+'7 Informacion Base'!$I$25</f>
        <v>11399592.37078236</v>
      </c>
      <c r="BT8" s="57">
        <f>+'7 Informacion Base'!$I$25</f>
        <v>11399592.37078236</v>
      </c>
      <c r="BU8" s="57">
        <f>+'7 Informacion Base'!$I$25</f>
        <v>11399592.37078236</v>
      </c>
      <c r="BV8" s="57">
        <f>+'7 Informacion Base'!$I$25</f>
        <v>11399592.37078236</v>
      </c>
      <c r="BW8" s="57">
        <f>+'7 Informacion Base'!$I$25</f>
        <v>11399592.37078236</v>
      </c>
      <c r="BX8" s="57">
        <f>+'7 Informacion Base'!$I$25</f>
        <v>11399592.37078236</v>
      </c>
      <c r="BY8" s="57">
        <f>+'7 Informacion Base'!$J$25</f>
        <v>11741580.141905831</v>
      </c>
      <c r="BZ8" s="57">
        <f>+'7 Informacion Base'!$J$25</f>
        <v>11741580.141905831</v>
      </c>
      <c r="CA8" s="57">
        <f>+'7 Informacion Base'!$J$25</f>
        <v>11741580.141905831</v>
      </c>
      <c r="CB8" s="57">
        <f>+'7 Informacion Base'!$J$25</f>
        <v>11741580.141905831</v>
      </c>
      <c r="CC8" s="57">
        <f>+'7 Informacion Base'!$J$25</f>
        <v>11741580.141905831</v>
      </c>
      <c r="CD8" s="57">
        <f>+'7 Informacion Base'!$J$25</f>
        <v>11741580.141905831</v>
      </c>
      <c r="CE8" s="57">
        <f>+'7 Informacion Base'!$J$25</f>
        <v>11741580.141905831</v>
      </c>
      <c r="CF8" s="57">
        <f>+'7 Informacion Base'!$J$25</f>
        <v>11741580.141905831</v>
      </c>
      <c r="CG8" s="57">
        <f>+'7 Informacion Base'!$J$25</f>
        <v>11741580.141905831</v>
      </c>
      <c r="CH8" s="57">
        <f>+'7 Informacion Base'!$J$25</f>
        <v>11741580.141905831</v>
      </c>
      <c r="CI8" s="57">
        <f>+'7 Informacion Base'!$J$25</f>
        <v>11741580.141905831</v>
      </c>
      <c r="CJ8" s="57">
        <f>+'7 Informacion Base'!$J$25</f>
        <v>11741580.141905831</v>
      </c>
      <c r="CK8" s="57">
        <f>+'7 Informacion Base'!$K$25</f>
        <v>12093827.546163006</v>
      </c>
      <c r="CL8" s="57">
        <f>+'7 Informacion Base'!$K$25</f>
        <v>12093827.546163006</v>
      </c>
      <c r="CM8" s="57">
        <f>+'7 Informacion Base'!$K$25</f>
        <v>12093827.546163006</v>
      </c>
      <c r="CN8" s="57">
        <f>+'7 Informacion Base'!$K$25</f>
        <v>12093827.546163006</v>
      </c>
      <c r="CO8" s="57">
        <f>+'7 Informacion Base'!$K$25</f>
        <v>12093827.546163006</v>
      </c>
      <c r="CP8" s="57">
        <f>+'7 Informacion Base'!$K$25</f>
        <v>12093827.546163006</v>
      </c>
      <c r="CQ8" s="57">
        <f>+'7 Informacion Base'!$K$25</f>
        <v>12093827.546163006</v>
      </c>
      <c r="CR8" s="57">
        <f>+'7 Informacion Base'!$K$25</f>
        <v>12093827.546163006</v>
      </c>
      <c r="CS8" s="57">
        <f>+'7 Informacion Base'!$K$25</f>
        <v>12093827.546163006</v>
      </c>
      <c r="CT8" s="57">
        <f>+'7 Informacion Base'!$K$25</f>
        <v>12093827.546163006</v>
      </c>
      <c r="CU8" s="57">
        <f>+'7 Informacion Base'!$K$25</f>
        <v>12093827.546163006</v>
      </c>
      <c r="CV8" s="57">
        <f>+'7 Informacion Base'!$K$25</f>
        <v>12093827.546163006</v>
      </c>
      <c r="CW8" s="57">
        <f>+'7 Informacion Base'!$L$25</f>
        <v>12456642.372547897</v>
      </c>
      <c r="CX8" s="57">
        <f>+'7 Informacion Base'!$L$25</f>
        <v>12456642.372547897</v>
      </c>
      <c r="CY8" s="57">
        <f>+'7 Informacion Base'!$L$25</f>
        <v>12456642.372547897</v>
      </c>
      <c r="CZ8" s="57">
        <f>+'7 Informacion Base'!$L$25</f>
        <v>12456642.372547897</v>
      </c>
      <c r="DA8" s="57">
        <f>+'7 Informacion Base'!$L$25</f>
        <v>12456642.372547897</v>
      </c>
      <c r="DB8" s="57">
        <f>+'7 Informacion Base'!$L$25</f>
        <v>12456642.372547897</v>
      </c>
      <c r="DC8" s="57">
        <f>+'7 Informacion Base'!$L$25</f>
        <v>12456642.372547897</v>
      </c>
      <c r="DD8" s="57">
        <f>+'7 Informacion Base'!$L$25</f>
        <v>12456642.372547897</v>
      </c>
      <c r="DE8" s="57">
        <f>+'7 Informacion Base'!$L$25</f>
        <v>12456642.372547897</v>
      </c>
      <c r="DF8" s="57">
        <f>+'7 Informacion Base'!$L$25</f>
        <v>12456642.372547897</v>
      </c>
      <c r="DG8" s="57">
        <f>+'7 Informacion Base'!$L$25</f>
        <v>12456642.372547897</v>
      </c>
      <c r="DH8" s="57">
        <f>+'7 Informacion Base'!$L$25</f>
        <v>12456642.372547897</v>
      </c>
      <c r="DI8" s="57">
        <f>+'7 Informacion Base'!$M$25</f>
        <v>12830341.643724333</v>
      </c>
      <c r="DJ8" s="57">
        <f>+'7 Informacion Base'!$M$25</f>
        <v>12830341.643724333</v>
      </c>
      <c r="DK8" s="57">
        <f>+'7 Informacion Base'!$M$25</f>
        <v>12830341.643724333</v>
      </c>
      <c r="DL8" s="57">
        <f>+'7 Informacion Base'!$M$25</f>
        <v>12830341.643724333</v>
      </c>
      <c r="DM8" s="57">
        <f>+'7 Informacion Base'!$M$25</f>
        <v>12830341.643724333</v>
      </c>
      <c r="DN8" s="57">
        <f>+'7 Informacion Base'!$M$25</f>
        <v>12830341.643724333</v>
      </c>
      <c r="DO8" s="57">
        <f>+'7 Informacion Base'!$M$25</f>
        <v>12830341.643724333</v>
      </c>
      <c r="DP8" s="57">
        <f>+'7 Informacion Base'!$M$25</f>
        <v>12830341.643724333</v>
      </c>
      <c r="DQ8" s="57">
        <f>+'7 Informacion Base'!$M$25</f>
        <v>12830341.643724333</v>
      </c>
      <c r="DR8" s="57">
        <f>+'7 Informacion Base'!$M$25</f>
        <v>12830341.643724333</v>
      </c>
      <c r="DS8" s="57">
        <f>+'7 Informacion Base'!$M$25</f>
        <v>12830341.643724333</v>
      </c>
      <c r="DT8" s="57">
        <f>+'7 Informacion Base'!$M$25</f>
        <v>12830341.643724333</v>
      </c>
      <c r="DU8" s="57">
        <f>+'7 Informacion Base'!$N$25</f>
        <v>13215251.893036064</v>
      </c>
      <c r="DV8" s="57">
        <f>+'7 Informacion Base'!$N$25</f>
        <v>13215251.893036064</v>
      </c>
      <c r="DW8" s="57">
        <f>+'7 Informacion Base'!$N$25</f>
        <v>13215251.893036064</v>
      </c>
      <c r="DX8" s="57">
        <f>+'7 Informacion Base'!$N$25</f>
        <v>13215251.893036064</v>
      </c>
      <c r="DY8" s="57">
        <f>+'7 Informacion Base'!$N$25</f>
        <v>13215251.893036064</v>
      </c>
      <c r="DZ8" s="57">
        <f>+'7 Informacion Base'!$N$25</f>
        <v>13215251.893036064</v>
      </c>
      <c r="EA8" s="57">
        <f>+'7 Informacion Base'!$N$25</f>
        <v>13215251.893036064</v>
      </c>
      <c r="EB8" s="57">
        <f>+'7 Informacion Base'!$N$25</f>
        <v>13215251.893036064</v>
      </c>
      <c r="EC8" s="57">
        <f>+'7 Informacion Base'!$N$25</f>
        <v>13215251.893036064</v>
      </c>
      <c r="ED8" s="57">
        <f>+'7 Informacion Base'!$N$25</f>
        <v>13215251.893036064</v>
      </c>
      <c r="EE8" s="57">
        <f>+'7 Informacion Base'!$N$25</f>
        <v>13215251.893036064</v>
      </c>
      <c r="EF8" s="57">
        <f>+'7 Informacion Base'!$N$25</f>
        <v>13215251.893036064</v>
      </c>
    </row>
    <row r="9" spans="2:136" s="45" customFormat="1" x14ac:dyDescent="0.25">
      <c r="B9" s="44" t="s">
        <v>100</v>
      </c>
      <c r="C9" s="44" t="s">
        <v>66</v>
      </c>
      <c r="D9" s="45" t="s">
        <v>188</v>
      </c>
      <c r="E9" s="57">
        <f>+'7 Informacion Base'!$D$26</f>
        <v>5066666.666666667</v>
      </c>
      <c r="F9" s="57">
        <f>+'7 Informacion Base'!$D$26</f>
        <v>5066666.666666667</v>
      </c>
      <c r="G9" s="57">
        <f>+'7 Informacion Base'!$D$26</f>
        <v>5066666.666666667</v>
      </c>
      <c r="H9" s="57">
        <f>+'7 Informacion Base'!$D$26</f>
        <v>5066666.666666667</v>
      </c>
      <c r="I9" s="57">
        <f>+'7 Informacion Base'!$D$26</f>
        <v>5066666.666666667</v>
      </c>
      <c r="J9" s="57">
        <f>+'7 Informacion Base'!$D$26</f>
        <v>5066666.666666667</v>
      </c>
      <c r="K9" s="57">
        <f>+'7 Informacion Base'!$D$26</f>
        <v>5066666.666666667</v>
      </c>
      <c r="L9" s="57">
        <f>+'7 Informacion Base'!$D$26</f>
        <v>5066666.666666667</v>
      </c>
      <c r="M9" s="57">
        <f>+'7 Informacion Base'!$D$26</f>
        <v>5066666.666666667</v>
      </c>
      <c r="N9" s="57">
        <f>+'7 Informacion Base'!$D$26</f>
        <v>5066666.666666667</v>
      </c>
      <c r="O9" s="57">
        <f>+'7 Informacion Base'!$D$26</f>
        <v>5066666.666666667</v>
      </c>
      <c r="P9" s="57">
        <f>+'7 Informacion Base'!$D$26</f>
        <v>5066666.666666667</v>
      </c>
      <c r="Q9" s="57">
        <f>+'7 Informacion Base'!$E$26</f>
        <v>5193333.333333333</v>
      </c>
      <c r="R9" s="57">
        <f>+'7 Informacion Base'!$E$26</f>
        <v>5193333.333333333</v>
      </c>
      <c r="S9" s="57">
        <f>+'7 Informacion Base'!$E$26</f>
        <v>5193333.333333333</v>
      </c>
      <c r="T9" s="57">
        <f>+'7 Informacion Base'!$E$26</f>
        <v>5193333.333333333</v>
      </c>
      <c r="U9" s="57">
        <f>+'7 Informacion Base'!$E$26</f>
        <v>5193333.333333333</v>
      </c>
      <c r="V9" s="57">
        <f>+'7 Informacion Base'!$E$26</f>
        <v>5193333.333333333</v>
      </c>
      <c r="W9" s="57">
        <f>+'7 Informacion Base'!$E$26</f>
        <v>5193333.333333333</v>
      </c>
      <c r="X9" s="57">
        <f>+'7 Informacion Base'!$E$26</f>
        <v>5193333.333333333</v>
      </c>
      <c r="Y9" s="57">
        <f>+'7 Informacion Base'!$E$26</f>
        <v>5193333.333333333</v>
      </c>
      <c r="Z9" s="57">
        <f>+'7 Informacion Base'!$E$26</f>
        <v>5193333.333333333</v>
      </c>
      <c r="AA9" s="57">
        <f>+'7 Informacion Base'!$E$26</f>
        <v>5193333.333333333</v>
      </c>
      <c r="AB9" s="57">
        <f>+'7 Informacion Base'!$E$26</f>
        <v>5193333.333333333</v>
      </c>
      <c r="AC9" s="57">
        <f>+'7 Informacion Base'!$F$26</f>
        <v>5349133.333333333</v>
      </c>
      <c r="AD9" s="57">
        <f>+'7 Informacion Base'!$F$26</f>
        <v>5349133.333333333</v>
      </c>
      <c r="AE9" s="57">
        <f>+'7 Informacion Base'!$F$26</f>
        <v>5349133.333333333</v>
      </c>
      <c r="AF9" s="57">
        <f>+'7 Informacion Base'!$F$26</f>
        <v>5349133.333333333</v>
      </c>
      <c r="AG9" s="57">
        <f>+'7 Informacion Base'!$F$26</f>
        <v>5349133.333333333</v>
      </c>
      <c r="AH9" s="57">
        <f>+'7 Informacion Base'!$F$26</f>
        <v>5349133.333333333</v>
      </c>
      <c r="AI9" s="57">
        <f>+'7 Informacion Base'!$F$26</f>
        <v>5349133.333333333</v>
      </c>
      <c r="AJ9" s="57">
        <f>+'7 Informacion Base'!$F$26</f>
        <v>5349133.333333333</v>
      </c>
      <c r="AK9" s="57">
        <f>+'7 Informacion Base'!$F$26</f>
        <v>5349133.333333333</v>
      </c>
      <c r="AL9" s="57">
        <f>+'7 Informacion Base'!$F$26</f>
        <v>5349133.333333333</v>
      </c>
      <c r="AM9" s="57">
        <f>+'7 Informacion Base'!$F$26</f>
        <v>5349133.333333333</v>
      </c>
      <c r="AN9" s="57">
        <f>+'7 Informacion Base'!$F$26</f>
        <v>5349133.333333333</v>
      </c>
      <c r="AO9" s="57">
        <f>+'7 Informacion Base'!$G$26</f>
        <v>5509607.333333333</v>
      </c>
      <c r="AP9" s="57">
        <f>+'7 Informacion Base'!$G$26</f>
        <v>5509607.333333333</v>
      </c>
      <c r="AQ9" s="57">
        <f>+'7 Informacion Base'!$G$26</f>
        <v>5509607.333333333</v>
      </c>
      <c r="AR9" s="57">
        <f>+'7 Informacion Base'!$G$26</f>
        <v>5509607.333333333</v>
      </c>
      <c r="AS9" s="57">
        <f>+'7 Informacion Base'!$G$26</f>
        <v>5509607.333333333</v>
      </c>
      <c r="AT9" s="57">
        <f>+'7 Informacion Base'!$G$26</f>
        <v>5509607.333333333</v>
      </c>
      <c r="AU9" s="57">
        <f>+'7 Informacion Base'!$G$26</f>
        <v>5509607.333333333</v>
      </c>
      <c r="AV9" s="57">
        <f>+'7 Informacion Base'!$G$26</f>
        <v>5509607.333333333</v>
      </c>
      <c r="AW9" s="57">
        <f>+'7 Informacion Base'!$G$26</f>
        <v>5509607.333333333</v>
      </c>
      <c r="AX9" s="57">
        <f>+'7 Informacion Base'!$G$26</f>
        <v>5509607.333333333</v>
      </c>
      <c r="AY9" s="57">
        <f>+'7 Informacion Base'!$G$26</f>
        <v>5509607.333333333</v>
      </c>
      <c r="AZ9" s="57">
        <f>+'7 Informacion Base'!$G$26</f>
        <v>5509607.333333333</v>
      </c>
      <c r="BA9" s="57">
        <f>+'7 Informacion Base'!$H$26</f>
        <v>5674895.5533333328</v>
      </c>
      <c r="BB9" s="57">
        <f>+'7 Informacion Base'!$H$26</f>
        <v>5674895.5533333328</v>
      </c>
      <c r="BC9" s="57">
        <f>+'7 Informacion Base'!$H$26</f>
        <v>5674895.5533333328</v>
      </c>
      <c r="BD9" s="57">
        <f>+'7 Informacion Base'!$H$26</f>
        <v>5674895.5533333328</v>
      </c>
      <c r="BE9" s="57">
        <f>+'7 Informacion Base'!$H$26</f>
        <v>5674895.5533333328</v>
      </c>
      <c r="BF9" s="57">
        <f>+'7 Informacion Base'!$H$26</f>
        <v>5674895.5533333328</v>
      </c>
      <c r="BG9" s="57">
        <f>+'7 Informacion Base'!$H$26</f>
        <v>5674895.5533333328</v>
      </c>
      <c r="BH9" s="57">
        <f>+'7 Informacion Base'!$H$26</f>
        <v>5674895.5533333328</v>
      </c>
      <c r="BI9" s="57">
        <f>+'7 Informacion Base'!$H$26</f>
        <v>5674895.5533333328</v>
      </c>
      <c r="BJ9" s="57">
        <f>+'7 Informacion Base'!$H$26</f>
        <v>5674895.5533333328</v>
      </c>
      <c r="BK9" s="57">
        <f>+'7 Informacion Base'!$H$26</f>
        <v>5674895.5533333328</v>
      </c>
      <c r="BL9" s="57">
        <f>+'7 Informacion Base'!$H$26</f>
        <v>5674895.5533333328</v>
      </c>
      <c r="BM9" s="57">
        <f>+'7 Informacion Base'!$I$26</f>
        <v>5845142.4199333331</v>
      </c>
      <c r="BN9" s="57">
        <f>+'7 Informacion Base'!$I$26</f>
        <v>5845142.4199333331</v>
      </c>
      <c r="BO9" s="57">
        <f>+'7 Informacion Base'!$I$26</f>
        <v>5845142.4199333331</v>
      </c>
      <c r="BP9" s="57">
        <f>+'7 Informacion Base'!$I$26</f>
        <v>5845142.4199333331</v>
      </c>
      <c r="BQ9" s="57">
        <f>+'7 Informacion Base'!$I$26</f>
        <v>5845142.4199333331</v>
      </c>
      <c r="BR9" s="57">
        <f>+'7 Informacion Base'!$I$26</f>
        <v>5845142.4199333331</v>
      </c>
      <c r="BS9" s="57">
        <f>+'7 Informacion Base'!$I$26</f>
        <v>5845142.4199333331</v>
      </c>
      <c r="BT9" s="57">
        <f>+'7 Informacion Base'!$I$26</f>
        <v>5845142.4199333331</v>
      </c>
      <c r="BU9" s="57">
        <f>+'7 Informacion Base'!$I$26</f>
        <v>5845142.4199333331</v>
      </c>
      <c r="BV9" s="57">
        <f>+'7 Informacion Base'!$I$26</f>
        <v>5845142.4199333331</v>
      </c>
      <c r="BW9" s="57">
        <f>+'7 Informacion Base'!$I$26</f>
        <v>5845142.4199333331</v>
      </c>
      <c r="BX9" s="57">
        <f>+'7 Informacion Base'!$I$26</f>
        <v>5845142.4199333331</v>
      </c>
      <c r="BY9" s="57">
        <f>+'7 Informacion Base'!$J$26</f>
        <v>6020496.6925313333</v>
      </c>
      <c r="BZ9" s="57">
        <f>+'7 Informacion Base'!$J$26</f>
        <v>6020496.6925313333</v>
      </c>
      <c r="CA9" s="57">
        <f>+'7 Informacion Base'!$J$26</f>
        <v>6020496.6925313333</v>
      </c>
      <c r="CB9" s="57">
        <f>+'7 Informacion Base'!$J$26</f>
        <v>6020496.6925313333</v>
      </c>
      <c r="CC9" s="57">
        <f>+'7 Informacion Base'!$J$26</f>
        <v>6020496.6925313333</v>
      </c>
      <c r="CD9" s="57">
        <f>+'7 Informacion Base'!$J$26</f>
        <v>6020496.6925313333</v>
      </c>
      <c r="CE9" s="57">
        <f>+'7 Informacion Base'!$J$26</f>
        <v>6020496.6925313333</v>
      </c>
      <c r="CF9" s="57">
        <f>+'7 Informacion Base'!$J$26</f>
        <v>6020496.6925313333</v>
      </c>
      <c r="CG9" s="57">
        <f>+'7 Informacion Base'!$J$26</f>
        <v>6020496.6925313333</v>
      </c>
      <c r="CH9" s="57">
        <f>+'7 Informacion Base'!$J$26</f>
        <v>6020496.6925313333</v>
      </c>
      <c r="CI9" s="57">
        <f>+'7 Informacion Base'!$J$26</f>
        <v>6020496.6925313333</v>
      </c>
      <c r="CJ9" s="57">
        <f>+'7 Informacion Base'!$J$26</f>
        <v>6020496.6925313333</v>
      </c>
      <c r="CK9" s="57">
        <f>+'7 Informacion Base'!$K$26</f>
        <v>6201111.5933072735</v>
      </c>
      <c r="CL9" s="57">
        <f>+'7 Informacion Base'!$K$26</f>
        <v>6201111.5933072735</v>
      </c>
      <c r="CM9" s="57">
        <f>+'7 Informacion Base'!$K$26</f>
        <v>6201111.5933072735</v>
      </c>
      <c r="CN9" s="57">
        <f>+'7 Informacion Base'!$K$26</f>
        <v>6201111.5933072735</v>
      </c>
      <c r="CO9" s="57">
        <f>+'7 Informacion Base'!$K$26</f>
        <v>6201111.5933072735</v>
      </c>
      <c r="CP9" s="57">
        <f>+'7 Informacion Base'!$K$26</f>
        <v>6201111.5933072735</v>
      </c>
      <c r="CQ9" s="57">
        <f>+'7 Informacion Base'!$K$26</f>
        <v>6201111.5933072735</v>
      </c>
      <c r="CR9" s="57">
        <f>+'7 Informacion Base'!$K$26</f>
        <v>6201111.5933072735</v>
      </c>
      <c r="CS9" s="57">
        <f>+'7 Informacion Base'!$K$26</f>
        <v>6201111.5933072735</v>
      </c>
      <c r="CT9" s="57">
        <f>+'7 Informacion Base'!$K$26</f>
        <v>6201111.5933072735</v>
      </c>
      <c r="CU9" s="57">
        <f>+'7 Informacion Base'!$K$26</f>
        <v>6201111.5933072735</v>
      </c>
      <c r="CV9" s="57">
        <f>+'7 Informacion Base'!$K$26</f>
        <v>6201111.5933072735</v>
      </c>
      <c r="CW9" s="57">
        <f>+'7 Informacion Base'!$L$26</f>
        <v>6387144.9411064917</v>
      </c>
      <c r="CX9" s="57">
        <f>+'7 Informacion Base'!$L$26</f>
        <v>6387144.9411064917</v>
      </c>
      <c r="CY9" s="57">
        <f>+'7 Informacion Base'!$L$26</f>
        <v>6387144.9411064917</v>
      </c>
      <c r="CZ9" s="57">
        <f>+'7 Informacion Base'!$L$26</f>
        <v>6387144.9411064917</v>
      </c>
      <c r="DA9" s="57">
        <f>+'7 Informacion Base'!$L$26</f>
        <v>6387144.9411064917</v>
      </c>
      <c r="DB9" s="57">
        <f>+'7 Informacion Base'!$L$26</f>
        <v>6387144.9411064917</v>
      </c>
      <c r="DC9" s="57">
        <f>+'7 Informacion Base'!$L$26</f>
        <v>6387144.9411064917</v>
      </c>
      <c r="DD9" s="57">
        <f>+'7 Informacion Base'!$L$26</f>
        <v>6387144.9411064917</v>
      </c>
      <c r="DE9" s="57">
        <f>+'7 Informacion Base'!$L$26</f>
        <v>6387144.9411064917</v>
      </c>
      <c r="DF9" s="57">
        <f>+'7 Informacion Base'!$L$26</f>
        <v>6387144.9411064917</v>
      </c>
      <c r="DG9" s="57">
        <f>+'7 Informacion Base'!$L$26</f>
        <v>6387144.9411064917</v>
      </c>
      <c r="DH9" s="57">
        <f>+'7 Informacion Base'!$L$26</f>
        <v>6387144.9411064917</v>
      </c>
      <c r="DI9" s="57">
        <f>+'7 Informacion Base'!$M$26</f>
        <v>6578759.2893396867</v>
      </c>
      <c r="DJ9" s="57">
        <f>+'7 Informacion Base'!$M$26</f>
        <v>6578759.2893396867</v>
      </c>
      <c r="DK9" s="57">
        <f>+'7 Informacion Base'!$M$26</f>
        <v>6578759.2893396867</v>
      </c>
      <c r="DL9" s="57">
        <f>+'7 Informacion Base'!$M$26</f>
        <v>6578759.2893396867</v>
      </c>
      <c r="DM9" s="57">
        <f>+'7 Informacion Base'!$M$26</f>
        <v>6578759.2893396867</v>
      </c>
      <c r="DN9" s="57">
        <f>+'7 Informacion Base'!$M$26</f>
        <v>6578759.2893396867</v>
      </c>
      <c r="DO9" s="57">
        <f>+'7 Informacion Base'!$M$26</f>
        <v>6578759.2893396867</v>
      </c>
      <c r="DP9" s="57">
        <f>+'7 Informacion Base'!$M$26</f>
        <v>6578759.2893396867</v>
      </c>
      <c r="DQ9" s="57">
        <f>+'7 Informacion Base'!$M$26</f>
        <v>6578759.2893396867</v>
      </c>
      <c r="DR9" s="57">
        <f>+'7 Informacion Base'!$M$26</f>
        <v>6578759.2893396867</v>
      </c>
      <c r="DS9" s="57">
        <f>+'7 Informacion Base'!$M$26</f>
        <v>6578759.2893396867</v>
      </c>
      <c r="DT9" s="57">
        <f>+'7 Informacion Base'!$M$26</f>
        <v>6578759.2893396867</v>
      </c>
      <c r="DU9" s="57">
        <f>+'7 Informacion Base'!$N$26</f>
        <v>6776122.0680198772</v>
      </c>
      <c r="DV9" s="57">
        <f>+'7 Informacion Base'!$N$26</f>
        <v>6776122.0680198772</v>
      </c>
      <c r="DW9" s="57">
        <f>+'7 Informacion Base'!$N$26</f>
        <v>6776122.0680198772</v>
      </c>
      <c r="DX9" s="57">
        <f>+'7 Informacion Base'!$N$26</f>
        <v>6776122.0680198772</v>
      </c>
      <c r="DY9" s="57">
        <f>+'7 Informacion Base'!$N$26</f>
        <v>6776122.0680198772</v>
      </c>
      <c r="DZ9" s="57">
        <f>+'7 Informacion Base'!$N$26</f>
        <v>6776122.0680198772</v>
      </c>
      <c r="EA9" s="57">
        <f>+'7 Informacion Base'!$N$26</f>
        <v>6776122.0680198772</v>
      </c>
      <c r="EB9" s="57">
        <f>+'7 Informacion Base'!$N$26</f>
        <v>6776122.0680198772</v>
      </c>
      <c r="EC9" s="57">
        <f>+'7 Informacion Base'!$N$26</f>
        <v>6776122.0680198772</v>
      </c>
      <c r="ED9" s="57">
        <f>+'7 Informacion Base'!$N$26</f>
        <v>6776122.0680198772</v>
      </c>
      <c r="EE9" s="57">
        <f>+'7 Informacion Base'!$N$26</f>
        <v>6776122.0680198772</v>
      </c>
      <c r="EF9" s="57">
        <f>+'7 Informacion Base'!$N$26</f>
        <v>6776122.0680198772</v>
      </c>
    </row>
    <row r="10" spans="2:136" s="45" customFormat="1" hidden="1" x14ac:dyDescent="0.25">
      <c r="B10" s="44" t="s">
        <v>210</v>
      </c>
      <c r="C10" s="44" t="s">
        <v>66</v>
      </c>
      <c r="D10" s="100" t="s">
        <v>82</v>
      </c>
      <c r="E10" s="101"/>
      <c r="F10" s="101">
        <f>+'7 Informacion Base'!$D$57</f>
        <v>0</v>
      </c>
      <c r="G10" s="101">
        <f>+'7 Informacion Base'!$D$57</f>
        <v>0</v>
      </c>
      <c r="H10" s="101">
        <f>+'7 Informacion Base'!$D$57</f>
        <v>0</v>
      </c>
      <c r="I10" s="101">
        <f>+'7 Informacion Base'!$D$57</f>
        <v>0</v>
      </c>
      <c r="J10" s="101">
        <f>+'7 Informacion Base'!$D$57</f>
        <v>0</v>
      </c>
      <c r="K10" s="101">
        <f>+'7 Informacion Base'!$D$57</f>
        <v>0</v>
      </c>
      <c r="L10" s="101">
        <f>+'7 Informacion Base'!$D$57</f>
        <v>0</v>
      </c>
      <c r="M10" s="101">
        <f>+'7 Informacion Base'!$D$57</f>
        <v>0</v>
      </c>
      <c r="N10" s="101">
        <f>+'7 Informacion Base'!$D$57</f>
        <v>0</v>
      </c>
      <c r="O10" s="101">
        <f>+'7 Informacion Base'!$D$57</f>
        <v>0</v>
      </c>
      <c r="P10" s="101">
        <f>+'7 Informacion Base'!$D$57</f>
        <v>0</v>
      </c>
      <c r="Q10" s="101">
        <f>+'7 Informacion Base'!$E$57</f>
        <v>0</v>
      </c>
      <c r="R10" s="101">
        <f>+'7 Informacion Base'!$E$57</f>
        <v>0</v>
      </c>
      <c r="S10" s="101">
        <f>+'7 Informacion Base'!$E$57</f>
        <v>0</v>
      </c>
      <c r="T10" s="101">
        <f>+'7 Informacion Base'!$E$57</f>
        <v>0</v>
      </c>
      <c r="U10" s="101">
        <f>+'7 Informacion Base'!$E$57</f>
        <v>0</v>
      </c>
      <c r="V10" s="101">
        <f>+'7 Informacion Base'!$E$57</f>
        <v>0</v>
      </c>
      <c r="W10" s="101">
        <f>+'7 Informacion Base'!$E$57</f>
        <v>0</v>
      </c>
      <c r="X10" s="101">
        <f>+'7 Informacion Base'!$E$57</f>
        <v>0</v>
      </c>
      <c r="Y10" s="101">
        <f>+'7 Informacion Base'!$E$57</f>
        <v>0</v>
      </c>
      <c r="Z10" s="101">
        <f>+'7 Informacion Base'!$E$57</f>
        <v>0</v>
      </c>
      <c r="AA10" s="101">
        <f>+'7 Informacion Base'!$E$57</f>
        <v>0</v>
      </c>
      <c r="AB10" s="101">
        <f>+'7 Informacion Base'!$E$57</f>
        <v>0</v>
      </c>
      <c r="AC10" s="101">
        <f>+'7 Informacion Base'!$F$57</f>
        <v>0</v>
      </c>
      <c r="AD10" s="101">
        <f>+'7 Informacion Base'!$F$57</f>
        <v>0</v>
      </c>
      <c r="AE10" s="101">
        <f>+'7 Informacion Base'!$F$57</f>
        <v>0</v>
      </c>
      <c r="AF10" s="101">
        <f>+'7 Informacion Base'!$F$57</f>
        <v>0</v>
      </c>
      <c r="AG10" s="101">
        <f>+'7 Informacion Base'!$F$57</f>
        <v>0</v>
      </c>
      <c r="AH10" s="101">
        <f>+'7 Informacion Base'!$F$57</f>
        <v>0</v>
      </c>
      <c r="AI10" s="101">
        <f>+'7 Informacion Base'!$F$57</f>
        <v>0</v>
      </c>
      <c r="AJ10" s="101">
        <f>+'7 Informacion Base'!$F$57</f>
        <v>0</v>
      </c>
      <c r="AK10" s="101">
        <f>+'7 Informacion Base'!$F$57</f>
        <v>0</v>
      </c>
      <c r="AL10" s="101">
        <f>+'7 Informacion Base'!$F$57</f>
        <v>0</v>
      </c>
      <c r="AM10" s="101">
        <f>+'7 Informacion Base'!$F$57</f>
        <v>0</v>
      </c>
      <c r="AN10" s="101">
        <f>+'7 Informacion Base'!$F$57</f>
        <v>0</v>
      </c>
      <c r="AO10" s="101">
        <f>+'7 Informacion Base'!$G$57</f>
        <v>0</v>
      </c>
      <c r="AP10" s="101">
        <f>+'7 Informacion Base'!$G$57</f>
        <v>0</v>
      </c>
      <c r="AQ10" s="101">
        <f>+'7 Informacion Base'!$G$57</f>
        <v>0</v>
      </c>
      <c r="AR10" s="101">
        <f>+'7 Informacion Base'!$G$57</f>
        <v>0</v>
      </c>
      <c r="AS10" s="101">
        <f>+'7 Informacion Base'!$G$57</f>
        <v>0</v>
      </c>
      <c r="AT10" s="101">
        <f>+'7 Informacion Base'!$G$57</f>
        <v>0</v>
      </c>
      <c r="AU10" s="101">
        <f>+'7 Informacion Base'!$G$57</f>
        <v>0</v>
      </c>
      <c r="AV10" s="101">
        <f>+'7 Informacion Base'!$G$57</f>
        <v>0</v>
      </c>
      <c r="AW10" s="101">
        <f>+'7 Informacion Base'!$G$57</f>
        <v>0</v>
      </c>
      <c r="AX10" s="101">
        <f>+'7 Informacion Base'!$G$57</f>
        <v>0</v>
      </c>
      <c r="AY10" s="101">
        <f>+'7 Informacion Base'!$G$57</f>
        <v>0</v>
      </c>
      <c r="AZ10" s="101">
        <f>+'7 Informacion Base'!$G$57</f>
        <v>0</v>
      </c>
      <c r="BA10" s="101">
        <f>+'7 Informacion Base'!$H$57</f>
        <v>0</v>
      </c>
      <c r="BB10" s="101">
        <f>+'7 Informacion Base'!$H$57</f>
        <v>0</v>
      </c>
      <c r="BC10" s="101">
        <f>+'7 Informacion Base'!$H$57</f>
        <v>0</v>
      </c>
      <c r="BD10" s="101">
        <f>+'7 Informacion Base'!$H$57</f>
        <v>0</v>
      </c>
      <c r="BE10" s="101">
        <f>+'7 Informacion Base'!$H$57</f>
        <v>0</v>
      </c>
      <c r="BF10" s="101">
        <f>+'7 Informacion Base'!$H$57</f>
        <v>0</v>
      </c>
      <c r="BG10" s="101">
        <f>+'7 Informacion Base'!$H$57</f>
        <v>0</v>
      </c>
      <c r="BH10" s="101">
        <f>+'7 Informacion Base'!$H$57</f>
        <v>0</v>
      </c>
      <c r="BI10" s="101">
        <f>+'7 Informacion Base'!$H$57</f>
        <v>0</v>
      </c>
      <c r="BJ10" s="101">
        <f>+'7 Informacion Base'!$H$57</f>
        <v>0</v>
      </c>
      <c r="BK10" s="101">
        <f>+'7 Informacion Base'!$H$57</f>
        <v>0</v>
      </c>
      <c r="BL10" s="101">
        <f>+'7 Informacion Base'!$H$57</f>
        <v>0</v>
      </c>
      <c r="BM10" s="101">
        <f>+'7 Informacion Base'!$I$57</f>
        <v>0</v>
      </c>
      <c r="BN10" s="101">
        <f>+'7 Informacion Base'!$I$57</f>
        <v>0</v>
      </c>
      <c r="BO10" s="101">
        <f>+'7 Informacion Base'!$I$57</f>
        <v>0</v>
      </c>
      <c r="BP10" s="101">
        <f>+'7 Informacion Base'!$I$57</f>
        <v>0</v>
      </c>
      <c r="BQ10" s="101">
        <f>+'7 Informacion Base'!$I$57</f>
        <v>0</v>
      </c>
      <c r="BR10" s="101">
        <f>+'7 Informacion Base'!$I$57</f>
        <v>0</v>
      </c>
      <c r="BS10" s="101">
        <f>+'7 Informacion Base'!$I$57</f>
        <v>0</v>
      </c>
      <c r="BT10" s="101">
        <f>+'7 Informacion Base'!$I$57</f>
        <v>0</v>
      </c>
      <c r="BU10" s="101">
        <f>+'7 Informacion Base'!$I$57</f>
        <v>0</v>
      </c>
      <c r="BV10" s="101">
        <f>+'7 Informacion Base'!$I$57</f>
        <v>0</v>
      </c>
      <c r="BW10" s="101">
        <f>+'7 Informacion Base'!$I$57</f>
        <v>0</v>
      </c>
      <c r="BX10" s="101">
        <f>+'7 Informacion Base'!$I$57</f>
        <v>0</v>
      </c>
      <c r="BY10" s="101">
        <f>+'7 Informacion Base'!$J$57</f>
        <v>0</v>
      </c>
      <c r="BZ10" s="101">
        <f>+'7 Informacion Base'!$J$57</f>
        <v>0</v>
      </c>
      <c r="CA10" s="101">
        <f>+'7 Informacion Base'!$J$57</f>
        <v>0</v>
      </c>
      <c r="CB10" s="101">
        <f>+'7 Informacion Base'!$J$57</f>
        <v>0</v>
      </c>
      <c r="CC10" s="101">
        <f>+'7 Informacion Base'!$J$57</f>
        <v>0</v>
      </c>
      <c r="CD10" s="101">
        <f>+'7 Informacion Base'!$J$57</f>
        <v>0</v>
      </c>
      <c r="CE10" s="101">
        <f>+'7 Informacion Base'!$J$57</f>
        <v>0</v>
      </c>
      <c r="CF10" s="101">
        <f>+'7 Informacion Base'!$J$57</f>
        <v>0</v>
      </c>
      <c r="CG10" s="101">
        <f>+'7 Informacion Base'!$J$57</f>
        <v>0</v>
      </c>
      <c r="CH10" s="101">
        <f>+'7 Informacion Base'!$J$57</f>
        <v>0</v>
      </c>
      <c r="CI10" s="101">
        <f>+'7 Informacion Base'!$J$57</f>
        <v>0</v>
      </c>
      <c r="CJ10" s="101">
        <f>+'7 Informacion Base'!$J$57</f>
        <v>0</v>
      </c>
      <c r="CK10" s="101">
        <f>+'7 Informacion Base'!$K$57</f>
        <v>0</v>
      </c>
      <c r="CL10" s="101">
        <f>+'7 Informacion Base'!$K$57</f>
        <v>0</v>
      </c>
      <c r="CM10" s="101">
        <f>+'7 Informacion Base'!$K$57</f>
        <v>0</v>
      </c>
      <c r="CN10" s="101">
        <f>+'7 Informacion Base'!$K$57</f>
        <v>0</v>
      </c>
      <c r="CO10" s="101">
        <f>+'7 Informacion Base'!$K$57</f>
        <v>0</v>
      </c>
      <c r="CP10" s="101">
        <f>+'7 Informacion Base'!$K$57</f>
        <v>0</v>
      </c>
      <c r="CQ10" s="101">
        <f>+'7 Informacion Base'!$K$57</f>
        <v>0</v>
      </c>
      <c r="CR10" s="101">
        <f>+'7 Informacion Base'!$K$57</f>
        <v>0</v>
      </c>
      <c r="CS10" s="101">
        <f>+'7 Informacion Base'!$K$57</f>
        <v>0</v>
      </c>
      <c r="CT10" s="101">
        <f>+'7 Informacion Base'!$K$57</f>
        <v>0</v>
      </c>
      <c r="CU10" s="101">
        <f>+'7 Informacion Base'!$K$57</f>
        <v>0</v>
      </c>
      <c r="CV10" s="101">
        <f>+'7 Informacion Base'!$K$57</f>
        <v>0</v>
      </c>
      <c r="CW10" s="101">
        <f>+'7 Informacion Base'!$L$57</f>
        <v>0</v>
      </c>
      <c r="CX10" s="101">
        <f>+'7 Informacion Base'!$L$57</f>
        <v>0</v>
      </c>
      <c r="CY10" s="101">
        <f>+'7 Informacion Base'!$L$57</f>
        <v>0</v>
      </c>
      <c r="CZ10" s="101">
        <f>+'7 Informacion Base'!$L$57</f>
        <v>0</v>
      </c>
      <c r="DA10" s="101">
        <f>+'7 Informacion Base'!$L$57</f>
        <v>0</v>
      </c>
      <c r="DB10" s="101">
        <f>+'7 Informacion Base'!$L$57</f>
        <v>0</v>
      </c>
      <c r="DC10" s="101">
        <f>+'7 Informacion Base'!$L$57</f>
        <v>0</v>
      </c>
      <c r="DD10" s="101">
        <f>+'7 Informacion Base'!$L$57</f>
        <v>0</v>
      </c>
      <c r="DE10" s="101">
        <f>+'7 Informacion Base'!$L$57</f>
        <v>0</v>
      </c>
      <c r="DF10" s="101">
        <f>+'7 Informacion Base'!$L$57</f>
        <v>0</v>
      </c>
      <c r="DG10" s="101">
        <f>+'7 Informacion Base'!$L$57</f>
        <v>0</v>
      </c>
      <c r="DH10" s="101">
        <f>+'7 Informacion Base'!$L$57</f>
        <v>0</v>
      </c>
      <c r="DI10" s="101">
        <f>+'7 Informacion Base'!$M$57</f>
        <v>0</v>
      </c>
      <c r="DJ10" s="101">
        <f>+'7 Informacion Base'!$M$57</f>
        <v>0</v>
      </c>
      <c r="DK10" s="101">
        <f>+'7 Informacion Base'!$M$57</f>
        <v>0</v>
      </c>
      <c r="DL10" s="101">
        <f>+'7 Informacion Base'!$M$57</f>
        <v>0</v>
      </c>
      <c r="DM10" s="101">
        <f>+'7 Informacion Base'!$M$57</f>
        <v>0</v>
      </c>
      <c r="DN10" s="101">
        <f>+'7 Informacion Base'!$M$57</f>
        <v>0</v>
      </c>
      <c r="DO10" s="101">
        <f>+'7 Informacion Base'!$M$57</f>
        <v>0</v>
      </c>
      <c r="DP10" s="101">
        <f>+'7 Informacion Base'!$M$57</f>
        <v>0</v>
      </c>
      <c r="DQ10" s="101">
        <f>+'7 Informacion Base'!$M$57</f>
        <v>0</v>
      </c>
      <c r="DR10" s="101">
        <f>+'7 Informacion Base'!$M$57</f>
        <v>0</v>
      </c>
      <c r="DS10" s="101">
        <f>+'7 Informacion Base'!$M$57</f>
        <v>0</v>
      </c>
      <c r="DT10" s="101">
        <f>+'7 Informacion Base'!$M$57</f>
        <v>0</v>
      </c>
      <c r="DU10" s="101">
        <f>+'7 Informacion Base'!$N$57</f>
        <v>0</v>
      </c>
      <c r="DV10" s="101">
        <f>+'7 Informacion Base'!$N$57</f>
        <v>0</v>
      </c>
      <c r="DW10" s="101">
        <f>+'7 Informacion Base'!$N$57</f>
        <v>0</v>
      </c>
      <c r="DX10" s="101">
        <f>+'7 Informacion Base'!$N$57</f>
        <v>0</v>
      </c>
      <c r="DY10" s="101">
        <f>+'7 Informacion Base'!$N$57</f>
        <v>0</v>
      </c>
      <c r="DZ10" s="101">
        <f>+'7 Informacion Base'!$N$57</f>
        <v>0</v>
      </c>
      <c r="EA10" s="101">
        <f>+'7 Informacion Base'!$N$57</f>
        <v>0</v>
      </c>
      <c r="EB10" s="101">
        <f>+'7 Informacion Base'!$N$57</f>
        <v>0</v>
      </c>
      <c r="EC10" s="101">
        <f>+'7 Informacion Base'!$N$57</f>
        <v>0</v>
      </c>
      <c r="ED10" s="101">
        <f>+'7 Informacion Base'!$N$57</f>
        <v>0</v>
      </c>
      <c r="EE10" s="101">
        <f>+'7 Informacion Base'!$N$57</f>
        <v>0</v>
      </c>
      <c r="EF10" s="101">
        <f>+'7 Informacion Base'!$N$57</f>
        <v>0</v>
      </c>
    </row>
    <row r="11" spans="2:136" x14ac:dyDescent="0.25">
      <c r="B11" s="39" t="s">
        <v>100</v>
      </c>
      <c r="C11" s="44" t="s">
        <v>66</v>
      </c>
      <c r="D11" s="36" t="s">
        <v>83</v>
      </c>
      <c r="F11" s="57">
        <f>+F5*'7 Informacion Base'!$C$14*'7 Informacion Base'!$C$13</f>
        <v>281250</v>
      </c>
      <c r="G11" s="57">
        <f>+G5*'7 Informacion Base'!$C$14*'7 Informacion Base'!$C$13</f>
        <v>281250</v>
      </c>
      <c r="H11" s="57">
        <f>+H5*'7 Informacion Base'!$C$14*'7 Informacion Base'!$C$13</f>
        <v>281250</v>
      </c>
      <c r="I11" s="57">
        <f>+I5*'7 Informacion Base'!$C$14*'7 Informacion Base'!$C$13</f>
        <v>281250</v>
      </c>
      <c r="J11" s="57">
        <f>+J5*'7 Informacion Base'!$C$14*'7 Informacion Base'!$C$13</f>
        <v>281250</v>
      </c>
      <c r="K11" s="57">
        <f>+K5*'7 Informacion Base'!$C$14*'7 Informacion Base'!$C$13</f>
        <v>281250</v>
      </c>
      <c r="L11" s="57">
        <f>+L5*'7 Informacion Base'!$C$14*'7 Informacion Base'!$C$13</f>
        <v>281250</v>
      </c>
      <c r="M11" s="57">
        <f>+M5*'7 Informacion Base'!$C$14*'7 Informacion Base'!$C$13</f>
        <v>281250</v>
      </c>
      <c r="N11" s="57">
        <f>+N5*'7 Informacion Base'!$C$14*'7 Informacion Base'!$C$13</f>
        <v>281250</v>
      </c>
      <c r="O11" s="57">
        <f>+O5*'7 Informacion Base'!$C$14*'7 Informacion Base'!$C$13</f>
        <v>281250</v>
      </c>
      <c r="P11" s="57">
        <f>+P5*'7 Informacion Base'!$C$14*'7 Informacion Base'!$C$13</f>
        <v>281250</v>
      </c>
      <c r="Q11" s="57">
        <f>+Q5*'7 Informacion Base'!$C$14*'7 Informacion Base'!$C$13</f>
        <v>403593.75</v>
      </c>
      <c r="R11" s="57">
        <f>+R5*'7 Informacion Base'!$C$14*'7 Informacion Base'!$C$13</f>
        <v>403593.75</v>
      </c>
      <c r="S11" s="57">
        <f>+S5*'7 Informacion Base'!$C$14*'7 Informacion Base'!$C$13</f>
        <v>403593.75</v>
      </c>
      <c r="T11" s="57">
        <f>+T5*'7 Informacion Base'!$C$14*'7 Informacion Base'!$C$13</f>
        <v>403593.75</v>
      </c>
      <c r="U11" s="57">
        <f>+U5*'7 Informacion Base'!$C$14*'7 Informacion Base'!$C$13</f>
        <v>403593.75</v>
      </c>
      <c r="V11" s="57">
        <f>+V5*'7 Informacion Base'!$C$14*'7 Informacion Base'!$C$13</f>
        <v>403593.75</v>
      </c>
      <c r="W11" s="57">
        <f>+W5*'7 Informacion Base'!$C$14*'7 Informacion Base'!$C$13</f>
        <v>403593.75</v>
      </c>
      <c r="X11" s="57">
        <f>+X5*'7 Informacion Base'!$C$14*'7 Informacion Base'!$C$13</f>
        <v>403593.75</v>
      </c>
      <c r="Y11" s="57">
        <f>+Y5*'7 Informacion Base'!$C$14*'7 Informacion Base'!$C$13</f>
        <v>403593.75</v>
      </c>
      <c r="Z11" s="57">
        <f>+Z5*'7 Informacion Base'!$C$14*'7 Informacion Base'!$C$13</f>
        <v>403593.75</v>
      </c>
      <c r="AA11" s="57">
        <f>+AA5*'7 Informacion Base'!$C$14*'7 Informacion Base'!$C$13</f>
        <v>403593.75</v>
      </c>
      <c r="AB11" s="57">
        <f>+AB5*'7 Informacion Base'!$C$14*'7 Informacion Base'!$C$13</f>
        <v>403593.75</v>
      </c>
      <c r="AC11" s="57">
        <f>+AC5*'7 Informacion Base'!$C$14*'7 Informacion Base'!$C$13</f>
        <v>593859.375</v>
      </c>
      <c r="AD11" s="57">
        <f>+AD5*'7 Informacion Base'!$C$14*'7 Informacion Base'!$C$13</f>
        <v>593859.375</v>
      </c>
      <c r="AE11" s="57">
        <f>+AE5*'7 Informacion Base'!$C$14*'7 Informacion Base'!$C$13</f>
        <v>593859.375</v>
      </c>
      <c r="AF11" s="57">
        <f>+AF5*'7 Informacion Base'!$C$14*'7 Informacion Base'!$C$13</f>
        <v>593859.375</v>
      </c>
      <c r="AG11" s="57">
        <f>+AG5*'7 Informacion Base'!$C$14*'7 Informacion Base'!$C$13</f>
        <v>593859.375</v>
      </c>
      <c r="AH11" s="57">
        <f>+AH5*'7 Informacion Base'!$C$14*'7 Informacion Base'!$C$13</f>
        <v>593859.375</v>
      </c>
      <c r="AI11" s="57">
        <f>+AI5*'7 Informacion Base'!$C$14*'7 Informacion Base'!$C$13</f>
        <v>593859.375</v>
      </c>
      <c r="AJ11" s="57">
        <f>+AJ5*'7 Informacion Base'!$C$14*'7 Informacion Base'!$C$13</f>
        <v>593859.375</v>
      </c>
      <c r="AK11" s="57">
        <f>+AK5*'7 Informacion Base'!$C$14*'7 Informacion Base'!$C$13</f>
        <v>593859.375</v>
      </c>
      <c r="AL11" s="57">
        <f>+AL5*'7 Informacion Base'!$C$14*'7 Informacion Base'!$C$13</f>
        <v>593859.375</v>
      </c>
      <c r="AM11" s="57">
        <f>+AM5*'7 Informacion Base'!$C$14*'7 Informacion Base'!$C$13</f>
        <v>593859.375</v>
      </c>
      <c r="AN11" s="57">
        <f>+AN5*'7 Informacion Base'!$C$14*'7 Informacion Base'!$C$13</f>
        <v>593859.375</v>
      </c>
      <c r="AO11" s="57">
        <f>+AO5*'7 Informacion Base'!$C$14*'7 Informacion Base'!$C$13</f>
        <v>856345.21875</v>
      </c>
      <c r="AP11" s="57">
        <f>+AP5*'7 Informacion Base'!$C$14*'7 Informacion Base'!$C$13</f>
        <v>856345.21875</v>
      </c>
      <c r="AQ11" s="57">
        <f>+AQ5*'7 Informacion Base'!$C$14*'7 Informacion Base'!$C$13</f>
        <v>856345.21875</v>
      </c>
      <c r="AR11" s="57">
        <f>+AR5*'7 Informacion Base'!$C$14*'7 Informacion Base'!$C$13</f>
        <v>856345.21875</v>
      </c>
      <c r="AS11" s="57">
        <f>+AS5*'7 Informacion Base'!$C$14*'7 Informacion Base'!$C$13</f>
        <v>856345.21875</v>
      </c>
      <c r="AT11" s="57">
        <f>+AT5*'7 Informacion Base'!$C$14*'7 Informacion Base'!$C$13</f>
        <v>856345.21875</v>
      </c>
      <c r="AU11" s="57">
        <f>+AU5*'7 Informacion Base'!$C$14*'7 Informacion Base'!$C$13</f>
        <v>856345.21875</v>
      </c>
      <c r="AV11" s="57">
        <f>+AV5*'7 Informacion Base'!$C$14*'7 Informacion Base'!$C$13</f>
        <v>856345.21875</v>
      </c>
      <c r="AW11" s="57">
        <f>+AW5*'7 Informacion Base'!$C$14*'7 Informacion Base'!$C$13</f>
        <v>856345.21875</v>
      </c>
      <c r="AX11" s="57">
        <f>+AX5*'7 Informacion Base'!$C$14*'7 Informacion Base'!$C$13</f>
        <v>856345.21875</v>
      </c>
      <c r="AY11" s="57">
        <f>+AY5*'7 Informacion Base'!$C$14*'7 Informacion Base'!$C$13</f>
        <v>856345.21875</v>
      </c>
      <c r="AZ11" s="57">
        <f>+AZ5*'7 Informacion Base'!$C$14*'7 Informacion Base'!$C$13</f>
        <v>856345.21875</v>
      </c>
      <c r="BA11" s="57">
        <f>+BA5*'7 Informacion Base'!$C$14*'7 Informacion Base'!$C$13</f>
        <v>1134045.7396875003</v>
      </c>
      <c r="BB11" s="57">
        <f>+BB5*'7 Informacion Base'!$C$14*'7 Informacion Base'!$C$13</f>
        <v>1134045.7396875003</v>
      </c>
      <c r="BC11" s="57">
        <f>+BC5*'7 Informacion Base'!$C$14*'7 Informacion Base'!$C$13</f>
        <v>1134045.7396875003</v>
      </c>
      <c r="BD11" s="57">
        <f>+BD5*'7 Informacion Base'!$C$14*'7 Informacion Base'!$C$13</f>
        <v>1134045.7396875003</v>
      </c>
      <c r="BE11" s="57">
        <f>+BE5*'7 Informacion Base'!$C$14*'7 Informacion Base'!$C$13</f>
        <v>1134045.7396875003</v>
      </c>
      <c r="BF11" s="57">
        <f>+BF5*'7 Informacion Base'!$C$14*'7 Informacion Base'!$C$13</f>
        <v>1134045.7396875003</v>
      </c>
      <c r="BG11" s="57">
        <f>+BG5*'7 Informacion Base'!$C$14*'7 Informacion Base'!$C$13</f>
        <v>1134045.7396875003</v>
      </c>
      <c r="BH11" s="57">
        <f>+BH5*'7 Informacion Base'!$C$14*'7 Informacion Base'!$C$13</f>
        <v>1134045.7396875003</v>
      </c>
      <c r="BI11" s="57">
        <f>+BI5*'7 Informacion Base'!$C$14*'7 Informacion Base'!$C$13</f>
        <v>1134045.7396875003</v>
      </c>
      <c r="BJ11" s="57">
        <f>+BJ5*'7 Informacion Base'!$C$14*'7 Informacion Base'!$C$13</f>
        <v>1134045.7396875003</v>
      </c>
      <c r="BK11" s="57">
        <f>+BK5*'7 Informacion Base'!$C$14*'7 Informacion Base'!$C$13</f>
        <v>1134045.7396875003</v>
      </c>
      <c r="BL11" s="57">
        <f>+BL5*'7 Informacion Base'!$C$14*'7 Informacion Base'!$C$13</f>
        <v>1134045.7396875003</v>
      </c>
      <c r="BM11" s="57">
        <f>+BM5*'7 Informacion Base'!$C$14*'7 Informacion Base'!$C$13</f>
        <v>1232959.729204688</v>
      </c>
      <c r="BN11" s="57">
        <f>+BN5*'7 Informacion Base'!$C$14*'7 Informacion Base'!$C$13</f>
        <v>1232959.729204688</v>
      </c>
      <c r="BO11" s="57">
        <f>+BO5*'7 Informacion Base'!$C$14*'7 Informacion Base'!$C$13</f>
        <v>1232959.729204688</v>
      </c>
      <c r="BP11" s="57">
        <f>+BP5*'7 Informacion Base'!$C$14*'7 Informacion Base'!$C$13</f>
        <v>1232959.729204688</v>
      </c>
      <c r="BQ11" s="57">
        <f>+BQ5*'7 Informacion Base'!$C$14*'7 Informacion Base'!$C$13</f>
        <v>1232959.729204688</v>
      </c>
      <c r="BR11" s="57">
        <f>+BR5*'7 Informacion Base'!$C$14*'7 Informacion Base'!$C$13</f>
        <v>1232959.729204688</v>
      </c>
      <c r="BS11" s="57">
        <f>+BS5*'7 Informacion Base'!$C$14*'7 Informacion Base'!$C$13</f>
        <v>1232959.729204688</v>
      </c>
      <c r="BT11" s="57">
        <f>+BT5*'7 Informacion Base'!$C$14*'7 Informacion Base'!$C$13</f>
        <v>1232959.729204688</v>
      </c>
      <c r="BU11" s="57">
        <f>+BU5*'7 Informacion Base'!$C$14*'7 Informacion Base'!$C$13</f>
        <v>1232959.729204688</v>
      </c>
      <c r="BV11" s="57">
        <f>+BV5*'7 Informacion Base'!$C$14*'7 Informacion Base'!$C$13</f>
        <v>1232959.729204688</v>
      </c>
      <c r="BW11" s="57">
        <f>+BW5*'7 Informacion Base'!$C$14*'7 Informacion Base'!$C$13</f>
        <v>1232959.729204688</v>
      </c>
      <c r="BX11" s="57">
        <f>+BX5*'7 Informacion Base'!$C$14*'7 Informacion Base'!$C$13</f>
        <v>1232959.729204688</v>
      </c>
      <c r="BY11" s="57">
        <f>+BY5*'7 Informacion Base'!$C$14*'7 Informacion Base'!$C$13</f>
        <v>1269948.5210808285</v>
      </c>
      <c r="BZ11" s="57">
        <f>+BZ5*'7 Informacion Base'!$C$14*'7 Informacion Base'!$C$13</f>
        <v>1269948.5210808285</v>
      </c>
      <c r="CA11" s="57">
        <f>+CA5*'7 Informacion Base'!$C$14*'7 Informacion Base'!$C$13</f>
        <v>1269948.5210808285</v>
      </c>
      <c r="CB11" s="57">
        <f>+CB5*'7 Informacion Base'!$C$14*'7 Informacion Base'!$C$13</f>
        <v>1269948.5210808285</v>
      </c>
      <c r="CC11" s="57">
        <f>+CC5*'7 Informacion Base'!$C$14*'7 Informacion Base'!$C$13</f>
        <v>1269948.5210808285</v>
      </c>
      <c r="CD11" s="57">
        <f>+CD5*'7 Informacion Base'!$C$14*'7 Informacion Base'!$C$13</f>
        <v>1269948.5210808285</v>
      </c>
      <c r="CE11" s="57">
        <f>+CE5*'7 Informacion Base'!$C$14*'7 Informacion Base'!$C$13</f>
        <v>1269948.5210808285</v>
      </c>
      <c r="CF11" s="57">
        <f>+CF5*'7 Informacion Base'!$C$14*'7 Informacion Base'!$C$13</f>
        <v>1269948.5210808285</v>
      </c>
      <c r="CG11" s="57">
        <f>+CG5*'7 Informacion Base'!$C$14*'7 Informacion Base'!$C$13</f>
        <v>1269948.5210808285</v>
      </c>
      <c r="CH11" s="57">
        <f>+CH5*'7 Informacion Base'!$C$14*'7 Informacion Base'!$C$13</f>
        <v>1269948.5210808285</v>
      </c>
      <c r="CI11" s="57">
        <f>+CI5*'7 Informacion Base'!$C$14*'7 Informacion Base'!$C$13</f>
        <v>1269948.5210808285</v>
      </c>
      <c r="CJ11" s="57">
        <f>+CJ5*'7 Informacion Base'!$C$14*'7 Informacion Base'!$C$13</f>
        <v>1269948.5210808285</v>
      </c>
      <c r="CK11" s="57">
        <f>+CK5*'7 Informacion Base'!$C$14*'7 Informacion Base'!$C$13</f>
        <v>1308046.9767132534</v>
      </c>
      <c r="CL11" s="57">
        <f>+CL5*'7 Informacion Base'!$C$14*'7 Informacion Base'!$C$13</f>
        <v>1308046.9767132534</v>
      </c>
      <c r="CM11" s="57">
        <f>+CM5*'7 Informacion Base'!$C$14*'7 Informacion Base'!$C$13</f>
        <v>1308046.9767132534</v>
      </c>
      <c r="CN11" s="57">
        <f>+CN5*'7 Informacion Base'!$C$14*'7 Informacion Base'!$C$13</f>
        <v>1308046.9767132534</v>
      </c>
      <c r="CO11" s="57">
        <f>+CO5*'7 Informacion Base'!$C$14*'7 Informacion Base'!$C$13</f>
        <v>1308046.9767132534</v>
      </c>
      <c r="CP11" s="57">
        <f>+CP5*'7 Informacion Base'!$C$14*'7 Informacion Base'!$C$13</f>
        <v>1308046.9767132534</v>
      </c>
      <c r="CQ11" s="57">
        <f>+CQ5*'7 Informacion Base'!$C$14*'7 Informacion Base'!$C$13</f>
        <v>1308046.9767132534</v>
      </c>
      <c r="CR11" s="57">
        <f>+CR5*'7 Informacion Base'!$C$14*'7 Informacion Base'!$C$13</f>
        <v>1308046.9767132534</v>
      </c>
      <c r="CS11" s="57">
        <f>+CS5*'7 Informacion Base'!$C$14*'7 Informacion Base'!$C$13</f>
        <v>1308046.9767132534</v>
      </c>
      <c r="CT11" s="57">
        <f>+CT5*'7 Informacion Base'!$C$14*'7 Informacion Base'!$C$13</f>
        <v>1308046.9767132534</v>
      </c>
      <c r="CU11" s="57">
        <f>+CU5*'7 Informacion Base'!$C$14*'7 Informacion Base'!$C$13</f>
        <v>1308046.9767132534</v>
      </c>
      <c r="CV11" s="57">
        <f>+CV5*'7 Informacion Base'!$C$14*'7 Informacion Base'!$C$13</f>
        <v>1308046.9767132534</v>
      </c>
      <c r="CW11" s="57">
        <f>+CW5*'7 Informacion Base'!$C$14*'7 Informacion Base'!$C$13</f>
        <v>1347288.386014651</v>
      </c>
      <c r="CX11" s="57">
        <f>+CX5*'7 Informacion Base'!$C$14*'7 Informacion Base'!$C$13</f>
        <v>1347288.386014651</v>
      </c>
      <c r="CY11" s="57">
        <f>+CY5*'7 Informacion Base'!$C$14*'7 Informacion Base'!$C$13</f>
        <v>1347288.386014651</v>
      </c>
      <c r="CZ11" s="57">
        <f>+CZ5*'7 Informacion Base'!$C$14*'7 Informacion Base'!$C$13</f>
        <v>1347288.386014651</v>
      </c>
      <c r="DA11" s="57">
        <f>+DA5*'7 Informacion Base'!$C$14*'7 Informacion Base'!$C$13</f>
        <v>1347288.386014651</v>
      </c>
      <c r="DB11" s="57">
        <f>+DB5*'7 Informacion Base'!$C$14*'7 Informacion Base'!$C$13</f>
        <v>1347288.386014651</v>
      </c>
      <c r="DC11" s="57">
        <f>+DC5*'7 Informacion Base'!$C$14*'7 Informacion Base'!$C$13</f>
        <v>1347288.386014651</v>
      </c>
      <c r="DD11" s="57">
        <f>+DD5*'7 Informacion Base'!$C$14*'7 Informacion Base'!$C$13</f>
        <v>1347288.386014651</v>
      </c>
      <c r="DE11" s="57">
        <f>+DE5*'7 Informacion Base'!$C$14*'7 Informacion Base'!$C$13</f>
        <v>1347288.386014651</v>
      </c>
      <c r="DF11" s="57">
        <f>+DF5*'7 Informacion Base'!$C$14*'7 Informacion Base'!$C$13</f>
        <v>1347288.386014651</v>
      </c>
      <c r="DG11" s="57">
        <f>+DG5*'7 Informacion Base'!$C$14*'7 Informacion Base'!$C$13</f>
        <v>1347288.386014651</v>
      </c>
      <c r="DH11" s="57">
        <f>+DH5*'7 Informacion Base'!$C$14*'7 Informacion Base'!$C$13</f>
        <v>1347288.386014651</v>
      </c>
      <c r="DI11" s="57">
        <f>+DI5*'7 Informacion Base'!$C$14*'7 Informacion Base'!$C$13</f>
        <v>1387707.0375950905</v>
      </c>
      <c r="DJ11" s="57">
        <f>+DJ5*'7 Informacion Base'!$C$14*'7 Informacion Base'!$C$13</f>
        <v>1387707.0375950905</v>
      </c>
      <c r="DK11" s="57">
        <f>+DK5*'7 Informacion Base'!$C$14*'7 Informacion Base'!$C$13</f>
        <v>1387707.0375950905</v>
      </c>
      <c r="DL11" s="57">
        <f>+DL5*'7 Informacion Base'!$C$14*'7 Informacion Base'!$C$13</f>
        <v>1387707.0375950905</v>
      </c>
      <c r="DM11" s="57">
        <f>+DM5*'7 Informacion Base'!$C$14*'7 Informacion Base'!$C$13</f>
        <v>1387707.0375950905</v>
      </c>
      <c r="DN11" s="57">
        <f>+DN5*'7 Informacion Base'!$C$14*'7 Informacion Base'!$C$13</f>
        <v>1387707.0375950905</v>
      </c>
      <c r="DO11" s="57">
        <f>+DO5*'7 Informacion Base'!$C$14*'7 Informacion Base'!$C$13</f>
        <v>1387707.0375950905</v>
      </c>
      <c r="DP11" s="57">
        <f>+DP5*'7 Informacion Base'!$C$14*'7 Informacion Base'!$C$13</f>
        <v>1387707.0375950905</v>
      </c>
      <c r="DQ11" s="57">
        <f>+DQ5*'7 Informacion Base'!$C$14*'7 Informacion Base'!$C$13</f>
        <v>1387707.0375950905</v>
      </c>
      <c r="DR11" s="57">
        <f>+DR5*'7 Informacion Base'!$C$14*'7 Informacion Base'!$C$13</f>
        <v>1387707.0375950905</v>
      </c>
      <c r="DS11" s="57">
        <f>+DS5*'7 Informacion Base'!$C$14*'7 Informacion Base'!$C$13</f>
        <v>1387707.0375950905</v>
      </c>
      <c r="DT11" s="57">
        <f>+DT5*'7 Informacion Base'!$C$14*'7 Informacion Base'!$C$13</f>
        <v>1387707.0375950905</v>
      </c>
      <c r="DU11" s="57">
        <f>+DU5*'7 Informacion Base'!$C$14*'7 Informacion Base'!$C$13</f>
        <v>1429338.2487229435</v>
      </c>
      <c r="DV11" s="57">
        <f>+DV5*'7 Informacion Base'!$C$14*'7 Informacion Base'!$C$13</f>
        <v>1429338.2487229435</v>
      </c>
      <c r="DW11" s="57">
        <f>+DW5*'7 Informacion Base'!$C$14*'7 Informacion Base'!$C$13</f>
        <v>1429338.2487229435</v>
      </c>
      <c r="DX11" s="57">
        <f>+DX5*'7 Informacion Base'!$C$14*'7 Informacion Base'!$C$13</f>
        <v>1429338.2487229435</v>
      </c>
      <c r="DY11" s="57">
        <f>+DY5*'7 Informacion Base'!$C$14*'7 Informacion Base'!$C$13</f>
        <v>1429338.2487229435</v>
      </c>
      <c r="DZ11" s="57">
        <f>+DZ5*'7 Informacion Base'!$C$14*'7 Informacion Base'!$C$13</f>
        <v>1429338.2487229435</v>
      </c>
      <c r="EA11" s="57">
        <f>+EA5*'7 Informacion Base'!$C$14*'7 Informacion Base'!$C$13</f>
        <v>1429338.2487229435</v>
      </c>
      <c r="EB11" s="57">
        <f>+EB5*'7 Informacion Base'!$C$14*'7 Informacion Base'!$C$13</f>
        <v>1429338.2487229435</v>
      </c>
      <c r="EC11" s="57">
        <f>+EC5*'7 Informacion Base'!$C$14*'7 Informacion Base'!$C$13</f>
        <v>1429338.2487229435</v>
      </c>
      <c r="ED11" s="57">
        <f>+ED5*'7 Informacion Base'!$C$14*'7 Informacion Base'!$C$13</f>
        <v>1429338.2487229435</v>
      </c>
      <c r="EE11" s="57">
        <f>+EE5*'7 Informacion Base'!$C$14*'7 Informacion Base'!$C$13</f>
        <v>1429338.2487229435</v>
      </c>
      <c r="EF11" s="57">
        <f>+EF5*'7 Informacion Base'!$C$14*'7 Informacion Base'!$C$13</f>
        <v>1429338.2487229435</v>
      </c>
    </row>
    <row r="12" spans="2:136" s="45" customFormat="1" x14ac:dyDescent="0.25">
      <c r="B12" s="44" t="s">
        <v>100</v>
      </c>
      <c r="C12" s="44" t="s">
        <v>66</v>
      </c>
      <c r="D12" s="45" t="s">
        <v>84</v>
      </c>
      <c r="E12" s="57">
        <f>+'7 Informacion Base'!$D$61</f>
        <v>5650000</v>
      </c>
      <c r="F12" s="57"/>
      <c r="G12" s="57"/>
      <c r="H12" s="57">
        <f>+'7 Informacion Base'!$D$61</f>
        <v>5650000</v>
      </c>
      <c r="I12" s="57"/>
      <c r="J12" s="57"/>
      <c r="K12" s="57">
        <f>+'7 Informacion Base'!$D$61</f>
        <v>5650000</v>
      </c>
      <c r="L12" s="57"/>
      <c r="M12" s="57"/>
      <c r="N12" s="57">
        <f>+'7 Informacion Base'!$D$61</f>
        <v>5650000</v>
      </c>
      <c r="O12" s="57"/>
      <c r="P12" s="57"/>
      <c r="Q12" s="57">
        <f>+'7 Informacion Base'!$E$61</f>
        <v>5791249.9999999991</v>
      </c>
      <c r="R12" s="57"/>
      <c r="S12" s="57"/>
      <c r="T12" s="57">
        <f>+'7 Informacion Base'!$E$61</f>
        <v>5791249.9999999991</v>
      </c>
      <c r="U12" s="57"/>
      <c r="V12" s="57"/>
      <c r="W12" s="57">
        <f>+'7 Informacion Base'!$E$61</f>
        <v>5791249.9999999991</v>
      </c>
      <c r="X12" s="57"/>
      <c r="Y12" s="57"/>
      <c r="Z12" s="57">
        <f>+'7 Informacion Base'!$E$61</f>
        <v>5791249.9999999991</v>
      </c>
      <c r="AA12" s="57"/>
      <c r="AB12" s="57"/>
      <c r="AC12" s="57">
        <f>+'7 Informacion Base'!$F$61</f>
        <v>5964987.4999999991</v>
      </c>
      <c r="AD12" s="57"/>
      <c r="AE12" s="57"/>
      <c r="AF12" s="57">
        <f>+'7 Informacion Base'!$F$61</f>
        <v>5964987.4999999991</v>
      </c>
      <c r="AG12" s="57"/>
      <c r="AH12" s="57"/>
      <c r="AI12" s="57">
        <f>+'7 Informacion Base'!$F$61</f>
        <v>5964987.4999999991</v>
      </c>
      <c r="AJ12" s="57"/>
      <c r="AK12" s="57"/>
      <c r="AL12" s="57">
        <f>+'7 Informacion Base'!$F$61</f>
        <v>5964987.4999999991</v>
      </c>
      <c r="AM12" s="57"/>
      <c r="AN12" s="57"/>
      <c r="AO12" s="57">
        <f>+'7 Informacion Base'!$G$61</f>
        <v>6143937.1249999991</v>
      </c>
      <c r="AP12" s="57"/>
      <c r="AQ12" s="57"/>
      <c r="AR12" s="57">
        <f>+'7 Informacion Base'!$G$61</f>
        <v>6143937.1249999991</v>
      </c>
      <c r="AS12" s="57"/>
      <c r="AT12" s="57"/>
      <c r="AU12" s="57">
        <f>+'7 Informacion Base'!$G$61</f>
        <v>6143937.1249999991</v>
      </c>
      <c r="AV12" s="57"/>
      <c r="AW12" s="57"/>
      <c r="AX12" s="57">
        <f>+'7 Informacion Base'!$G$61</f>
        <v>6143937.1249999991</v>
      </c>
      <c r="AY12" s="57"/>
      <c r="AZ12" s="57"/>
      <c r="BA12" s="57">
        <f>+'7 Informacion Base'!$H$61</f>
        <v>6328255.2387499996</v>
      </c>
      <c r="BB12" s="57"/>
      <c r="BC12" s="57"/>
      <c r="BD12" s="57">
        <f>+'7 Informacion Base'!$H$61</f>
        <v>6328255.2387499996</v>
      </c>
      <c r="BE12" s="57"/>
      <c r="BF12" s="57"/>
      <c r="BG12" s="57">
        <f>+'7 Informacion Base'!$H$61</f>
        <v>6328255.2387499996</v>
      </c>
      <c r="BH12" s="57"/>
      <c r="BI12" s="57"/>
      <c r="BJ12" s="57">
        <f>+'7 Informacion Base'!$H$61</f>
        <v>6328255.2387499996</v>
      </c>
      <c r="BK12" s="57"/>
      <c r="BL12" s="57"/>
      <c r="BM12" s="57">
        <f>+'7 Informacion Base'!$I$61</f>
        <v>6518102.8959125001</v>
      </c>
      <c r="BN12" s="57"/>
      <c r="BO12" s="57"/>
      <c r="BP12" s="57">
        <f>+'7 Informacion Base'!$I$61</f>
        <v>6518102.8959125001</v>
      </c>
      <c r="BQ12" s="57"/>
      <c r="BR12" s="57"/>
      <c r="BS12" s="57">
        <f>+'7 Informacion Base'!$I$61</f>
        <v>6518102.8959125001</v>
      </c>
      <c r="BT12" s="57"/>
      <c r="BU12" s="57"/>
      <c r="BV12" s="57">
        <f>+'7 Informacion Base'!$I$61</f>
        <v>6518102.8959125001</v>
      </c>
      <c r="BW12" s="57"/>
      <c r="BX12" s="57"/>
      <c r="BY12" s="57">
        <f>+'7 Informacion Base'!$J$61</f>
        <v>6713645.982789875</v>
      </c>
      <c r="BZ12" s="57"/>
      <c r="CA12" s="57"/>
      <c r="CB12" s="57">
        <f>+'7 Informacion Base'!$J$61</f>
        <v>6713645.982789875</v>
      </c>
      <c r="CC12" s="57"/>
      <c r="CD12" s="57"/>
      <c r="CE12" s="57">
        <f>+'7 Informacion Base'!$J$61</f>
        <v>6713645.982789875</v>
      </c>
      <c r="CF12" s="57"/>
      <c r="CG12" s="57"/>
      <c r="CH12" s="57">
        <f>+'7 Informacion Base'!$J$61</f>
        <v>6713645.982789875</v>
      </c>
      <c r="CI12" s="57"/>
      <c r="CJ12" s="57"/>
      <c r="CK12" s="57">
        <f>+'7 Informacion Base'!$K$61</f>
        <v>6915055.3622735711</v>
      </c>
      <c r="CL12" s="57"/>
      <c r="CM12" s="57"/>
      <c r="CN12" s="57">
        <f>+'7 Informacion Base'!$K$61</f>
        <v>6915055.3622735711</v>
      </c>
      <c r="CO12" s="57"/>
      <c r="CP12" s="57"/>
      <c r="CQ12" s="57">
        <f>+'7 Informacion Base'!$K$61</f>
        <v>6915055.3622735711</v>
      </c>
      <c r="CR12" s="57"/>
      <c r="CS12" s="57"/>
      <c r="CT12" s="57">
        <f>+'7 Informacion Base'!$K$61</f>
        <v>6915055.3622735711</v>
      </c>
      <c r="CU12" s="57"/>
      <c r="CV12" s="57"/>
      <c r="CW12" s="57">
        <f>+'7 Informacion Base'!$L$61</f>
        <v>7122507.0231417781</v>
      </c>
      <c r="CX12" s="57"/>
      <c r="CY12" s="57"/>
      <c r="CZ12" s="57">
        <f>+'7 Informacion Base'!$L$61</f>
        <v>7122507.0231417781</v>
      </c>
      <c r="DA12" s="57"/>
      <c r="DB12" s="57"/>
      <c r="DC12" s="57">
        <f>+'7 Informacion Base'!$L$61</f>
        <v>7122507.0231417781</v>
      </c>
      <c r="DD12" s="57"/>
      <c r="DE12" s="57"/>
      <c r="DF12" s="57">
        <f>+'7 Informacion Base'!$L$61</f>
        <v>7122507.0231417781</v>
      </c>
      <c r="DG12" s="57"/>
      <c r="DH12" s="57"/>
      <c r="DI12" s="57">
        <f>+'7 Informacion Base'!$M$61</f>
        <v>7336182.2338360315</v>
      </c>
      <c r="DJ12" s="57"/>
      <c r="DK12" s="57"/>
      <c r="DL12" s="57">
        <f>+'7 Informacion Base'!$M$61</f>
        <v>7336182.2338360315</v>
      </c>
      <c r="DM12" s="57"/>
      <c r="DN12" s="57"/>
      <c r="DO12" s="57">
        <f>+'7 Informacion Base'!$M$61</f>
        <v>7336182.2338360315</v>
      </c>
      <c r="DP12" s="57"/>
      <c r="DQ12" s="57"/>
      <c r="DR12" s="57">
        <f>+'7 Informacion Base'!$M$61</f>
        <v>7336182.2338360315</v>
      </c>
      <c r="DS12" s="57"/>
      <c r="DT12" s="57"/>
      <c r="DU12" s="57">
        <f>+'7 Informacion Base'!$N$61</f>
        <v>7556267.7008511126</v>
      </c>
      <c r="DV12" s="57"/>
      <c r="DW12" s="57"/>
      <c r="DX12" s="57">
        <f>+'7 Informacion Base'!$N$61</f>
        <v>7556267.7008511126</v>
      </c>
      <c r="DY12" s="57"/>
      <c r="DZ12" s="57"/>
      <c r="EA12" s="57">
        <f>+'7 Informacion Base'!$N$61</f>
        <v>7556267.7008511126</v>
      </c>
      <c r="EB12" s="57"/>
      <c r="EC12" s="57"/>
      <c r="ED12" s="57">
        <f>+'7 Informacion Base'!$N$61</f>
        <v>7556267.7008511126</v>
      </c>
      <c r="EE12" s="57"/>
      <c r="EF12" s="57">
        <f>+'7 Informacion Base'!$N$61</f>
        <v>7556267.7008511126</v>
      </c>
    </row>
    <row r="13" spans="2:136" s="45" customFormat="1" x14ac:dyDescent="0.25">
      <c r="B13" s="44" t="s">
        <v>100</v>
      </c>
      <c r="C13" s="44" t="s">
        <v>66</v>
      </c>
      <c r="D13" s="45" t="s">
        <v>85</v>
      </c>
      <c r="E13" s="57"/>
      <c r="F13" s="57"/>
      <c r="G13" s="57">
        <f>+'7 Informacion Base'!$D$49</f>
        <v>1724000</v>
      </c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>
        <f>+'7 Informacion Base'!$E$49</f>
        <v>1767099.9999999998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>
        <f>+'7 Informacion Base'!$F$49</f>
        <v>1820112.9999999998</v>
      </c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>
        <f>+'7 Informacion Base'!$G$49</f>
        <v>1874716.39</v>
      </c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>
        <f>+'7 Informacion Base'!$H$49</f>
        <v>1930957.8817</v>
      </c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>
        <f>+'7 Informacion Base'!$I$49</f>
        <v>1988886.618151</v>
      </c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>
        <f>+'7 Informacion Base'!$J$49</f>
        <v>2048553.2166955301</v>
      </c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>
        <f>+'7 Informacion Base'!$K$49</f>
        <v>2110009.813196396</v>
      </c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>
        <f>+'7 Informacion Base'!$L$49</f>
        <v>2173310.1075922879</v>
      </c>
      <c r="CZ13" s="57"/>
      <c r="DA13" s="57"/>
      <c r="DB13" s="57"/>
      <c r="DC13" s="57"/>
      <c r="DD13" s="57"/>
      <c r="DE13" s="57"/>
      <c r="DF13" s="57"/>
      <c r="DG13" s="57"/>
      <c r="DH13" s="57"/>
      <c r="DI13" s="57"/>
      <c r="DJ13" s="57"/>
      <c r="DK13" s="57">
        <f>+'7 Informacion Base'!$M$49</f>
        <v>2238509.4108200567</v>
      </c>
      <c r="DL13" s="57"/>
      <c r="DM13" s="57"/>
      <c r="DN13" s="57"/>
      <c r="DO13" s="57"/>
      <c r="DP13" s="57"/>
      <c r="DQ13" s="57"/>
      <c r="DR13" s="57"/>
      <c r="DS13" s="57"/>
      <c r="DT13" s="57"/>
      <c r="DU13" s="57"/>
      <c r="DV13" s="57"/>
      <c r="DW13" s="57">
        <f>+'7 Informacion Base'!$N$49</f>
        <v>2305664.6931446586</v>
      </c>
      <c r="DX13" s="57"/>
      <c r="DY13" s="57"/>
      <c r="DZ13" s="57"/>
      <c r="EA13" s="57"/>
      <c r="EB13" s="57"/>
      <c r="EC13" s="57"/>
      <c r="ED13" s="57"/>
      <c r="EE13" s="57"/>
      <c r="EF13" s="57"/>
    </row>
    <row r="14" spans="2:136" s="45" customFormat="1" x14ac:dyDescent="0.25">
      <c r="B14" s="44" t="s">
        <v>100</v>
      </c>
      <c r="C14" s="44" t="s">
        <v>66</v>
      </c>
      <c r="D14" s="45" t="s">
        <v>86</v>
      </c>
      <c r="E14" s="57">
        <f>+'7 Informacion Base'!$D$62</f>
        <v>1500000</v>
      </c>
      <c r="F14" s="57">
        <f>+'7 Informacion Base'!$D$62</f>
        <v>1500000</v>
      </c>
      <c r="G14" s="57">
        <f>+'7 Informacion Base'!$D$62</f>
        <v>1500000</v>
      </c>
      <c r="H14" s="57">
        <f>+'7 Informacion Base'!$D$62</f>
        <v>1500000</v>
      </c>
      <c r="I14" s="57">
        <f>+'7 Informacion Base'!$D$62</f>
        <v>1500000</v>
      </c>
      <c r="J14" s="57">
        <f>+'7 Informacion Base'!$D$62</f>
        <v>1500000</v>
      </c>
      <c r="K14" s="57">
        <f>+'7 Informacion Base'!$D$62</f>
        <v>1500000</v>
      </c>
      <c r="L14" s="57">
        <f>+'7 Informacion Base'!$D$62</f>
        <v>1500000</v>
      </c>
      <c r="M14" s="57">
        <f>+'7 Informacion Base'!$D$62</f>
        <v>1500000</v>
      </c>
      <c r="N14" s="57">
        <f>+'7 Informacion Base'!$D$62</f>
        <v>1500000</v>
      </c>
      <c r="O14" s="57">
        <f>+'7 Informacion Base'!$D$62</f>
        <v>1500000</v>
      </c>
      <c r="P14" s="57">
        <f>+'7 Informacion Base'!$D$62</f>
        <v>1500000</v>
      </c>
      <c r="Q14" s="57">
        <f>+'7 Informacion Base'!$E$62</f>
        <v>1537499.9999999998</v>
      </c>
      <c r="R14" s="57">
        <f>+'7 Informacion Base'!$E$62</f>
        <v>1537499.9999999998</v>
      </c>
      <c r="S14" s="57">
        <f>+'7 Informacion Base'!$E$62</f>
        <v>1537499.9999999998</v>
      </c>
      <c r="T14" s="57">
        <f>+'7 Informacion Base'!$E$62</f>
        <v>1537499.9999999998</v>
      </c>
      <c r="U14" s="57">
        <f>+'7 Informacion Base'!$E$62</f>
        <v>1537499.9999999998</v>
      </c>
      <c r="V14" s="57">
        <f>+'7 Informacion Base'!$E$62</f>
        <v>1537499.9999999998</v>
      </c>
      <c r="W14" s="57">
        <f>+'7 Informacion Base'!$E$62</f>
        <v>1537499.9999999998</v>
      </c>
      <c r="X14" s="57">
        <f>+'7 Informacion Base'!$E$62</f>
        <v>1537499.9999999998</v>
      </c>
      <c r="Y14" s="57">
        <f>+'7 Informacion Base'!$E$62</f>
        <v>1537499.9999999998</v>
      </c>
      <c r="Z14" s="57">
        <f>+'7 Informacion Base'!$E$62</f>
        <v>1537499.9999999998</v>
      </c>
      <c r="AA14" s="57">
        <f>+'7 Informacion Base'!$E$62</f>
        <v>1537499.9999999998</v>
      </c>
      <c r="AB14" s="57">
        <f>+'7 Informacion Base'!$E$62</f>
        <v>1537499.9999999998</v>
      </c>
      <c r="AC14" s="57">
        <f>+'7 Informacion Base'!$F$62</f>
        <v>1583624.9999999998</v>
      </c>
      <c r="AD14" s="57">
        <f>+'7 Informacion Base'!$F$62</f>
        <v>1583624.9999999998</v>
      </c>
      <c r="AE14" s="57">
        <f>+'7 Informacion Base'!$F$62</f>
        <v>1583624.9999999998</v>
      </c>
      <c r="AF14" s="57">
        <f>+'7 Informacion Base'!$F$62</f>
        <v>1583624.9999999998</v>
      </c>
      <c r="AG14" s="57">
        <f>+'7 Informacion Base'!$F$62</f>
        <v>1583624.9999999998</v>
      </c>
      <c r="AH14" s="57">
        <f>+'7 Informacion Base'!$F$62</f>
        <v>1583624.9999999998</v>
      </c>
      <c r="AI14" s="57">
        <f>+'7 Informacion Base'!$F$62</f>
        <v>1583624.9999999998</v>
      </c>
      <c r="AJ14" s="57">
        <f>+'7 Informacion Base'!$F$62</f>
        <v>1583624.9999999998</v>
      </c>
      <c r="AK14" s="57">
        <f>+'7 Informacion Base'!$F$62</f>
        <v>1583624.9999999998</v>
      </c>
      <c r="AL14" s="57">
        <f>+'7 Informacion Base'!$F$62</f>
        <v>1583624.9999999998</v>
      </c>
      <c r="AM14" s="57">
        <f>+'7 Informacion Base'!$F$62</f>
        <v>1583624.9999999998</v>
      </c>
      <c r="AN14" s="57">
        <f>+'7 Informacion Base'!$F$62</f>
        <v>1583624.9999999998</v>
      </c>
      <c r="AO14" s="57">
        <f>+'7 Informacion Base'!$G$62</f>
        <v>1631133.7499999998</v>
      </c>
      <c r="AP14" s="57">
        <f>+'7 Informacion Base'!$G$62</f>
        <v>1631133.7499999998</v>
      </c>
      <c r="AQ14" s="57">
        <f>+'7 Informacion Base'!$G$62</f>
        <v>1631133.7499999998</v>
      </c>
      <c r="AR14" s="57">
        <f>+'7 Informacion Base'!$G$62</f>
        <v>1631133.7499999998</v>
      </c>
      <c r="AS14" s="57">
        <f>+'7 Informacion Base'!$G$62</f>
        <v>1631133.7499999998</v>
      </c>
      <c r="AT14" s="57">
        <f>+'7 Informacion Base'!$G$62</f>
        <v>1631133.7499999998</v>
      </c>
      <c r="AU14" s="57">
        <f>+'7 Informacion Base'!$G$62</f>
        <v>1631133.7499999998</v>
      </c>
      <c r="AV14" s="57">
        <f>+'7 Informacion Base'!$G$62</f>
        <v>1631133.7499999998</v>
      </c>
      <c r="AW14" s="57">
        <f>+'7 Informacion Base'!$G$62</f>
        <v>1631133.7499999998</v>
      </c>
      <c r="AX14" s="57">
        <f>+'7 Informacion Base'!$G$62</f>
        <v>1631133.7499999998</v>
      </c>
      <c r="AY14" s="57">
        <f>+'7 Informacion Base'!$G$62</f>
        <v>1631133.7499999998</v>
      </c>
      <c r="AZ14" s="57">
        <f>+'7 Informacion Base'!$G$62</f>
        <v>1631133.7499999998</v>
      </c>
      <c r="BA14" s="57">
        <f>+'7 Informacion Base'!$H$62</f>
        <v>1680067.7624999997</v>
      </c>
      <c r="BB14" s="57">
        <f>+'7 Informacion Base'!$H$62</f>
        <v>1680067.7624999997</v>
      </c>
      <c r="BC14" s="57">
        <f>+'7 Informacion Base'!$H$62</f>
        <v>1680067.7624999997</v>
      </c>
      <c r="BD14" s="57">
        <f>+'7 Informacion Base'!$H$62</f>
        <v>1680067.7624999997</v>
      </c>
      <c r="BE14" s="57">
        <f>+'7 Informacion Base'!$H$62</f>
        <v>1680067.7624999997</v>
      </c>
      <c r="BF14" s="57">
        <f>+'7 Informacion Base'!$H$62</f>
        <v>1680067.7624999997</v>
      </c>
      <c r="BG14" s="57">
        <f>+'7 Informacion Base'!$H$62</f>
        <v>1680067.7624999997</v>
      </c>
      <c r="BH14" s="57">
        <f>+'7 Informacion Base'!$H$62</f>
        <v>1680067.7624999997</v>
      </c>
      <c r="BI14" s="57">
        <f>+'7 Informacion Base'!$H$62</f>
        <v>1680067.7624999997</v>
      </c>
      <c r="BJ14" s="57">
        <f>+'7 Informacion Base'!$H$62</f>
        <v>1680067.7624999997</v>
      </c>
      <c r="BK14" s="57">
        <f>+'7 Informacion Base'!$H$62</f>
        <v>1680067.7624999997</v>
      </c>
      <c r="BL14" s="57">
        <f>+'7 Informacion Base'!$H$62</f>
        <v>1680067.7624999997</v>
      </c>
      <c r="BM14" s="57">
        <f>+'7 Informacion Base'!$I$62</f>
        <v>1730469.7953749998</v>
      </c>
      <c r="BN14" s="57">
        <f>+'7 Informacion Base'!$I$62</f>
        <v>1730469.7953749998</v>
      </c>
      <c r="BO14" s="57">
        <f>+'7 Informacion Base'!$I$62</f>
        <v>1730469.7953749998</v>
      </c>
      <c r="BP14" s="57">
        <f>+'7 Informacion Base'!$I$62</f>
        <v>1730469.7953749998</v>
      </c>
      <c r="BQ14" s="57">
        <f>+'7 Informacion Base'!$I$62</f>
        <v>1730469.7953749998</v>
      </c>
      <c r="BR14" s="57">
        <f>+'7 Informacion Base'!$I$62</f>
        <v>1730469.7953749998</v>
      </c>
      <c r="BS14" s="57">
        <f>+'7 Informacion Base'!$I$62</f>
        <v>1730469.7953749998</v>
      </c>
      <c r="BT14" s="57">
        <f>+'7 Informacion Base'!$I$62</f>
        <v>1730469.7953749998</v>
      </c>
      <c r="BU14" s="57">
        <f>+'7 Informacion Base'!$I$62</f>
        <v>1730469.7953749998</v>
      </c>
      <c r="BV14" s="57">
        <f>+'7 Informacion Base'!$I$62</f>
        <v>1730469.7953749998</v>
      </c>
      <c r="BW14" s="57">
        <f>+'7 Informacion Base'!$I$62</f>
        <v>1730469.7953749998</v>
      </c>
      <c r="BX14" s="57">
        <f>+'7 Informacion Base'!$I$62</f>
        <v>1730469.7953749998</v>
      </c>
      <c r="BY14" s="57">
        <f>+'7 Informacion Base'!$J$62</f>
        <v>1782383.8892362497</v>
      </c>
      <c r="BZ14" s="57">
        <f>+'7 Informacion Base'!$J$62</f>
        <v>1782383.8892362497</v>
      </c>
      <c r="CA14" s="57">
        <f>+'7 Informacion Base'!$J$62</f>
        <v>1782383.8892362497</v>
      </c>
      <c r="CB14" s="57">
        <f>+'7 Informacion Base'!$J$62</f>
        <v>1782383.8892362497</v>
      </c>
      <c r="CC14" s="57">
        <f>+'7 Informacion Base'!$J$62</f>
        <v>1782383.8892362497</v>
      </c>
      <c r="CD14" s="57">
        <f>+'7 Informacion Base'!$J$62</f>
        <v>1782383.8892362497</v>
      </c>
      <c r="CE14" s="57">
        <f>+'7 Informacion Base'!$J$62</f>
        <v>1782383.8892362497</v>
      </c>
      <c r="CF14" s="57">
        <f>+'7 Informacion Base'!$J$62</f>
        <v>1782383.8892362497</v>
      </c>
      <c r="CG14" s="57">
        <f>+'7 Informacion Base'!$J$62</f>
        <v>1782383.8892362497</v>
      </c>
      <c r="CH14" s="57">
        <f>+'7 Informacion Base'!$J$62</f>
        <v>1782383.8892362497</v>
      </c>
      <c r="CI14" s="57">
        <f>+'7 Informacion Base'!$J$62</f>
        <v>1782383.8892362497</v>
      </c>
      <c r="CJ14" s="57">
        <f>+'7 Informacion Base'!$J$62</f>
        <v>1782383.8892362497</v>
      </c>
      <c r="CK14" s="57">
        <f>+'7 Informacion Base'!$K$62</f>
        <v>1835855.4059133374</v>
      </c>
      <c r="CL14" s="57">
        <f>+'7 Informacion Base'!$K$62</f>
        <v>1835855.4059133374</v>
      </c>
      <c r="CM14" s="57">
        <f>+'7 Informacion Base'!$K$62</f>
        <v>1835855.4059133374</v>
      </c>
      <c r="CN14" s="57">
        <f>+'7 Informacion Base'!$K$62</f>
        <v>1835855.4059133374</v>
      </c>
      <c r="CO14" s="57">
        <f>+'7 Informacion Base'!$K$62</f>
        <v>1835855.4059133374</v>
      </c>
      <c r="CP14" s="57">
        <f>+'7 Informacion Base'!$K$62</f>
        <v>1835855.4059133374</v>
      </c>
      <c r="CQ14" s="57">
        <f>+'7 Informacion Base'!$K$62</f>
        <v>1835855.4059133374</v>
      </c>
      <c r="CR14" s="57">
        <f>+'7 Informacion Base'!$K$62</f>
        <v>1835855.4059133374</v>
      </c>
      <c r="CS14" s="57">
        <f>+'7 Informacion Base'!$K$62</f>
        <v>1835855.4059133374</v>
      </c>
      <c r="CT14" s="57">
        <f>+'7 Informacion Base'!$K$62</f>
        <v>1835855.4059133374</v>
      </c>
      <c r="CU14" s="57">
        <f>+'7 Informacion Base'!$K$62</f>
        <v>1835855.4059133374</v>
      </c>
      <c r="CV14" s="57">
        <f>+'7 Informacion Base'!$K$62</f>
        <v>1835855.4059133374</v>
      </c>
      <c r="CW14" s="57">
        <f>+'7 Informacion Base'!$L$62</f>
        <v>1890931.0680907376</v>
      </c>
      <c r="CX14" s="57">
        <f>+'7 Informacion Base'!$L$62</f>
        <v>1890931.0680907376</v>
      </c>
      <c r="CY14" s="57">
        <f>+'7 Informacion Base'!$L$62</f>
        <v>1890931.0680907376</v>
      </c>
      <c r="CZ14" s="57">
        <f>+'7 Informacion Base'!$L$62</f>
        <v>1890931.0680907376</v>
      </c>
      <c r="DA14" s="57">
        <f>+'7 Informacion Base'!$L$62</f>
        <v>1890931.0680907376</v>
      </c>
      <c r="DB14" s="57">
        <f>+'7 Informacion Base'!$L$62</f>
        <v>1890931.0680907376</v>
      </c>
      <c r="DC14" s="57">
        <f>+'7 Informacion Base'!$L$62</f>
        <v>1890931.0680907376</v>
      </c>
      <c r="DD14" s="57">
        <f>+'7 Informacion Base'!$L$62</f>
        <v>1890931.0680907376</v>
      </c>
      <c r="DE14" s="57">
        <f>+'7 Informacion Base'!$L$62</f>
        <v>1890931.0680907376</v>
      </c>
      <c r="DF14" s="57">
        <f>+'7 Informacion Base'!$L$62</f>
        <v>1890931.0680907376</v>
      </c>
      <c r="DG14" s="57">
        <f>+'7 Informacion Base'!$L$62</f>
        <v>1890931.0680907376</v>
      </c>
      <c r="DH14" s="57">
        <f>+'7 Informacion Base'!$L$62</f>
        <v>1890931.0680907376</v>
      </c>
      <c r="DI14" s="57">
        <f>+'7 Informacion Base'!$M$62</f>
        <v>1947659.0001334597</v>
      </c>
      <c r="DJ14" s="57">
        <f>+'7 Informacion Base'!$M$62</f>
        <v>1947659.0001334597</v>
      </c>
      <c r="DK14" s="57">
        <f>+'7 Informacion Base'!$M$62</f>
        <v>1947659.0001334597</v>
      </c>
      <c r="DL14" s="57">
        <f>+'7 Informacion Base'!$M$62</f>
        <v>1947659.0001334597</v>
      </c>
      <c r="DM14" s="57">
        <f>+'7 Informacion Base'!$M$62</f>
        <v>1947659.0001334597</v>
      </c>
      <c r="DN14" s="57">
        <f>+'7 Informacion Base'!$M$62</f>
        <v>1947659.0001334597</v>
      </c>
      <c r="DO14" s="57">
        <f>+'7 Informacion Base'!$M$62</f>
        <v>1947659.0001334597</v>
      </c>
      <c r="DP14" s="57">
        <f>+'7 Informacion Base'!$M$62</f>
        <v>1947659.0001334597</v>
      </c>
      <c r="DQ14" s="57">
        <f>+'7 Informacion Base'!$M$62</f>
        <v>1947659.0001334597</v>
      </c>
      <c r="DR14" s="57">
        <f>+'7 Informacion Base'!$M$62</f>
        <v>1947659.0001334597</v>
      </c>
      <c r="DS14" s="57">
        <f>+'7 Informacion Base'!$M$62</f>
        <v>1947659.0001334597</v>
      </c>
      <c r="DT14" s="57">
        <f>+'7 Informacion Base'!$M$62</f>
        <v>1947659.0001334597</v>
      </c>
      <c r="DU14" s="57">
        <f>+'7 Informacion Base'!$N$62</f>
        <v>2006088.7701374635</v>
      </c>
      <c r="DV14" s="57">
        <f>+'7 Informacion Base'!$N$62</f>
        <v>2006088.7701374635</v>
      </c>
      <c r="DW14" s="57">
        <f>+'7 Informacion Base'!$N$62</f>
        <v>2006088.7701374635</v>
      </c>
      <c r="DX14" s="57">
        <f>+'7 Informacion Base'!$N$62</f>
        <v>2006088.7701374635</v>
      </c>
      <c r="DY14" s="57">
        <f>+'7 Informacion Base'!$N$62</f>
        <v>2006088.7701374635</v>
      </c>
      <c r="DZ14" s="57">
        <f>+'7 Informacion Base'!$N$62</f>
        <v>2006088.7701374635</v>
      </c>
      <c r="EA14" s="57">
        <f>+'7 Informacion Base'!$N$62</f>
        <v>2006088.7701374635</v>
      </c>
      <c r="EB14" s="57">
        <f>+'7 Informacion Base'!$N$62</f>
        <v>2006088.7701374635</v>
      </c>
      <c r="EC14" s="57">
        <f>+'7 Informacion Base'!$N$62</f>
        <v>2006088.7701374635</v>
      </c>
      <c r="ED14" s="57">
        <f>+'7 Informacion Base'!$N$62</f>
        <v>2006088.7701374635</v>
      </c>
      <c r="EE14" s="57">
        <f>+'7 Informacion Base'!$N$62</f>
        <v>2006088.7701374635</v>
      </c>
      <c r="EF14" s="57">
        <f>+'7 Informacion Base'!$N$62</f>
        <v>2006088.7701374635</v>
      </c>
    </row>
    <row r="15" spans="2:136" s="45" customFormat="1" x14ac:dyDescent="0.25">
      <c r="B15" s="44" t="s">
        <v>100</v>
      </c>
      <c r="C15" s="44" t="s">
        <v>66</v>
      </c>
      <c r="D15" s="45" t="s">
        <v>68</v>
      </c>
      <c r="E15" s="57">
        <f>+'8 PYG'!$D$19/12</f>
        <v>28875</v>
      </c>
      <c r="F15" s="57">
        <f>+'8 PYG'!$D$19/12</f>
        <v>28875</v>
      </c>
      <c r="G15" s="57">
        <f>+'8 PYG'!$D$19/12</f>
        <v>28875</v>
      </c>
      <c r="H15" s="57">
        <f>+'8 PYG'!$D$19/12</f>
        <v>28875</v>
      </c>
      <c r="I15" s="57">
        <f>+'8 PYG'!$D$19/12</f>
        <v>28875</v>
      </c>
      <c r="J15" s="57">
        <f>+'8 PYG'!$D$19/12</f>
        <v>28875</v>
      </c>
      <c r="K15" s="57">
        <f>+'8 PYG'!$D$19/12</f>
        <v>28875</v>
      </c>
      <c r="L15" s="57">
        <f>+'8 PYG'!$D$19/12</f>
        <v>28875</v>
      </c>
      <c r="M15" s="57">
        <f>+'8 PYG'!$D$19/12</f>
        <v>28875</v>
      </c>
      <c r="N15" s="57">
        <f>+'8 PYG'!$D$19/12</f>
        <v>28875</v>
      </c>
      <c r="O15" s="57">
        <f>+'8 PYG'!$D$19/12</f>
        <v>28875</v>
      </c>
      <c r="P15" s="57">
        <f>+'8 PYG'!$D$19/12</f>
        <v>28875</v>
      </c>
      <c r="Q15" s="57">
        <f>+'8 PYG'!$E$19/12</f>
        <v>90405</v>
      </c>
      <c r="R15" s="57">
        <f>+'8 PYG'!$E$19/12</f>
        <v>90405</v>
      </c>
      <c r="S15" s="57">
        <f>+'8 PYG'!$E$19/12</f>
        <v>90405</v>
      </c>
      <c r="T15" s="57">
        <f>+'8 PYG'!$E$19/12</f>
        <v>90405</v>
      </c>
      <c r="U15" s="57">
        <f>+'8 PYG'!$E$19/12</f>
        <v>90405</v>
      </c>
      <c r="V15" s="57">
        <f>+'8 PYG'!$E$19/12</f>
        <v>90405</v>
      </c>
      <c r="W15" s="57">
        <f>+'8 PYG'!$E$19/12</f>
        <v>90405</v>
      </c>
      <c r="X15" s="57">
        <f>+'8 PYG'!$E$19/12</f>
        <v>90405</v>
      </c>
      <c r="Y15" s="57">
        <f>+'8 PYG'!$E$19/12</f>
        <v>90405</v>
      </c>
      <c r="Z15" s="57">
        <f>+'8 PYG'!$E$19/12</f>
        <v>90405</v>
      </c>
      <c r="AA15" s="57">
        <f>+'8 PYG'!$E$19/12</f>
        <v>90405</v>
      </c>
      <c r="AB15" s="57">
        <f>+'8 PYG'!$E$19/12</f>
        <v>90405</v>
      </c>
      <c r="AC15" s="57">
        <f>+'8 PYG'!$F$19/12</f>
        <v>199536.75</v>
      </c>
      <c r="AD15" s="57">
        <f>+'8 PYG'!$F$19/12</f>
        <v>199536.75</v>
      </c>
      <c r="AE15" s="57">
        <f>+'8 PYG'!$F$19/12</f>
        <v>199536.75</v>
      </c>
      <c r="AF15" s="57">
        <f>+'8 PYG'!$F$19/12</f>
        <v>199536.75</v>
      </c>
      <c r="AG15" s="57">
        <f>+'8 PYG'!$F$19/12</f>
        <v>199536.75</v>
      </c>
      <c r="AH15" s="57">
        <f>+'8 PYG'!$F$19/12</f>
        <v>199536.75</v>
      </c>
      <c r="AI15" s="57">
        <f>+'8 PYG'!$F$19/12</f>
        <v>199536.75</v>
      </c>
      <c r="AJ15" s="57">
        <f>+'8 PYG'!$F$19/12</f>
        <v>199536.75</v>
      </c>
      <c r="AK15" s="57">
        <f>+'8 PYG'!$F$19/12</f>
        <v>199536.75</v>
      </c>
      <c r="AL15" s="57">
        <f>+'8 PYG'!$F$19/12</f>
        <v>199536.75</v>
      </c>
      <c r="AM15" s="57">
        <f>+'8 PYG'!$F$19/12</f>
        <v>199536.75</v>
      </c>
      <c r="AN15" s="57">
        <f>+'8 PYG'!$F$19/12</f>
        <v>199536.75</v>
      </c>
      <c r="AO15" s="57">
        <f>+'8 PYG'!$G$19/12</f>
        <v>383642.65800000005</v>
      </c>
      <c r="AP15" s="57">
        <f>+'8 PYG'!$G$19/12</f>
        <v>383642.65800000005</v>
      </c>
      <c r="AQ15" s="57">
        <f>+'8 PYG'!$G$19/12</f>
        <v>383642.65800000005</v>
      </c>
      <c r="AR15" s="57">
        <f>+'8 PYG'!$G$19/12</f>
        <v>383642.65800000005</v>
      </c>
      <c r="AS15" s="57">
        <f>+'8 PYG'!$G$19/12</f>
        <v>383642.65800000005</v>
      </c>
      <c r="AT15" s="57">
        <f>+'8 PYG'!$G$19/12</f>
        <v>383642.65800000005</v>
      </c>
      <c r="AU15" s="57">
        <f>+'8 PYG'!$G$19/12</f>
        <v>383642.65800000005</v>
      </c>
      <c r="AV15" s="57">
        <f>+'8 PYG'!$G$19/12</f>
        <v>383642.65800000005</v>
      </c>
      <c r="AW15" s="57">
        <f>+'8 PYG'!$G$19/12</f>
        <v>383642.65800000005</v>
      </c>
      <c r="AX15" s="57">
        <f>+'8 PYG'!$G$19/12</f>
        <v>383642.65800000005</v>
      </c>
      <c r="AY15" s="57">
        <f>+'8 PYG'!$G$19/12</f>
        <v>383642.65800000005</v>
      </c>
      <c r="AZ15" s="57">
        <f>+'8 PYG'!$G$19/12</f>
        <v>383642.65800000005</v>
      </c>
      <c r="BA15" s="57">
        <f>+'8 PYG'!$H$19/12</f>
        <v>635065.61422500003</v>
      </c>
      <c r="BB15" s="57">
        <f>+'8 PYG'!$H$19/12</f>
        <v>635065.61422500003</v>
      </c>
      <c r="BC15" s="57">
        <f>+'8 PYG'!$H$19/12</f>
        <v>635065.61422500003</v>
      </c>
      <c r="BD15" s="57">
        <f>+'8 PYG'!$H$19/12</f>
        <v>635065.61422500003</v>
      </c>
      <c r="BE15" s="57">
        <f>+'8 PYG'!$H$19/12</f>
        <v>635065.61422500003</v>
      </c>
      <c r="BF15" s="57">
        <f>+'8 PYG'!$H$19/12</f>
        <v>635065.61422500003</v>
      </c>
      <c r="BG15" s="57">
        <f>+'8 PYG'!$H$19/12</f>
        <v>635065.61422500003</v>
      </c>
      <c r="BH15" s="57">
        <f>+'8 PYG'!$H$19/12</f>
        <v>635065.61422500003</v>
      </c>
      <c r="BI15" s="57">
        <f>+'8 PYG'!$H$19/12</f>
        <v>635065.61422500003</v>
      </c>
      <c r="BJ15" s="57">
        <f>+'8 PYG'!$H$19/12</f>
        <v>635065.61422500003</v>
      </c>
      <c r="BK15" s="57">
        <f>+'8 PYG'!$H$19/12</f>
        <v>635065.61422500003</v>
      </c>
      <c r="BL15" s="57">
        <f>+'8 PYG'!$H$19/12</f>
        <v>635065.61422500003</v>
      </c>
      <c r="BM15" s="57">
        <f>+'8 PYG'!$I$19/12</f>
        <v>690457.44835462514</v>
      </c>
      <c r="BN15" s="57">
        <f>+'8 PYG'!$I$19/12</f>
        <v>690457.44835462514</v>
      </c>
      <c r="BO15" s="57">
        <f>+'8 PYG'!$I$19/12</f>
        <v>690457.44835462514</v>
      </c>
      <c r="BP15" s="57">
        <f>+'8 PYG'!$I$19/12</f>
        <v>690457.44835462514</v>
      </c>
      <c r="BQ15" s="57">
        <f>+'8 PYG'!$I$19/12</f>
        <v>690457.44835462514</v>
      </c>
      <c r="BR15" s="57">
        <f>+'8 PYG'!$I$19/12</f>
        <v>690457.44835462514</v>
      </c>
      <c r="BS15" s="57">
        <f>+'8 PYG'!$I$19/12</f>
        <v>690457.44835462514</v>
      </c>
      <c r="BT15" s="57">
        <f>+'8 PYG'!$I$19/12</f>
        <v>690457.44835462514</v>
      </c>
      <c r="BU15" s="57">
        <f>+'8 PYG'!$I$19/12</f>
        <v>690457.44835462514</v>
      </c>
      <c r="BV15" s="57">
        <f>+'8 PYG'!$I$19/12</f>
        <v>690457.44835462514</v>
      </c>
      <c r="BW15" s="57">
        <f>+'8 PYG'!$I$19/12</f>
        <v>690457.44835462514</v>
      </c>
      <c r="BX15" s="57">
        <f>+'8 PYG'!$I$19/12</f>
        <v>690457.44835462514</v>
      </c>
      <c r="BY15" s="57">
        <f>+'8 PYG'!$D$36/12</f>
        <v>592642.64317105326</v>
      </c>
      <c r="BZ15" s="57">
        <f>+'8 PYG'!$D$36/12</f>
        <v>592642.64317105326</v>
      </c>
      <c r="CA15" s="57">
        <f>+'8 PYG'!$D$36/12</f>
        <v>592642.64317105326</v>
      </c>
      <c r="CB15" s="57">
        <f>+'8 PYG'!$D$36/12</f>
        <v>592642.64317105326</v>
      </c>
      <c r="CC15" s="57">
        <f>+'8 PYG'!$D$36/12</f>
        <v>592642.64317105326</v>
      </c>
      <c r="CD15" s="57">
        <f>+'8 PYG'!$D$36/12</f>
        <v>592642.64317105326</v>
      </c>
      <c r="CE15" s="57">
        <f>+'8 PYG'!$D$36/12</f>
        <v>592642.64317105326</v>
      </c>
      <c r="CF15" s="57">
        <f>+'8 PYG'!$D$36/12</f>
        <v>592642.64317105326</v>
      </c>
      <c r="CG15" s="57">
        <f>+'8 PYG'!$D$36/12</f>
        <v>592642.64317105326</v>
      </c>
      <c r="CH15" s="57">
        <f>+'8 PYG'!$D$36/12</f>
        <v>592642.64317105326</v>
      </c>
      <c r="CI15" s="57">
        <f>+'8 PYG'!$D$36/12</f>
        <v>592642.64317105326</v>
      </c>
      <c r="CJ15" s="57">
        <f>+'8 PYG'!$D$36/12</f>
        <v>592642.64317105326</v>
      </c>
      <c r="CK15" s="57">
        <f>+'8 PYG'!$E$36/12</f>
        <v>732506.30695942184</v>
      </c>
      <c r="CL15" s="57">
        <f>+'8 PYG'!$E$36/12</f>
        <v>732506.30695942184</v>
      </c>
      <c r="CM15" s="57">
        <f>+'8 PYG'!$E$36/12</f>
        <v>732506.30695942184</v>
      </c>
      <c r="CN15" s="57">
        <f>+'8 PYG'!$E$36/12</f>
        <v>732506.30695942184</v>
      </c>
      <c r="CO15" s="57">
        <f>+'8 PYG'!$E$36/12</f>
        <v>732506.30695942184</v>
      </c>
      <c r="CP15" s="57">
        <f>+'8 PYG'!$E$36/12</f>
        <v>732506.30695942184</v>
      </c>
      <c r="CQ15" s="57">
        <f>+'8 PYG'!$E$36/12</f>
        <v>732506.30695942184</v>
      </c>
      <c r="CR15" s="57">
        <f>+'8 PYG'!$E$36/12</f>
        <v>732506.30695942184</v>
      </c>
      <c r="CS15" s="57">
        <f>+'8 PYG'!$E$36/12</f>
        <v>732506.30695942184</v>
      </c>
      <c r="CT15" s="57">
        <f>+'8 PYG'!$E$36/12</f>
        <v>732506.30695942184</v>
      </c>
      <c r="CU15" s="57">
        <f>+'8 PYG'!$E$36/12</f>
        <v>732506.30695942184</v>
      </c>
      <c r="CV15" s="57">
        <f>+'8 PYG'!$E$36/12</f>
        <v>732506.30695942184</v>
      </c>
      <c r="CW15" s="57">
        <f>+'8 PYG'!$F$36/12</f>
        <v>754481.4961682047</v>
      </c>
      <c r="CX15" s="57">
        <f>+'8 PYG'!$F$36/12</f>
        <v>754481.4961682047</v>
      </c>
      <c r="CY15" s="57">
        <f>+'8 PYG'!$F$36/12</f>
        <v>754481.4961682047</v>
      </c>
      <c r="CZ15" s="57">
        <f>+'8 PYG'!$F$36/12</f>
        <v>754481.4961682047</v>
      </c>
      <c r="DA15" s="57">
        <f>+'8 PYG'!$F$36/12</f>
        <v>754481.4961682047</v>
      </c>
      <c r="DB15" s="57">
        <f>+'8 PYG'!$F$36/12</f>
        <v>754481.4961682047</v>
      </c>
      <c r="DC15" s="57">
        <f>+'8 PYG'!$F$36/12</f>
        <v>754481.4961682047</v>
      </c>
      <c r="DD15" s="57">
        <f>+'8 PYG'!$F$36/12</f>
        <v>754481.4961682047</v>
      </c>
      <c r="DE15" s="57">
        <f>+'8 PYG'!$F$36/12</f>
        <v>754481.4961682047</v>
      </c>
      <c r="DF15" s="57">
        <f>+'8 PYG'!$F$36/12</f>
        <v>754481.4961682047</v>
      </c>
      <c r="DG15" s="57">
        <f>+'8 PYG'!$F$36/12</f>
        <v>754481.4961682047</v>
      </c>
      <c r="DH15" s="57">
        <f>+'8 PYG'!$F$36/12</f>
        <v>754481.4961682047</v>
      </c>
      <c r="DI15" s="57">
        <f>+'8 PYG'!$G$36/12</f>
        <v>777115.94105325069</v>
      </c>
      <c r="DJ15" s="57">
        <f>+'8 PYG'!$G$36/12</f>
        <v>777115.94105325069</v>
      </c>
      <c r="DK15" s="57">
        <f>+'8 PYG'!$G$36/12</f>
        <v>777115.94105325069</v>
      </c>
      <c r="DL15" s="57">
        <f>+'8 PYG'!$G$36/12</f>
        <v>777115.94105325069</v>
      </c>
      <c r="DM15" s="57">
        <f>+'8 PYG'!$G$36/12</f>
        <v>777115.94105325069</v>
      </c>
      <c r="DN15" s="57">
        <f>+'8 PYG'!$G$36/12</f>
        <v>777115.94105325069</v>
      </c>
      <c r="DO15" s="57">
        <f>+'8 PYG'!$G$36/12</f>
        <v>777115.94105325069</v>
      </c>
      <c r="DP15" s="57">
        <f>+'8 PYG'!$G$36/12</f>
        <v>777115.94105325069</v>
      </c>
      <c r="DQ15" s="57">
        <f>+'8 PYG'!$G$36/12</f>
        <v>777115.94105325069</v>
      </c>
      <c r="DR15" s="57">
        <f>+'8 PYG'!$G$36/12</f>
        <v>777115.94105325069</v>
      </c>
      <c r="DS15" s="57">
        <f>+'8 PYG'!$G$36/12</f>
        <v>777115.94105325069</v>
      </c>
      <c r="DT15" s="57">
        <f>+'8 PYG'!$G$36/12</f>
        <v>777115.94105325069</v>
      </c>
      <c r="DU15" s="57">
        <f>+'8 PYG'!$H$36/12</f>
        <v>800429.41928484838</v>
      </c>
      <c r="DV15" s="57">
        <f>+'8 PYG'!$H$36/12</f>
        <v>800429.41928484838</v>
      </c>
      <c r="DW15" s="57">
        <f>+'8 PYG'!$H$36/12</f>
        <v>800429.41928484838</v>
      </c>
      <c r="DX15" s="57">
        <f>+'8 PYG'!$H$36/12</f>
        <v>800429.41928484838</v>
      </c>
      <c r="DY15" s="57">
        <f>+'8 PYG'!$H$36/12</f>
        <v>800429.41928484838</v>
      </c>
      <c r="DZ15" s="57">
        <f>+'8 PYG'!$H$36/12</f>
        <v>800429.41928484838</v>
      </c>
      <c r="EA15" s="57">
        <f>+'8 PYG'!$H$36/12</f>
        <v>800429.41928484838</v>
      </c>
      <c r="EB15" s="57">
        <f>+'8 PYG'!$H$36/12</f>
        <v>800429.41928484838</v>
      </c>
      <c r="EC15" s="57">
        <f>+'8 PYG'!$H$36/12</f>
        <v>800429.41928484838</v>
      </c>
      <c r="ED15" s="57">
        <f>+'8 PYG'!$H$36/12</f>
        <v>800429.41928484838</v>
      </c>
      <c r="EE15" s="57">
        <f>+'8 PYG'!$H$36/12</f>
        <v>800429.41928484838</v>
      </c>
      <c r="EF15" s="57">
        <f>+'8 PYG'!$H$36/12</f>
        <v>800429.41928484838</v>
      </c>
    </row>
    <row r="16" spans="2:136" s="45" customFormat="1" x14ac:dyDescent="0.25">
      <c r="B16" s="44" t="s">
        <v>100</v>
      </c>
      <c r="C16" s="44" t="s">
        <v>66</v>
      </c>
      <c r="D16" s="45" t="s">
        <v>177</v>
      </c>
      <c r="E16" s="57">
        <f>+SUM('7 Informacion Base'!$D$52:$D$55)/12</f>
        <v>633333.33333333337</v>
      </c>
      <c r="F16" s="57">
        <f>+SUM('7 Informacion Base'!$D$52:$D$55)/12</f>
        <v>633333.33333333337</v>
      </c>
      <c r="G16" s="57">
        <f>+SUM('7 Informacion Base'!$D$52:$D$55)/12</f>
        <v>633333.33333333337</v>
      </c>
      <c r="H16" s="57">
        <f>+SUM('7 Informacion Base'!$D$52:$D$55)/12</f>
        <v>633333.33333333337</v>
      </c>
      <c r="I16" s="57">
        <f>+SUM('7 Informacion Base'!$D$52:$D$55)/12</f>
        <v>633333.33333333337</v>
      </c>
      <c r="J16" s="57">
        <f>+SUM('7 Informacion Base'!$D$52:$D$55)/12</f>
        <v>633333.33333333337</v>
      </c>
      <c r="K16" s="57">
        <f>+SUM('7 Informacion Base'!$D$52:$D$55)/12</f>
        <v>633333.33333333337</v>
      </c>
      <c r="L16" s="57">
        <f>+SUM('7 Informacion Base'!$D$52:$D$55)/12</f>
        <v>633333.33333333337</v>
      </c>
      <c r="M16" s="57">
        <f>+SUM('7 Informacion Base'!$D$52:$D$55)/12</f>
        <v>633333.33333333337</v>
      </c>
      <c r="N16" s="57">
        <f>+SUM('7 Informacion Base'!$D$52:$D$55)/12</f>
        <v>633333.33333333337</v>
      </c>
      <c r="O16" s="57">
        <f>+SUM('7 Informacion Base'!$D$52:$D$55)/12</f>
        <v>633333.33333333337</v>
      </c>
      <c r="P16" s="57">
        <f>+SUM('7 Informacion Base'!$D$52:$D$55)/12</f>
        <v>633333.33333333337</v>
      </c>
      <c r="Q16" s="57">
        <f>+SUM('7 Informacion Base'!$E$52:$E$55)/12</f>
        <v>480666.66666666669</v>
      </c>
      <c r="R16" s="57">
        <f>+SUM('7 Informacion Base'!$E$52:$E$55)/12</f>
        <v>480666.66666666669</v>
      </c>
      <c r="S16" s="57">
        <f>+SUM('7 Informacion Base'!$E$52:$E$55)/12</f>
        <v>480666.66666666669</v>
      </c>
      <c r="T16" s="57">
        <f>+SUM('7 Informacion Base'!$E$52:$E$55)/12</f>
        <v>480666.66666666669</v>
      </c>
      <c r="U16" s="57">
        <f>+SUM('7 Informacion Base'!$E$52:$E$55)/12</f>
        <v>480666.66666666669</v>
      </c>
      <c r="V16" s="57">
        <f>+SUM('7 Informacion Base'!$E$52:$E$55)/12</f>
        <v>480666.66666666669</v>
      </c>
      <c r="W16" s="57">
        <f>+SUM('7 Informacion Base'!$E$52:$E$55)/12</f>
        <v>480666.66666666669</v>
      </c>
      <c r="X16" s="57">
        <f>+SUM('7 Informacion Base'!$E$52:$E$55)/12</f>
        <v>480666.66666666669</v>
      </c>
      <c r="Y16" s="57">
        <f>+SUM('7 Informacion Base'!$E$52:$E$55)/12</f>
        <v>480666.66666666669</v>
      </c>
      <c r="Z16" s="57">
        <f>+SUM('7 Informacion Base'!$E$52:$E$55)/12</f>
        <v>480666.66666666669</v>
      </c>
      <c r="AA16" s="57">
        <f>+SUM('7 Informacion Base'!$E$52:$E$55)/12</f>
        <v>480666.66666666669</v>
      </c>
      <c r="AB16" s="57">
        <f>+SUM('7 Informacion Base'!$E$52:$E$55)/12</f>
        <v>480666.66666666669</v>
      </c>
      <c r="AC16" s="57">
        <f>+SUM('7 Informacion Base'!$F$52:$F$55)/12</f>
        <v>495086.66666666669</v>
      </c>
      <c r="AD16" s="57">
        <f>+SUM('7 Informacion Base'!$F$52:$F$55)/12</f>
        <v>495086.66666666669</v>
      </c>
      <c r="AE16" s="57">
        <f>+SUM('7 Informacion Base'!$F$52:$F$55)/12</f>
        <v>495086.66666666669</v>
      </c>
      <c r="AF16" s="57">
        <f>+SUM('7 Informacion Base'!$F$52:$F$55)/12</f>
        <v>495086.66666666669</v>
      </c>
      <c r="AG16" s="57">
        <f>+SUM('7 Informacion Base'!$F$52:$F$55)/12</f>
        <v>495086.66666666669</v>
      </c>
      <c r="AH16" s="57">
        <f>+SUM('7 Informacion Base'!$F$52:$F$55)/12</f>
        <v>495086.66666666669</v>
      </c>
      <c r="AI16" s="57">
        <f>+SUM('7 Informacion Base'!$F$52:$F$55)/12</f>
        <v>495086.66666666669</v>
      </c>
      <c r="AJ16" s="57">
        <f>+SUM('7 Informacion Base'!$F$52:$F$55)/12</f>
        <v>495086.66666666669</v>
      </c>
      <c r="AK16" s="57">
        <f>+SUM('7 Informacion Base'!$F$52:$F$55)/12</f>
        <v>495086.66666666669</v>
      </c>
      <c r="AL16" s="57">
        <f>+SUM('7 Informacion Base'!$F$52:$F$55)/12</f>
        <v>495086.66666666669</v>
      </c>
      <c r="AM16" s="57">
        <f>+SUM('7 Informacion Base'!$F$52:$F$55)/12</f>
        <v>495086.66666666669</v>
      </c>
      <c r="AN16" s="57">
        <f>+SUM('7 Informacion Base'!$F$52:$F$55)/12</f>
        <v>495086.66666666669</v>
      </c>
      <c r="AO16" s="57">
        <f>+SUM('7 Informacion Base'!$G$52:$G$55)/12</f>
        <v>509939.26666666666</v>
      </c>
      <c r="AP16" s="57">
        <f>+SUM('7 Informacion Base'!$G$52:$G$55)/12</f>
        <v>509939.26666666666</v>
      </c>
      <c r="AQ16" s="57">
        <f>+SUM('7 Informacion Base'!$G$52:$G$55)/12</f>
        <v>509939.26666666666</v>
      </c>
      <c r="AR16" s="57">
        <f>+SUM('7 Informacion Base'!$G$52:$G$55)/12</f>
        <v>509939.26666666666</v>
      </c>
      <c r="AS16" s="57">
        <f>+SUM('7 Informacion Base'!$G$52:$G$55)/12</f>
        <v>509939.26666666666</v>
      </c>
      <c r="AT16" s="57">
        <f>+SUM('7 Informacion Base'!$G$52:$G$55)/12</f>
        <v>509939.26666666666</v>
      </c>
      <c r="AU16" s="57">
        <f>+SUM('7 Informacion Base'!$G$52:$G$55)/12</f>
        <v>509939.26666666666</v>
      </c>
      <c r="AV16" s="57">
        <f>+SUM('7 Informacion Base'!$G$52:$G$55)/12</f>
        <v>509939.26666666666</v>
      </c>
      <c r="AW16" s="57">
        <f>+SUM('7 Informacion Base'!$G$52:$G$55)/12</f>
        <v>509939.26666666666</v>
      </c>
      <c r="AX16" s="57">
        <f>+SUM('7 Informacion Base'!$G$52:$G$55)/12</f>
        <v>509939.26666666666</v>
      </c>
      <c r="AY16" s="57">
        <f>+SUM('7 Informacion Base'!$G$52:$G$55)/12</f>
        <v>509939.26666666666</v>
      </c>
      <c r="AZ16" s="57">
        <f>+SUM('7 Informacion Base'!$G$52:$G$55)/12</f>
        <v>509939.26666666666</v>
      </c>
      <c r="BA16" s="57">
        <f>+SUM('7 Informacion Base'!$H$52:$H$55)/12</f>
        <v>525237.44466666679</v>
      </c>
      <c r="BB16" s="57">
        <f>+SUM('7 Informacion Base'!$H$52:$H$55)/12</f>
        <v>525237.44466666679</v>
      </c>
      <c r="BC16" s="57">
        <f>+SUM('7 Informacion Base'!$H$52:$H$55)/12</f>
        <v>525237.44466666679</v>
      </c>
      <c r="BD16" s="57">
        <f>+SUM('7 Informacion Base'!$H$52:$H$55)/12</f>
        <v>525237.44466666679</v>
      </c>
      <c r="BE16" s="57">
        <f>+SUM('7 Informacion Base'!$H$52:$H$55)/12</f>
        <v>525237.44466666679</v>
      </c>
      <c r="BF16" s="57">
        <f>+SUM('7 Informacion Base'!$H$52:$H$55)/12</f>
        <v>525237.44466666679</v>
      </c>
      <c r="BG16" s="57">
        <f>+SUM('7 Informacion Base'!$H$52:$H$55)/12</f>
        <v>525237.44466666679</v>
      </c>
      <c r="BH16" s="57">
        <f>+SUM('7 Informacion Base'!$H$52:$H$55)/12</f>
        <v>525237.44466666679</v>
      </c>
      <c r="BI16" s="57">
        <f>+SUM('7 Informacion Base'!$H$52:$H$55)/12</f>
        <v>525237.44466666679</v>
      </c>
      <c r="BJ16" s="57">
        <f>+SUM('7 Informacion Base'!$H$52:$H$55)/12</f>
        <v>525237.44466666679</v>
      </c>
      <c r="BK16" s="57">
        <f>+SUM('7 Informacion Base'!$H$52:$H$55)/12</f>
        <v>525237.44466666679</v>
      </c>
      <c r="BL16" s="57">
        <f>+SUM('7 Informacion Base'!$H$52:$H$55)/12</f>
        <v>525237.44466666679</v>
      </c>
      <c r="BM16" s="57">
        <f>+SUM('7 Informacion Base'!$I$52:$I$55)/12</f>
        <v>540994.56800666673</v>
      </c>
      <c r="BN16" s="57">
        <f>+SUM('7 Informacion Base'!$I$52:$I$55)/12</f>
        <v>540994.56800666673</v>
      </c>
      <c r="BO16" s="57">
        <f>+SUM('7 Informacion Base'!$I$52:$I$55)/12</f>
        <v>540994.56800666673</v>
      </c>
      <c r="BP16" s="57">
        <f>+SUM('7 Informacion Base'!$I$52:$I$55)/12</f>
        <v>540994.56800666673</v>
      </c>
      <c r="BQ16" s="57">
        <f>+SUM('7 Informacion Base'!$I$52:$I$55)/12</f>
        <v>540994.56800666673</v>
      </c>
      <c r="BR16" s="57">
        <f>+SUM('7 Informacion Base'!$I$52:$I$55)/12</f>
        <v>540994.56800666673</v>
      </c>
      <c r="BS16" s="57">
        <f>+SUM('7 Informacion Base'!$I$52:$I$55)/12</f>
        <v>540994.56800666673</v>
      </c>
      <c r="BT16" s="57">
        <f>+SUM('7 Informacion Base'!$I$52:$I$55)/12</f>
        <v>540994.56800666673</v>
      </c>
      <c r="BU16" s="57">
        <f>+SUM('7 Informacion Base'!$I$52:$I$55)/12</f>
        <v>540994.56800666673</v>
      </c>
      <c r="BV16" s="57">
        <f>+SUM('7 Informacion Base'!$I$52:$I$55)/12</f>
        <v>540994.56800666673</v>
      </c>
      <c r="BW16" s="57">
        <f>+SUM('7 Informacion Base'!$I$52:$I$55)/12</f>
        <v>540994.56800666673</v>
      </c>
      <c r="BX16" s="57">
        <f>+SUM('7 Informacion Base'!$I$52:$I$55)/12</f>
        <v>540994.56800666673</v>
      </c>
      <c r="BY16" s="57">
        <f>+SUM('7 Informacion Base'!$J$52:$J$55)/12</f>
        <v>557224.40504686674</v>
      </c>
      <c r="BZ16" s="57">
        <f>+SUM('7 Informacion Base'!$J$52:$J$55)/12</f>
        <v>557224.40504686674</v>
      </c>
      <c r="CA16" s="57">
        <f>+SUM('7 Informacion Base'!$J$52:$J$55)/12</f>
        <v>557224.40504686674</v>
      </c>
      <c r="CB16" s="57">
        <f>+SUM('7 Informacion Base'!$J$52:$J$55)/12</f>
        <v>557224.40504686674</v>
      </c>
      <c r="CC16" s="57">
        <f>+SUM('7 Informacion Base'!$J$52:$J$55)/12</f>
        <v>557224.40504686674</v>
      </c>
      <c r="CD16" s="57">
        <f>+SUM('7 Informacion Base'!$J$52:$J$55)/12</f>
        <v>557224.40504686674</v>
      </c>
      <c r="CE16" s="57">
        <f>+SUM('7 Informacion Base'!$J$52:$J$55)/12</f>
        <v>557224.40504686674</v>
      </c>
      <c r="CF16" s="57">
        <f>+SUM('7 Informacion Base'!$J$52:$J$55)/12</f>
        <v>557224.40504686674</v>
      </c>
      <c r="CG16" s="57">
        <f>+SUM('7 Informacion Base'!$J$52:$J$55)/12</f>
        <v>557224.40504686674</v>
      </c>
      <c r="CH16" s="57">
        <f>+SUM('7 Informacion Base'!$J$52:$J$55)/12</f>
        <v>557224.40504686674</v>
      </c>
      <c r="CI16" s="57">
        <f>+SUM('7 Informacion Base'!$J$52:$J$55)/12</f>
        <v>557224.40504686674</v>
      </c>
      <c r="CJ16" s="57">
        <f>+SUM('7 Informacion Base'!$J$52:$J$55)/12</f>
        <v>557224.40504686674</v>
      </c>
      <c r="CK16" s="57">
        <f>+SUM('7 Informacion Base'!$K$52:$K$55)/12</f>
        <v>573941.13719827274</v>
      </c>
      <c r="CL16" s="57">
        <f>+SUM('7 Informacion Base'!$K$52:$K$55)/12</f>
        <v>573941.13719827274</v>
      </c>
      <c r="CM16" s="57">
        <f>+SUM('7 Informacion Base'!$K$52:$K$55)/12</f>
        <v>573941.13719827274</v>
      </c>
      <c r="CN16" s="57">
        <f>+SUM('7 Informacion Base'!$K$52:$K$55)/12</f>
        <v>573941.13719827274</v>
      </c>
      <c r="CO16" s="57">
        <f>+SUM('7 Informacion Base'!$K$52:$K$55)/12</f>
        <v>573941.13719827274</v>
      </c>
      <c r="CP16" s="57">
        <f>+SUM('7 Informacion Base'!$K$52:$K$55)/12</f>
        <v>573941.13719827274</v>
      </c>
      <c r="CQ16" s="57">
        <f>+SUM('7 Informacion Base'!$K$52:$K$55)/12</f>
        <v>573941.13719827274</v>
      </c>
      <c r="CR16" s="57">
        <f>+SUM('7 Informacion Base'!$K$52:$K$55)/12</f>
        <v>573941.13719827274</v>
      </c>
      <c r="CS16" s="57">
        <f>+SUM('7 Informacion Base'!$K$52:$K$55)/12</f>
        <v>573941.13719827274</v>
      </c>
      <c r="CT16" s="57">
        <f>+SUM('7 Informacion Base'!$K$52:$K$55)/12</f>
        <v>573941.13719827274</v>
      </c>
      <c r="CU16" s="57">
        <f>+SUM('7 Informacion Base'!$K$52:$K$55)/12</f>
        <v>573941.13719827274</v>
      </c>
      <c r="CV16" s="57">
        <f>+SUM('7 Informacion Base'!$K$52:$K$55)/12</f>
        <v>573941.13719827274</v>
      </c>
      <c r="CW16" s="57">
        <f>+SUM('7 Informacion Base'!$L$52:$L$55)/12</f>
        <v>591159.37131422095</v>
      </c>
      <c r="CX16" s="57">
        <f>+SUM('7 Informacion Base'!$L$52:$L$55)/12</f>
        <v>591159.37131422095</v>
      </c>
      <c r="CY16" s="57">
        <f>+SUM('7 Informacion Base'!$L$52:$L$55)/12</f>
        <v>591159.37131422095</v>
      </c>
      <c r="CZ16" s="57">
        <f>+SUM('7 Informacion Base'!$L$52:$L$55)/12</f>
        <v>591159.37131422095</v>
      </c>
      <c r="DA16" s="57">
        <f>+SUM('7 Informacion Base'!$L$52:$L$55)/12</f>
        <v>591159.37131422095</v>
      </c>
      <c r="DB16" s="57">
        <f>+SUM('7 Informacion Base'!$L$52:$L$55)/12</f>
        <v>591159.37131422095</v>
      </c>
      <c r="DC16" s="57">
        <f>+SUM('7 Informacion Base'!$L$52:$L$55)/12</f>
        <v>591159.37131422095</v>
      </c>
      <c r="DD16" s="57">
        <f>+SUM('7 Informacion Base'!$L$52:$L$55)/12</f>
        <v>591159.37131422095</v>
      </c>
      <c r="DE16" s="57">
        <f>+SUM('7 Informacion Base'!$L$52:$L$55)/12</f>
        <v>591159.37131422095</v>
      </c>
      <c r="DF16" s="57">
        <f>+SUM('7 Informacion Base'!$L$52:$L$55)/12</f>
        <v>591159.37131422095</v>
      </c>
      <c r="DG16" s="57">
        <f>+SUM('7 Informacion Base'!$L$52:$L$55)/12</f>
        <v>591159.37131422095</v>
      </c>
      <c r="DH16" s="57">
        <f>+SUM('7 Informacion Base'!$L$52:$L$55)/12</f>
        <v>591159.37131422095</v>
      </c>
      <c r="DI16" s="57">
        <f>+SUM('7 Informacion Base'!$M$52:$M$55)/12</f>
        <v>608894.15245364758</v>
      </c>
      <c r="DJ16" s="57">
        <f>+SUM('7 Informacion Base'!$M$52:$M$55)/12</f>
        <v>608894.15245364758</v>
      </c>
      <c r="DK16" s="57">
        <f>+SUM('7 Informacion Base'!$M$52:$M$55)/12</f>
        <v>608894.15245364758</v>
      </c>
      <c r="DL16" s="57">
        <f>+SUM('7 Informacion Base'!$M$52:$M$55)/12</f>
        <v>608894.15245364758</v>
      </c>
      <c r="DM16" s="57">
        <f>+SUM('7 Informacion Base'!$M$52:$M$55)/12</f>
        <v>608894.15245364758</v>
      </c>
      <c r="DN16" s="57">
        <f>+SUM('7 Informacion Base'!$M$52:$M$55)/12</f>
        <v>608894.15245364758</v>
      </c>
      <c r="DO16" s="57">
        <f>+SUM('7 Informacion Base'!$M$52:$M$55)/12</f>
        <v>608894.15245364758</v>
      </c>
      <c r="DP16" s="57">
        <f>+SUM('7 Informacion Base'!$M$52:$M$55)/12</f>
        <v>608894.15245364758</v>
      </c>
      <c r="DQ16" s="57">
        <f>+SUM('7 Informacion Base'!$M$52:$M$55)/12</f>
        <v>608894.15245364758</v>
      </c>
      <c r="DR16" s="57">
        <f>+SUM('7 Informacion Base'!$M$52:$M$55)/12</f>
        <v>608894.15245364758</v>
      </c>
      <c r="DS16" s="57">
        <f>+SUM('7 Informacion Base'!$M$52:$M$55)/12</f>
        <v>608894.15245364758</v>
      </c>
      <c r="DT16" s="57">
        <f>+SUM('7 Informacion Base'!$M$52:$M$55)/12</f>
        <v>608894.15245364758</v>
      </c>
      <c r="DU16" s="57">
        <f>+SUM('7 Informacion Base'!$N$52:$N$55)/12</f>
        <v>627160.97702725697</v>
      </c>
      <c r="DV16" s="57">
        <f>+SUM('7 Informacion Base'!$N$52:$N$55)/12</f>
        <v>627160.97702725697</v>
      </c>
      <c r="DW16" s="57">
        <f>+SUM('7 Informacion Base'!$N$52:$N$55)/12</f>
        <v>627160.97702725697</v>
      </c>
      <c r="DX16" s="57">
        <f>+SUM('7 Informacion Base'!$N$52:$N$55)/12</f>
        <v>627160.97702725697</v>
      </c>
      <c r="DY16" s="57">
        <f>+SUM('7 Informacion Base'!$N$52:$N$55)/12</f>
        <v>627160.97702725697</v>
      </c>
      <c r="DZ16" s="57">
        <f>+SUM('7 Informacion Base'!$N$52:$N$55)/12</f>
        <v>627160.97702725697</v>
      </c>
      <c r="EA16" s="57">
        <f>+SUM('7 Informacion Base'!$N$52:$N$55)/12</f>
        <v>627160.97702725697</v>
      </c>
      <c r="EB16" s="57">
        <f>+SUM('7 Informacion Base'!$N$52:$N$55)/12</f>
        <v>627160.97702725697</v>
      </c>
      <c r="EC16" s="57">
        <f>+SUM('7 Informacion Base'!$N$52:$N$55)/12</f>
        <v>627160.97702725697</v>
      </c>
      <c r="ED16" s="57">
        <f>+SUM('7 Informacion Base'!$N$52:$N$55)/12</f>
        <v>627160.97702725697</v>
      </c>
      <c r="EE16" s="57">
        <f>+SUM('7 Informacion Base'!$N$52:$N$55)/12</f>
        <v>627160.97702725697</v>
      </c>
      <c r="EF16" s="57">
        <f>+SUM('7 Informacion Base'!$N$52:$N$55)/12</f>
        <v>627160.97702725697</v>
      </c>
    </row>
    <row r="17" spans="2:136" s="45" customFormat="1" x14ac:dyDescent="0.25">
      <c r="B17" s="44" t="s">
        <v>100</v>
      </c>
      <c r="C17" s="44" t="s">
        <v>250</v>
      </c>
      <c r="D17" s="45" t="s">
        <v>51</v>
      </c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>
        <f>+'8 PYG'!$D$15</f>
        <v>0</v>
      </c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>
        <f>+'8 PYG'!$E$15</f>
        <v>0</v>
      </c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>
        <f>+'8 PYG'!$F$15</f>
        <v>5855300.9520263458</v>
      </c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>
        <f>+'8 PYG'!$G$15</f>
        <v>24522261.180383489</v>
      </c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>
        <f>+'8 PYG'!$H$15</f>
        <v>44261391.40933454</v>
      </c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>
        <f>+'8 PYG'!$I$15</f>
        <v>51541114.709631845</v>
      </c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>
        <f>+'8 PYG'!$D$32</f>
        <v>41453612.421126962</v>
      </c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57">
        <f>+'8 PYG'!$E$32</f>
        <v>57667290.543728083</v>
      </c>
      <c r="DA17" s="57"/>
      <c r="DB17" s="57"/>
      <c r="DC17" s="57"/>
      <c r="DD17" s="57"/>
      <c r="DE17" s="57"/>
      <c r="DF17" s="57"/>
      <c r="DG17" s="57"/>
      <c r="DH17" s="57"/>
      <c r="DI17" s="57"/>
      <c r="DJ17" s="57"/>
      <c r="DK17" s="57"/>
      <c r="DL17" s="57">
        <f>+'8 PYG'!$F$32</f>
        <v>60988593.681727722</v>
      </c>
      <c r="DM17" s="57"/>
      <c r="DN17" s="57"/>
      <c r="DO17" s="57"/>
      <c r="DP17" s="57"/>
      <c r="DQ17" s="57"/>
      <c r="DR17" s="57"/>
      <c r="DS17" s="57"/>
      <c r="DT17" s="57"/>
      <c r="DU17" s="57"/>
      <c r="DV17" s="57"/>
      <c r="DW17" s="57"/>
      <c r="DX17" s="57">
        <f>+'8 PYG'!$G$32</f>
        <v>77708312.618604749</v>
      </c>
      <c r="DY17" s="57"/>
      <c r="DZ17" s="57"/>
      <c r="EA17" s="57"/>
      <c r="EB17" s="57"/>
      <c r="EC17" s="57"/>
      <c r="ED17" s="57"/>
      <c r="EE17" s="57"/>
      <c r="EF17" s="57">
        <f>'8 PYG'!H32</f>
        <v>80404357.955513626</v>
      </c>
    </row>
    <row r="18" spans="2:136" s="45" customFormat="1" x14ac:dyDescent="0.25">
      <c r="B18" s="44"/>
      <c r="C18" s="44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7"/>
      <c r="DN18" s="57"/>
      <c r="DO18" s="57"/>
      <c r="DP18" s="57"/>
      <c r="DQ18" s="57"/>
      <c r="DR18" s="57"/>
      <c r="DS18" s="57"/>
      <c r="DT18" s="57"/>
      <c r="DU18" s="57"/>
      <c r="DV18" s="57"/>
      <c r="DW18" s="57"/>
      <c r="DX18" s="57"/>
      <c r="DY18" s="57"/>
      <c r="DZ18" s="57"/>
      <c r="EA18" s="57"/>
      <c r="EB18" s="57"/>
      <c r="EC18" s="57"/>
      <c r="ED18" s="57"/>
      <c r="EE18" s="57"/>
      <c r="EF18" s="57"/>
    </row>
    <row r="19" spans="2:136" s="48" customFormat="1" x14ac:dyDescent="0.25">
      <c r="B19" s="102"/>
      <c r="C19" s="102"/>
      <c r="D19" s="48" t="s">
        <v>87</v>
      </c>
      <c r="E19" s="68">
        <f>+E5+E6</f>
        <v>-12878875.000000002</v>
      </c>
      <c r="F19" s="68">
        <f t="shared" ref="F19" si="12">+F5+F6</f>
        <v>1463361.1177411936</v>
      </c>
      <c r="G19" s="68">
        <f t="shared" ref="G19:BQ19" si="13">+G5+G6</f>
        <v>-260638.88225880638</v>
      </c>
      <c r="H19" s="68">
        <f t="shared" si="13"/>
        <v>-4186638.8822588064</v>
      </c>
      <c r="I19" s="68">
        <f t="shared" si="13"/>
        <v>1463361.1177411936</v>
      </c>
      <c r="J19" s="68">
        <f t="shared" si="13"/>
        <v>1463361.1177411936</v>
      </c>
      <c r="K19" s="68">
        <f t="shared" si="13"/>
        <v>-4186638.8822588064</v>
      </c>
      <c r="L19" s="68">
        <f t="shared" si="13"/>
        <v>1463361.1177411936</v>
      </c>
      <c r="M19" s="68">
        <f t="shared" si="13"/>
        <v>1463361.1177411936</v>
      </c>
      <c r="N19" s="68">
        <f t="shared" si="13"/>
        <v>-4186638.8822588064</v>
      </c>
      <c r="O19" s="68">
        <f t="shared" si="13"/>
        <v>1463361.1177411936</v>
      </c>
      <c r="P19" s="68">
        <f t="shared" si="13"/>
        <v>1463361.1177411936</v>
      </c>
      <c r="Q19" s="68">
        <f t="shared" si="13"/>
        <v>3406043.7948303595</v>
      </c>
      <c r="R19" s="68">
        <f t="shared" si="13"/>
        <v>9197293.7948303595</v>
      </c>
      <c r="S19" s="68">
        <f t="shared" si="13"/>
        <v>7430193.7948303595</v>
      </c>
      <c r="T19" s="68">
        <f t="shared" si="13"/>
        <v>3406043.7948303595</v>
      </c>
      <c r="U19" s="68">
        <f t="shared" si="13"/>
        <v>9197293.7948303595</v>
      </c>
      <c r="V19" s="68">
        <f t="shared" si="13"/>
        <v>9197293.7948303595</v>
      </c>
      <c r="W19" s="68">
        <f t="shared" si="13"/>
        <v>3406043.7948303595</v>
      </c>
      <c r="X19" s="68">
        <f t="shared" si="13"/>
        <v>9197293.7948303595</v>
      </c>
      <c r="Y19" s="68">
        <f t="shared" si="13"/>
        <v>9197293.7948303595</v>
      </c>
      <c r="Z19" s="68">
        <f t="shared" si="13"/>
        <v>3406043.7948303595</v>
      </c>
      <c r="AA19" s="68">
        <f t="shared" si="13"/>
        <v>9197293.7948303595</v>
      </c>
      <c r="AB19" s="68">
        <f t="shared" si="13"/>
        <v>9197293.7948303595</v>
      </c>
      <c r="AC19" s="68">
        <f t="shared" si="13"/>
        <v>15155984.067313548</v>
      </c>
      <c r="AD19" s="68">
        <f t="shared" si="13"/>
        <v>21120971.567313548</v>
      </c>
      <c r="AE19" s="68">
        <f t="shared" si="13"/>
        <v>19300858.567313548</v>
      </c>
      <c r="AF19" s="68">
        <f t="shared" si="13"/>
        <v>15155984.067313548</v>
      </c>
      <c r="AG19" s="68">
        <f t="shared" si="13"/>
        <v>21120971.567313548</v>
      </c>
      <c r="AH19" s="68">
        <f t="shared" si="13"/>
        <v>21120971.567313548</v>
      </c>
      <c r="AI19" s="68">
        <f t="shared" si="13"/>
        <v>15155984.067313548</v>
      </c>
      <c r="AJ19" s="68">
        <f t="shared" si="13"/>
        <v>21120971.567313548</v>
      </c>
      <c r="AK19" s="68">
        <f t="shared" si="13"/>
        <v>21120971.567313548</v>
      </c>
      <c r="AL19" s="68">
        <f t="shared" si="13"/>
        <v>15155984.067313548</v>
      </c>
      <c r="AM19" s="68">
        <f t="shared" si="13"/>
        <v>21120971.567313548</v>
      </c>
      <c r="AN19" s="68">
        <f t="shared" si="13"/>
        <v>21120971.567313548</v>
      </c>
      <c r="AO19" s="68">
        <f t="shared" si="13"/>
        <v>31574949.004362866</v>
      </c>
      <c r="AP19" s="68">
        <f t="shared" si="13"/>
        <v>37718886.129362866</v>
      </c>
      <c r="AQ19" s="68">
        <f t="shared" si="13"/>
        <v>35844169.739362866</v>
      </c>
      <c r="AR19" s="68">
        <f t="shared" si="13"/>
        <v>25719648.052336521</v>
      </c>
      <c r="AS19" s="68">
        <f t="shared" si="13"/>
        <v>37718886.129362866</v>
      </c>
      <c r="AT19" s="68">
        <f t="shared" si="13"/>
        <v>37718886.129362866</v>
      </c>
      <c r="AU19" s="68">
        <f t="shared" si="13"/>
        <v>31574949.004362866</v>
      </c>
      <c r="AV19" s="68">
        <f t="shared" si="13"/>
        <v>37718886.129362866</v>
      </c>
      <c r="AW19" s="68">
        <f t="shared" si="13"/>
        <v>37718886.129362866</v>
      </c>
      <c r="AX19" s="68">
        <f t="shared" si="13"/>
        <v>31574949.004362866</v>
      </c>
      <c r="AY19" s="68">
        <f t="shared" si="13"/>
        <v>37718886.129362866</v>
      </c>
      <c r="AZ19" s="68">
        <f t="shared" si="13"/>
        <v>37718886.129362866</v>
      </c>
      <c r="BA19" s="68">
        <f t="shared" si="13"/>
        <v>48908961.175154552</v>
      </c>
      <c r="BB19" s="68">
        <f t="shared" si="13"/>
        <v>55237216.413904555</v>
      </c>
      <c r="BC19" s="68">
        <f t="shared" si="13"/>
        <v>53306258.532204553</v>
      </c>
      <c r="BD19" s="68">
        <f t="shared" si="13"/>
        <v>24386699.994771063</v>
      </c>
      <c r="BE19" s="68">
        <f t="shared" si="13"/>
        <v>55237216.413904555</v>
      </c>
      <c r="BF19" s="68">
        <f t="shared" si="13"/>
        <v>55237216.413904555</v>
      </c>
      <c r="BG19" s="68">
        <f t="shared" si="13"/>
        <v>48908961.175154552</v>
      </c>
      <c r="BH19" s="68">
        <f t="shared" si="13"/>
        <v>55237216.413904555</v>
      </c>
      <c r="BI19" s="68">
        <f t="shared" si="13"/>
        <v>55237216.413904555</v>
      </c>
      <c r="BJ19" s="68">
        <f t="shared" si="13"/>
        <v>48908961.175154552</v>
      </c>
      <c r="BK19" s="68">
        <f t="shared" si="13"/>
        <v>55237216.413904555</v>
      </c>
      <c r="BL19" s="68">
        <f t="shared" si="13"/>
        <v>55237216.413904555</v>
      </c>
      <c r="BM19" s="68">
        <f t="shared" si="13"/>
        <v>54621259.569321387</v>
      </c>
      <c r="BN19" s="68">
        <f t="shared" si="13"/>
        <v>61139362.465233885</v>
      </c>
      <c r="BO19" s="68">
        <f t="shared" si="13"/>
        <v>59150475.847082883</v>
      </c>
      <c r="BP19" s="68">
        <f t="shared" si="13"/>
        <v>10359868.159986854</v>
      </c>
      <c r="BQ19" s="68">
        <f t="shared" si="13"/>
        <v>61139362.465233885</v>
      </c>
      <c r="BR19" s="68">
        <f t="shared" ref="BR19:EC19" si="14">+BR5+BR6</f>
        <v>61139362.465233885</v>
      </c>
      <c r="BS19" s="68">
        <f t="shared" si="14"/>
        <v>54621259.569321387</v>
      </c>
      <c r="BT19" s="68">
        <f t="shared" si="14"/>
        <v>61139362.465233885</v>
      </c>
      <c r="BU19" s="68">
        <f t="shared" si="14"/>
        <v>61139362.465233885</v>
      </c>
      <c r="BV19" s="68">
        <f t="shared" si="14"/>
        <v>54621259.569321387</v>
      </c>
      <c r="BW19" s="68">
        <f t="shared" si="14"/>
        <v>61139362.465233885</v>
      </c>
      <c r="BX19" s="68">
        <f t="shared" si="14"/>
        <v>61139362.465233885</v>
      </c>
      <c r="BY19" s="68">
        <f t="shared" si="14"/>
        <v>56378425.885035232</v>
      </c>
      <c r="BZ19" s="68">
        <f t="shared" si="14"/>
        <v>63092071.867825106</v>
      </c>
      <c r="CA19" s="68">
        <f t="shared" si="14"/>
        <v>61043518.651129574</v>
      </c>
      <c r="CB19" s="68">
        <f t="shared" si="14"/>
        <v>4837311.1754033864</v>
      </c>
      <c r="CC19" s="68">
        <f t="shared" si="14"/>
        <v>63092071.867825106</v>
      </c>
      <c r="CD19" s="68">
        <f t="shared" si="14"/>
        <v>63092071.867825106</v>
      </c>
      <c r="CE19" s="68">
        <f t="shared" si="14"/>
        <v>56378425.885035232</v>
      </c>
      <c r="CF19" s="68">
        <f t="shared" si="14"/>
        <v>63092071.867825106</v>
      </c>
      <c r="CG19" s="68">
        <f t="shared" si="14"/>
        <v>63092071.867825106</v>
      </c>
      <c r="CH19" s="68">
        <f t="shared" si="14"/>
        <v>56378425.885035232</v>
      </c>
      <c r="CI19" s="68">
        <f t="shared" si="14"/>
        <v>63092071.867825106</v>
      </c>
      <c r="CJ19" s="68">
        <f t="shared" si="14"/>
        <v>63092071.867825106</v>
      </c>
      <c r="CK19" s="68">
        <f t="shared" si="14"/>
        <v>57947694.277093053</v>
      </c>
      <c r="CL19" s="68">
        <f t="shared" si="14"/>
        <v>64862749.639366627</v>
      </c>
      <c r="CM19" s="68">
        <f t="shared" si="14"/>
        <v>62752739.826170228</v>
      </c>
      <c r="CN19" s="68">
        <f t="shared" si="14"/>
        <v>16494081.855966091</v>
      </c>
      <c r="CO19" s="68">
        <f t="shared" si="14"/>
        <v>64862749.639366627</v>
      </c>
      <c r="CP19" s="68">
        <f t="shared" si="14"/>
        <v>64862749.639366627</v>
      </c>
      <c r="CQ19" s="68">
        <f t="shared" si="14"/>
        <v>57947694.277093053</v>
      </c>
      <c r="CR19" s="68">
        <f t="shared" si="14"/>
        <v>64862749.639366627</v>
      </c>
      <c r="CS19" s="68">
        <f t="shared" si="14"/>
        <v>64862749.639366627</v>
      </c>
      <c r="CT19" s="68">
        <f t="shared" si="14"/>
        <v>57947694.277093053</v>
      </c>
      <c r="CU19" s="68">
        <f t="shared" si="14"/>
        <v>64862749.639366627</v>
      </c>
      <c r="CV19" s="68">
        <f t="shared" si="14"/>
        <v>64862749.639366627</v>
      </c>
      <c r="CW19" s="68">
        <f t="shared" si="14"/>
        <v>59686125.105405845</v>
      </c>
      <c r="CX19" s="68">
        <f t="shared" si="14"/>
        <v>66808632.128547624</v>
      </c>
      <c r="CY19" s="68">
        <f t="shared" si="14"/>
        <v>64635322.020955339</v>
      </c>
      <c r="CZ19" s="68">
        <f t="shared" si="14"/>
        <v>2018834.5616777688</v>
      </c>
      <c r="DA19" s="68">
        <f t="shared" si="14"/>
        <v>66808632.128547624</v>
      </c>
      <c r="DB19" s="68">
        <f t="shared" si="14"/>
        <v>66808632.128547624</v>
      </c>
      <c r="DC19" s="68">
        <f t="shared" si="14"/>
        <v>59686125.105405845</v>
      </c>
      <c r="DD19" s="68">
        <f t="shared" si="14"/>
        <v>66808632.128547624</v>
      </c>
      <c r="DE19" s="68">
        <f t="shared" si="14"/>
        <v>66808632.128547624</v>
      </c>
      <c r="DF19" s="68">
        <f t="shared" si="14"/>
        <v>59686125.105405845</v>
      </c>
      <c r="DG19" s="68">
        <f t="shared" si="14"/>
        <v>66808632.128547624</v>
      </c>
      <c r="DH19" s="68">
        <f t="shared" si="14"/>
        <v>66808632.128547624</v>
      </c>
      <c r="DI19" s="68">
        <f t="shared" si="14"/>
        <v>73706926.709071353</v>
      </c>
      <c r="DJ19" s="68">
        <f t="shared" si="14"/>
        <v>81043108.942907393</v>
      </c>
      <c r="DK19" s="68">
        <f t="shared" si="14"/>
        <v>78804599.532087326</v>
      </c>
      <c r="DL19" s="68">
        <f t="shared" si="14"/>
        <v>12718333.027343631</v>
      </c>
      <c r="DM19" s="68">
        <f t="shared" si="14"/>
        <v>81043108.942907393</v>
      </c>
      <c r="DN19" s="68">
        <f t="shared" si="14"/>
        <v>81043108.942907393</v>
      </c>
      <c r="DO19" s="68">
        <f t="shared" si="14"/>
        <v>73706926.709071353</v>
      </c>
      <c r="DP19" s="68">
        <f t="shared" si="14"/>
        <v>81043108.942907393</v>
      </c>
      <c r="DQ19" s="68">
        <f t="shared" si="14"/>
        <v>81043108.942907393</v>
      </c>
      <c r="DR19" s="68">
        <f t="shared" si="14"/>
        <v>73706926.709071353</v>
      </c>
      <c r="DS19" s="68">
        <f t="shared" si="14"/>
        <v>81043108.942907393</v>
      </c>
      <c r="DT19" s="68">
        <f t="shared" si="14"/>
        <v>81043108.942907393</v>
      </c>
      <c r="DU19" s="68">
        <f t="shared" si="14"/>
        <v>75918134.510343492</v>
      </c>
      <c r="DV19" s="68">
        <f t="shared" si="14"/>
        <v>83474402.21119462</v>
      </c>
      <c r="DW19" s="68">
        <f t="shared" si="14"/>
        <v>81168737.518049955</v>
      </c>
      <c r="DX19" s="68">
        <f t="shared" si="14"/>
        <v>-1790178.1082612574</v>
      </c>
      <c r="DY19" s="68">
        <f t="shared" si="14"/>
        <v>83474402.21119462</v>
      </c>
      <c r="DZ19" s="68">
        <f t="shared" si="14"/>
        <v>83474402.21119462</v>
      </c>
      <c r="EA19" s="68">
        <f t="shared" si="14"/>
        <v>75918134.510343492</v>
      </c>
      <c r="EB19" s="68">
        <f t="shared" si="14"/>
        <v>83474402.21119462</v>
      </c>
      <c r="EC19" s="68">
        <f t="shared" si="14"/>
        <v>83474402.21119462</v>
      </c>
      <c r="ED19" s="68">
        <f>+ED5+ED6</f>
        <v>75918134.510343492</v>
      </c>
      <c r="EE19" s="68">
        <f>+EE5+EE6</f>
        <v>83474402.21119462</v>
      </c>
      <c r="EF19" s="68">
        <f>+EF5+EF6</f>
        <v>-4486223.4451701343</v>
      </c>
    </row>
    <row r="20" spans="2:136" s="45" customFormat="1" x14ac:dyDescent="0.25">
      <c r="B20" s="44"/>
      <c r="C20" s="44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7"/>
      <c r="DN20" s="57"/>
      <c r="DO20" s="57"/>
      <c r="DP20" s="57"/>
      <c r="DQ20" s="57"/>
      <c r="DR20" s="57"/>
      <c r="DS20" s="57"/>
      <c r="DT20" s="57"/>
      <c r="DU20" s="57"/>
      <c r="DV20" s="57"/>
      <c r="DW20" s="57"/>
      <c r="DX20" s="57"/>
      <c r="DY20" s="57"/>
      <c r="DZ20" s="57"/>
      <c r="EA20" s="57"/>
      <c r="EB20" s="57"/>
      <c r="EC20" s="57"/>
      <c r="ED20" s="57"/>
      <c r="EE20" s="57"/>
      <c r="EF20" s="57"/>
    </row>
    <row r="21" spans="2:136" s="45" customFormat="1" x14ac:dyDescent="0.25">
      <c r="B21" s="44"/>
      <c r="C21" s="44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57"/>
      <c r="DJ21" s="57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7"/>
      <c r="DV21" s="57"/>
      <c r="DW21" s="57"/>
      <c r="DX21" s="57"/>
      <c r="DY21" s="57"/>
      <c r="DZ21" s="57"/>
      <c r="EA21" s="57"/>
      <c r="EB21" s="57"/>
      <c r="EC21" s="57"/>
      <c r="ED21" s="57"/>
      <c r="EE21" s="57"/>
      <c r="EF21" s="57"/>
    </row>
    <row r="22" spans="2:136" s="45" customFormat="1" x14ac:dyDescent="0.25">
      <c r="B22" s="44"/>
      <c r="C22" s="44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7"/>
      <c r="DN22" s="57"/>
      <c r="DO22" s="57"/>
      <c r="DP22" s="57"/>
      <c r="DQ22" s="57"/>
      <c r="DR22" s="57"/>
      <c r="DS22" s="57"/>
      <c r="DT22" s="57"/>
      <c r="DU22" s="57"/>
      <c r="DV22" s="57"/>
      <c r="DW22" s="57"/>
      <c r="DX22" s="57"/>
      <c r="DY22" s="57"/>
      <c r="DZ22" s="57"/>
      <c r="EA22" s="57"/>
      <c r="EB22" s="57"/>
      <c r="EC22" s="57"/>
      <c r="ED22" s="57"/>
      <c r="EE22" s="57"/>
      <c r="EF22" s="57"/>
    </row>
    <row r="23" spans="2:136" s="45" customFormat="1" x14ac:dyDescent="0.25">
      <c r="B23" s="44"/>
      <c r="C23" s="44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  <c r="DJ23" s="57"/>
      <c r="DK23" s="57"/>
      <c r="DL23" s="57"/>
      <c r="DM23" s="57"/>
      <c r="DN23" s="57"/>
      <c r="DO23" s="57"/>
      <c r="DP23" s="57"/>
      <c r="DQ23" s="57"/>
      <c r="DR23" s="57"/>
      <c r="DS23" s="57"/>
      <c r="DT23" s="57"/>
      <c r="DU23" s="57"/>
      <c r="DV23" s="57"/>
      <c r="DW23" s="57"/>
      <c r="DX23" s="57"/>
      <c r="DY23" s="57"/>
      <c r="DZ23" s="57"/>
      <c r="EA23" s="57"/>
      <c r="EB23" s="57"/>
      <c r="EC23" s="57"/>
      <c r="ED23" s="57"/>
      <c r="EE23" s="57"/>
      <c r="EF23" s="57"/>
    </row>
    <row r="24" spans="2:136" s="45" customFormat="1" x14ac:dyDescent="0.25">
      <c r="B24" s="44"/>
      <c r="C24" s="44"/>
      <c r="E24" s="103" t="s">
        <v>161</v>
      </c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57"/>
      <c r="DJ24" s="57"/>
      <c r="DK24" s="57"/>
      <c r="DL24" s="57"/>
      <c r="DM24" s="57"/>
      <c r="DN24" s="57"/>
      <c r="DO24" s="57"/>
      <c r="DP24" s="57"/>
      <c r="DQ24" s="57"/>
      <c r="DR24" s="57"/>
      <c r="DS24" s="57"/>
      <c r="DT24" s="57"/>
      <c r="DU24" s="57"/>
      <c r="DV24" s="57"/>
      <c r="DW24" s="57"/>
      <c r="DX24" s="57"/>
      <c r="DY24" s="57"/>
      <c r="DZ24" s="57"/>
      <c r="EA24" s="57"/>
      <c r="EB24" s="57"/>
      <c r="EC24" s="57"/>
      <c r="ED24" s="57"/>
      <c r="EE24" s="57"/>
      <c r="EF24" s="57"/>
    </row>
    <row r="25" spans="2:136" s="45" customFormat="1" x14ac:dyDescent="0.25">
      <c r="B25" s="44"/>
      <c r="C25" s="44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  <c r="DE25" s="57"/>
      <c r="DF25" s="57"/>
      <c r="DG25" s="57"/>
      <c r="DH25" s="57"/>
      <c r="DI25" s="57"/>
      <c r="DJ25" s="57"/>
      <c r="DK25" s="57"/>
      <c r="DL25" s="57"/>
      <c r="DM25" s="57"/>
      <c r="DN25" s="57"/>
      <c r="DO25" s="57"/>
      <c r="DP25" s="57"/>
      <c r="DQ25" s="57"/>
      <c r="DR25" s="57"/>
      <c r="DS25" s="57"/>
      <c r="DT25" s="57"/>
      <c r="DU25" s="57"/>
      <c r="DV25" s="57"/>
      <c r="DW25" s="57"/>
      <c r="DX25" s="57"/>
      <c r="DY25" s="57"/>
      <c r="DZ25" s="57"/>
      <c r="EA25" s="57"/>
      <c r="EB25" s="57"/>
      <c r="EC25" s="57"/>
      <c r="ED25" s="57"/>
      <c r="EE25" s="57"/>
      <c r="EF25" s="57"/>
    </row>
    <row r="26" spans="2:136" s="79" customFormat="1" x14ac:dyDescent="0.25">
      <c r="B26" s="104"/>
      <c r="C26" s="104"/>
      <c r="E26" s="105">
        <v>2021</v>
      </c>
      <c r="F26" s="105">
        <f>+E26+1</f>
        <v>2022</v>
      </c>
      <c r="G26" s="105">
        <f t="shared" ref="G26:O26" si="15">+F26+1</f>
        <v>2023</v>
      </c>
      <c r="H26" s="105">
        <f t="shared" si="15"/>
        <v>2024</v>
      </c>
      <c r="I26" s="105">
        <f t="shared" si="15"/>
        <v>2025</v>
      </c>
      <c r="J26" s="105">
        <f t="shared" si="15"/>
        <v>2026</v>
      </c>
      <c r="K26" s="105">
        <f t="shared" si="15"/>
        <v>2027</v>
      </c>
      <c r="L26" s="105">
        <f t="shared" si="15"/>
        <v>2028</v>
      </c>
      <c r="M26" s="105">
        <f t="shared" si="15"/>
        <v>2029</v>
      </c>
      <c r="N26" s="105">
        <f t="shared" si="15"/>
        <v>2030</v>
      </c>
      <c r="O26" s="105">
        <f t="shared" si="15"/>
        <v>2031</v>
      </c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6"/>
      <c r="CA26" s="106"/>
      <c r="CB26" s="106"/>
      <c r="CC26" s="106"/>
      <c r="CD26" s="106"/>
      <c r="CE26" s="106"/>
      <c r="CF26" s="106"/>
      <c r="CG26" s="106"/>
      <c r="CH26" s="106"/>
      <c r="CI26" s="106"/>
      <c r="CJ26" s="106"/>
      <c r="CK26" s="106"/>
      <c r="CL26" s="106"/>
      <c r="CM26" s="106"/>
      <c r="CN26" s="106"/>
      <c r="CO26" s="106"/>
      <c r="CP26" s="106"/>
      <c r="CQ26" s="106"/>
      <c r="CR26" s="106"/>
      <c r="CS26" s="106"/>
      <c r="CT26" s="106"/>
      <c r="CU26" s="106"/>
      <c r="CV26" s="106"/>
      <c r="CW26" s="106"/>
      <c r="CX26" s="106"/>
      <c r="CY26" s="106"/>
      <c r="CZ26" s="106"/>
      <c r="DA26" s="106"/>
      <c r="DB26" s="106"/>
      <c r="DC26" s="106"/>
      <c r="DD26" s="106"/>
      <c r="DE26" s="106"/>
      <c r="DF26" s="106"/>
      <c r="DG26" s="106"/>
      <c r="DH26" s="106"/>
      <c r="DI26" s="106"/>
      <c r="DJ26" s="106"/>
      <c r="DK26" s="106"/>
      <c r="DL26" s="106"/>
      <c r="DM26" s="106"/>
      <c r="DN26" s="106"/>
      <c r="DO26" s="106"/>
      <c r="DP26" s="106"/>
      <c r="DQ26" s="106"/>
      <c r="DR26" s="106"/>
      <c r="DS26" s="106"/>
      <c r="DT26" s="106"/>
      <c r="DU26" s="106"/>
      <c r="DV26" s="106"/>
      <c r="DW26" s="106"/>
      <c r="DX26" s="106"/>
      <c r="DY26" s="106"/>
      <c r="DZ26" s="106"/>
      <c r="EA26" s="106"/>
      <c r="EB26" s="106"/>
      <c r="EC26" s="106"/>
      <c r="ED26" s="106"/>
      <c r="EE26" s="106"/>
      <c r="EF26" s="106"/>
    </row>
    <row r="27" spans="2:136" s="45" customFormat="1" x14ac:dyDescent="0.25">
      <c r="B27" s="44"/>
      <c r="C27" s="44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  <c r="DO27" s="57"/>
      <c r="DP27" s="57"/>
      <c r="DQ27" s="57"/>
      <c r="DR27" s="57"/>
      <c r="DS27" s="57"/>
      <c r="DT27" s="57"/>
      <c r="DU27" s="57"/>
      <c r="DV27" s="57"/>
      <c r="DW27" s="57"/>
      <c r="DX27" s="57"/>
      <c r="DY27" s="57"/>
      <c r="DZ27" s="57"/>
      <c r="EA27" s="57"/>
      <c r="EB27" s="57"/>
      <c r="EC27" s="57"/>
      <c r="ED27" s="57"/>
      <c r="EE27" s="57"/>
      <c r="EF27" s="57"/>
    </row>
    <row r="28" spans="2:136" s="45" customFormat="1" x14ac:dyDescent="0.25">
      <c r="B28" s="44" t="s">
        <v>100</v>
      </c>
      <c r="C28" s="44"/>
      <c r="D28" s="48" t="str">
        <f t="shared" ref="D28:D37" si="16">+D5</f>
        <v>INGRESOS</v>
      </c>
      <c r="E28" s="68">
        <f t="shared" ref="E28:E37" si="17">+SUM(E5:P5)</f>
        <v>247500000</v>
      </c>
      <c r="F28" s="68">
        <f t="shared" ref="F28:F37" si="18">+SUM(Q5:AB5)</f>
        <v>387450000</v>
      </c>
      <c r="G28" s="68">
        <f t="shared" ref="G28:G37" si="19">+SUM(AC5:AN5)</f>
        <v>570105000</v>
      </c>
      <c r="H28" s="68">
        <f t="shared" ref="H28:H37" si="20">+SUM(AO5:AZ5)</f>
        <v>822091410</v>
      </c>
      <c r="I28" s="68">
        <f t="shared" ref="I28:I37" si="21">+SUM(BA5:BL5)</f>
        <v>1088683910.0999999</v>
      </c>
      <c r="J28" s="68">
        <f t="shared" ref="J28:J37" si="22">+SUM(BM5:BX5)</f>
        <v>1183641340.0365002</v>
      </c>
      <c r="K28" s="68">
        <f t="shared" ref="K28:K37" si="23">+SUM(BY5:CJ5)</f>
        <v>1219150580.2375951</v>
      </c>
      <c r="L28" s="68">
        <f t="shared" ref="L28:L37" si="24">+SUM(CK5:CV5)</f>
        <v>1255725097.6447232</v>
      </c>
      <c r="M28" s="68">
        <f t="shared" ref="M28:M37" si="25">+SUM(CW5:DH5)</f>
        <v>1293396850.5740652</v>
      </c>
      <c r="N28" s="68">
        <f t="shared" ref="N28:N37" si="26">+SUM(DI5:DT5)</f>
        <v>1332198756.0912869</v>
      </c>
      <c r="O28" s="68">
        <f t="shared" ref="O28:O37" si="27">+SUM(DU5:EF5)</f>
        <v>1372164718.7740257</v>
      </c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7"/>
      <c r="DN28" s="57"/>
      <c r="DO28" s="57"/>
      <c r="DP28" s="57"/>
      <c r="DQ28" s="57"/>
      <c r="DR28" s="57"/>
      <c r="DS28" s="57"/>
      <c r="DT28" s="57"/>
      <c r="DU28" s="57"/>
      <c r="DV28" s="57"/>
      <c r="DW28" s="57"/>
      <c r="DX28" s="57"/>
      <c r="DY28" s="57"/>
      <c r="DZ28" s="57"/>
      <c r="EA28" s="57"/>
      <c r="EB28" s="57"/>
      <c r="EC28" s="57"/>
      <c r="ED28" s="57"/>
      <c r="EE28" s="57"/>
      <c r="EF28" s="57"/>
    </row>
    <row r="29" spans="2:136" s="45" customFormat="1" x14ac:dyDescent="0.25">
      <c r="B29" s="44" t="s">
        <v>100</v>
      </c>
      <c r="C29" s="44"/>
      <c r="D29" s="48" t="str">
        <f t="shared" si="16"/>
        <v>EGRESOS</v>
      </c>
      <c r="E29" s="68">
        <f t="shared" si="17"/>
        <v>-262955902.70484686</v>
      </c>
      <c r="F29" s="68">
        <f t="shared" si="18"/>
        <v>-302014574.46203572</v>
      </c>
      <c r="G29" s="68">
        <f t="shared" si="19"/>
        <v>-342333404.19223744</v>
      </c>
      <c r="H29" s="68">
        <f t="shared" si="20"/>
        <v>-401770542.2896719</v>
      </c>
      <c r="I29" s="68">
        <f t="shared" si="21"/>
        <v>-477603553.15022898</v>
      </c>
      <c r="J29" s="68">
        <f t="shared" si="22"/>
        <v>-522291680.06482923</v>
      </c>
      <c r="K29" s="68">
        <f t="shared" si="23"/>
        <v>-542489969.68118095</v>
      </c>
      <c r="L29" s="68">
        <f t="shared" si="24"/>
        <v>-548595945.65574145</v>
      </c>
      <c r="M29" s="68">
        <f t="shared" si="25"/>
        <v>-580023893.77538085</v>
      </c>
      <c r="N29" s="68">
        <f t="shared" si="26"/>
        <v>-452253280.80429006</v>
      </c>
      <c r="O29" s="68">
        <f t="shared" si="27"/>
        <v>-568671566.01120877</v>
      </c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7"/>
      <c r="DN29" s="57"/>
      <c r="DO29" s="57"/>
      <c r="DP29" s="57"/>
      <c r="DQ29" s="57"/>
      <c r="DR29" s="57"/>
      <c r="DS29" s="57"/>
      <c r="DT29" s="57"/>
      <c r="DU29" s="57"/>
      <c r="DV29" s="57"/>
      <c r="DW29" s="57"/>
      <c r="DX29" s="57"/>
      <c r="DY29" s="57"/>
      <c r="DZ29" s="57"/>
      <c r="EA29" s="57"/>
      <c r="EB29" s="57"/>
      <c r="EC29" s="57"/>
      <c r="ED29" s="57"/>
      <c r="EE29" s="57"/>
      <c r="EF29" s="57"/>
    </row>
    <row r="30" spans="2:136" s="45" customFormat="1" x14ac:dyDescent="0.25">
      <c r="B30" s="44" t="s">
        <v>100</v>
      </c>
      <c r="C30" s="44"/>
      <c r="D30" s="45" t="str">
        <f t="shared" si="16"/>
        <v>COSTO VARIABLE</v>
      </c>
      <c r="E30" s="57">
        <f t="shared" si="17"/>
        <v>40096733.775534786</v>
      </c>
      <c r="F30" s="57">
        <f t="shared" si="18"/>
        <v>63075807.386532165</v>
      </c>
      <c r="G30" s="57">
        <f t="shared" si="19"/>
        <v>92811545.15446879</v>
      </c>
      <c r="H30" s="57">
        <f t="shared" si="20"/>
        <v>133834248.11274399</v>
      </c>
      <c r="I30" s="57">
        <f t="shared" si="21"/>
        <v>177234782.85787666</v>
      </c>
      <c r="J30" s="57">
        <f t="shared" si="22"/>
        <v>192693594.47381368</v>
      </c>
      <c r="K30" s="57">
        <f t="shared" si="23"/>
        <v>198474402.30802813</v>
      </c>
      <c r="L30" s="57">
        <f t="shared" si="24"/>
        <v>204428634.37726891</v>
      </c>
      <c r="M30" s="57">
        <f t="shared" si="25"/>
        <v>210561493.40858707</v>
      </c>
      <c r="N30" s="57">
        <f t="shared" si="26"/>
        <v>70115724.004804567</v>
      </c>
      <c r="O30" s="57">
        <f t="shared" si="27"/>
        <v>72219195.724948719</v>
      </c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  <c r="DC30" s="57"/>
      <c r="DD30" s="57"/>
      <c r="DE30" s="57"/>
      <c r="DF30" s="57"/>
      <c r="DG30" s="57"/>
      <c r="DH30" s="57"/>
      <c r="DI30" s="57"/>
      <c r="DJ30" s="57"/>
      <c r="DK30" s="57"/>
      <c r="DL30" s="57"/>
      <c r="DM30" s="57"/>
      <c r="DN30" s="57"/>
      <c r="DO30" s="57"/>
      <c r="DP30" s="57"/>
      <c r="DQ30" s="57"/>
      <c r="DR30" s="57"/>
      <c r="DS30" s="57"/>
      <c r="DT30" s="57"/>
      <c r="DU30" s="57"/>
      <c r="DV30" s="57"/>
      <c r="DW30" s="57"/>
      <c r="DX30" s="57"/>
      <c r="DY30" s="57"/>
      <c r="DZ30" s="57"/>
      <c r="EA30" s="57"/>
      <c r="EB30" s="57"/>
      <c r="EC30" s="57"/>
      <c r="ED30" s="57"/>
      <c r="EE30" s="57"/>
      <c r="EF30" s="57"/>
    </row>
    <row r="31" spans="2:136" s="45" customFormat="1" x14ac:dyDescent="0.25">
      <c r="B31" s="44" t="s">
        <v>100</v>
      </c>
      <c r="C31" s="44"/>
      <c r="D31" s="45" t="str">
        <f t="shared" si="16"/>
        <v>COSTOS PERSONAL</v>
      </c>
      <c r="E31" s="57">
        <f t="shared" si="17"/>
        <v>108694918.9293121</v>
      </c>
      <c r="F31" s="57">
        <f t="shared" si="18"/>
        <v>121540682.07550353</v>
      </c>
      <c r="G31" s="57">
        <f t="shared" si="19"/>
        <v>125186902.53776866</v>
      </c>
      <c r="H31" s="57">
        <f t="shared" si="20"/>
        <v>128942509.61390167</v>
      </c>
      <c r="I31" s="57">
        <f t="shared" si="21"/>
        <v>132810784.90231879</v>
      </c>
      <c r="J31" s="57">
        <f t="shared" si="22"/>
        <v>136795108.44938833</v>
      </c>
      <c r="K31" s="57">
        <f t="shared" si="23"/>
        <v>140898961.70286998</v>
      </c>
      <c r="L31" s="57">
        <f t="shared" si="24"/>
        <v>145125930.55395606</v>
      </c>
      <c r="M31" s="57">
        <f t="shared" si="25"/>
        <v>149479708.47057477</v>
      </c>
      <c r="N31" s="57">
        <f t="shared" si="26"/>
        <v>153964099.72469202</v>
      </c>
      <c r="O31" s="57">
        <f t="shared" si="27"/>
        <v>158583022.71643278</v>
      </c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7"/>
      <c r="DQ31" s="57"/>
      <c r="DR31" s="57"/>
      <c r="DS31" s="57"/>
      <c r="DT31" s="57"/>
      <c r="DU31" s="57"/>
      <c r="DV31" s="57"/>
      <c r="DW31" s="57"/>
      <c r="DX31" s="57"/>
      <c r="DY31" s="57"/>
      <c r="DZ31" s="57"/>
      <c r="EA31" s="57"/>
      <c r="EB31" s="57"/>
      <c r="EC31" s="57"/>
      <c r="ED31" s="57"/>
      <c r="EE31" s="57"/>
      <c r="EF31" s="57"/>
    </row>
    <row r="32" spans="2:136" s="45" customFormat="1" x14ac:dyDescent="0.25">
      <c r="B32" s="44" t="s">
        <v>100</v>
      </c>
      <c r="C32" s="44"/>
      <c r="D32" s="45" t="str">
        <f t="shared" si="16"/>
        <v>COSTOS FIJOS</v>
      </c>
      <c r="E32" s="57">
        <f t="shared" si="17"/>
        <v>60799999.999999993</v>
      </c>
      <c r="F32" s="57">
        <f t="shared" si="18"/>
        <v>62320000.000000007</v>
      </c>
      <c r="G32" s="57">
        <f t="shared" si="19"/>
        <v>64189600.000000007</v>
      </c>
      <c r="H32" s="57">
        <f t="shared" si="20"/>
        <v>66115288.000000007</v>
      </c>
      <c r="I32" s="57">
        <f t="shared" si="21"/>
        <v>68098746.640000001</v>
      </c>
      <c r="J32" s="57">
        <f t="shared" si="22"/>
        <v>70141709.039199993</v>
      </c>
      <c r="K32" s="57">
        <f t="shared" si="23"/>
        <v>72245960.310376003</v>
      </c>
      <c r="L32" s="57">
        <f t="shared" si="24"/>
        <v>74413339.119687274</v>
      </c>
      <c r="M32" s="57">
        <f t="shared" si="25"/>
        <v>76645739.293277904</v>
      </c>
      <c r="N32" s="57">
        <f t="shared" si="26"/>
        <v>78945111.472076237</v>
      </c>
      <c r="O32" s="57">
        <f t="shared" si="27"/>
        <v>81313464.816238523</v>
      </c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7"/>
      <c r="DV32" s="57"/>
      <c r="DW32" s="57"/>
      <c r="DX32" s="57"/>
      <c r="DY32" s="57"/>
      <c r="DZ32" s="57"/>
      <c r="EA32" s="57"/>
      <c r="EB32" s="57"/>
      <c r="EC32" s="57"/>
      <c r="ED32" s="57"/>
      <c r="EE32" s="57"/>
      <c r="EF32" s="57"/>
    </row>
    <row r="33" spans="2:136" s="45" customFormat="1" hidden="1" x14ac:dyDescent="0.25">
      <c r="B33" s="44" t="s">
        <v>210</v>
      </c>
      <c r="C33" s="44"/>
      <c r="D33" s="45" t="str">
        <f t="shared" si="16"/>
        <v>MANTENIMIENTO</v>
      </c>
      <c r="E33" s="57">
        <f t="shared" si="17"/>
        <v>0</v>
      </c>
      <c r="F33" s="57">
        <f t="shared" si="18"/>
        <v>0</v>
      </c>
      <c r="G33" s="57">
        <f t="shared" si="19"/>
        <v>0</v>
      </c>
      <c r="H33" s="57">
        <f t="shared" si="20"/>
        <v>0</v>
      </c>
      <c r="I33" s="57">
        <f t="shared" si="21"/>
        <v>0</v>
      </c>
      <c r="J33" s="57">
        <f t="shared" si="22"/>
        <v>0</v>
      </c>
      <c r="K33" s="57">
        <f t="shared" si="23"/>
        <v>0</v>
      </c>
      <c r="L33" s="57">
        <f t="shared" si="24"/>
        <v>0</v>
      </c>
      <c r="M33" s="57">
        <f t="shared" si="25"/>
        <v>0</v>
      </c>
      <c r="N33" s="57">
        <f t="shared" si="26"/>
        <v>0</v>
      </c>
      <c r="O33" s="57">
        <f t="shared" si="27"/>
        <v>0</v>
      </c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  <c r="DU33" s="57"/>
      <c r="DV33" s="57"/>
      <c r="DW33" s="57"/>
      <c r="DX33" s="57"/>
      <c r="DY33" s="57"/>
      <c r="DZ33" s="57"/>
      <c r="EA33" s="57"/>
      <c r="EB33" s="57"/>
      <c r="EC33" s="57"/>
      <c r="ED33" s="57"/>
      <c r="EE33" s="57"/>
      <c r="EF33" s="57"/>
    </row>
    <row r="34" spans="2:136" x14ac:dyDescent="0.25">
      <c r="B34" s="39" t="s">
        <v>100</v>
      </c>
      <c r="D34" s="45" t="str">
        <f t="shared" si="16"/>
        <v>COMISIÓN DATÁFONO</v>
      </c>
      <c r="E34" s="57">
        <f t="shared" si="17"/>
        <v>3093750</v>
      </c>
      <c r="F34" s="57">
        <f t="shared" si="18"/>
        <v>4843125</v>
      </c>
      <c r="G34" s="57">
        <f t="shared" si="19"/>
        <v>7126312.5</v>
      </c>
      <c r="H34" s="57">
        <f t="shared" si="20"/>
        <v>10276142.625</v>
      </c>
      <c r="I34" s="57">
        <f t="shared" si="21"/>
        <v>13608548.876250004</v>
      </c>
      <c r="J34" s="57">
        <f t="shared" si="22"/>
        <v>14795516.750456257</v>
      </c>
      <c r="K34" s="57">
        <f t="shared" si="23"/>
        <v>15239382.252969945</v>
      </c>
      <c r="L34" s="57">
        <f t="shared" si="24"/>
        <v>15696563.72055904</v>
      </c>
      <c r="M34" s="57">
        <f t="shared" si="25"/>
        <v>16167460.632175816</v>
      </c>
      <c r="N34" s="57">
        <f t="shared" si="26"/>
        <v>16652484.451141082</v>
      </c>
      <c r="O34" s="57">
        <f t="shared" si="27"/>
        <v>17152058.984675325</v>
      </c>
    </row>
    <row r="35" spans="2:136" x14ac:dyDescent="0.25">
      <c r="B35" s="39" t="s">
        <v>100</v>
      </c>
      <c r="D35" s="45" t="str">
        <f t="shared" si="16"/>
        <v>PREDIAL</v>
      </c>
      <c r="E35" s="57">
        <f t="shared" si="17"/>
        <v>22600000</v>
      </c>
      <c r="F35" s="57">
        <f t="shared" si="18"/>
        <v>23164999.999999996</v>
      </c>
      <c r="G35" s="57">
        <f t="shared" si="19"/>
        <v>23859949.999999996</v>
      </c>
      <c r="H35" s="57">
        <f t="shared" si="20"/>
        <v>24575748.499999996</v>
      </c>
      <c r="I35" s="57">
        <f t="shared" si="21"/>
        <v>25313020.954999998</v>
      </c>
      <c r="J35" s="57">
        <f t="shared" si="22"/>
        <v>26072411.58365</v>
      </c>
      <c r="K35" s="57">
        <f t="shared" si="23"/>
        <v>26854583.9311595</v>
      </c>
      <c r="L35" s="57">
        <f t="shared" si="24"/>
        <v>27660221.449094284</v>
      </c>
      <c r="M35" s="57">
        <f t="shared" si="25"/>
        <v>28490028.092567112</v>
      </c>
      <c r="N35" s="57">
        <f t="shared" si="26"/>
        <v>29344728.935344126</v>
      </c>
      <c r="O35" s="57">
        <f t="shared" si="27"/>
        <v>37781338.504255563</v>
      </c>
    </row>
    <row r="36" spans="2:136" x14ac:dyDescent="0.25">
      <c r="B36" s="39" t="s">
        <v>100</v>
      </c>
      <c r="D36" s="45" t="str">
        <f t="shared" si="16"/>
        <v>CÁMARA COMERCIO</v>
      </c>
      <c r="E36" s="57">
        <f t="shared" si="17"/>
        <v>1724000</v>
      </c>
      <c r="F36" s="57">
        <f t="shared" si="18"/>
        <v>1767099.9999999998</v>
      </c>
      <c r="G36" s="57">
        <f t="shared" si="19"/>
        <v>1820112.9999999998</v>
      </c>
      <c r="H36" s="57">
        <f t="shared" si="20"/>
        <v>1874716.39</v>
      </c>
      <c r="I36" s="57">
        <f t="shared" si="21"/>
        <v>1930957.8817</v>
      </c>
      <c r="J36" s="57">
        <f t="shared" si="22"/>
        <v>1988886.618151</v>
      </c>
      <c r="K36" s="57">
        <f t="shared" si="23"/>
        <v>2048553.2166955301</v>
      </c>
      <c r="L36" s="57">
        <f t="shared" si="24"/>
        <v>2110009.813196396</v>
      </c>
      <c r="M36" s="57">
        <f t="shared" si="25"/>
        <v>2173310.1075922879</v>
      </c>
      <c r="N36" s="57">
        <f t="shared" si="26"/>
        <v>2238509.4108200567</v>
      </c>
      <c r="O36" s="57">
        <f t="shared" si="27"/>
        <v>2305664.6931446586</v>
      </c>
    </row>
    <row r="37" spans="2:136" x14ac:dyDescent="0.25">
      <c r="B37" s="39" t="s">
        <v>100</v>
      </c>
      <c r="D37" s="45" t="str">
        <f t="shared" si="16"/>
        <v>CONTADOR</v>
      </c>
      <c r="E37" s="57">
        <f t="shared" si="17"/>
        <v>18000000</v>
      </c>
      <c r="F37" s="57">
        <f t="shared" si="18"/>
        <v>18449999.999999996</v>
      </c>
      <c r="G37" s="57">
        <f t="shared" si="19"/>
        <v>19003499.999999996</v>
      </c>
      <c r="H37" s="57">
        <f t="shared" si="20"/>
        <v>19573604.999999996</v>
      </c>
      <c r="I37" s="57">
        <f t="shared" si="21"/>
        <v>20160813.149999995</v>
      </c>
      <c r="J37" s="57">
        <f t="shared" si="22"/>
        <v>20765637.544500005</v>
      </c>
      <c r="K37" s="57">
        <f t="shared" si="23"/>
        <v>21388606.670834992</v>
      </c>
      <c r="L37" s="57">
        <f t="shared" si="24"/>
        <v>22030264.870960053</v>
      </c>
      <c r="M37" s="57">
        <f t="shared" si="25"/>
        <v>22691172.817088846</v>
      </c>
      <c r="N37" s="57">
        <f t="shared" si="26"/>
        <v>23371908.001601513</v>
      </c>
      <c r="O37" s="57">
        <f t="shared" si="27"/>
        <v>24073065.241649557</v>
      </c>
    </row>
    <row r="38" spans="2:136" x14ac:dyDescent="0.25">
      <c r="B38" s="39" t="s">
        <v>100</v>
      </c>
      <c r="D38" s="45" t="str">
        <f>+D15</f>
        <v>IMPUESTO ICA</v>
      </c>
      <c r="E38" s="57">
        <f>+SUM(E15:P15)</f>
        <v>346500</v>
      </c>
      <c r="F38" s="57">
        <f>+SUM(Q15:AB15)</f>
        <v>1084860</v>
      </c>
      <c r="G38" s="57">
        <f>+SUM(AC15:AN15)</f>
        <v>2394441</v>
      </c>
      <c r="H38" s="57">
        <f>+SUM(AO15:AZ15)</f>
        <v>4603711.8959999997</v>
      </c>
      <c r="I38" s="57">
        <f>+SUM(BA15:BL15)</f>
        <v>7620787.3707000008</v>
      </c>
      <c r="J38" s="57">
        <f>+SUM(BM15:BX15)</f>
        <v>8285489.3802555017</v>
      </c>
      <c r="K38" s="57">
        <f>+SUM(BY15:CJ15)</f>
        <v>7111711.7180526396</v>
      </c>
      <c r="L38" s="57">
        <f>+SUM(CK15:CV15)</f>
        <v>8790075.6835130639</v>
      </c>
      <c r="M38" s="57">
        <f>+SUM(CW15:DH15)</f>
        <v>9053777.9540184569</v>
      </c>
      <c r="N38" s="57">
        <f>+SUM(DI15:DT15)</f>
        <v>9325391.2926390078</v>
      </c>
      <c r="O38" s="57">
        <f>+SUM(DU15:EF15)</f>
        <v>9605153.0314181801</v>
      </c>
    </row>
    <row r="39" spans="2:136" x14ac:dyDescent="0.25">
      <c r="B39" s="39" t="s">
        <v>100</v>
      </c>
      <c r="D39" s="45" t="str">
        <f>+D16</f>
        <v>OTROS GASTOS</v>
      </c>
      <c r="E39" s="57">
        <f>+SUM(E16:P16)</f>
        <v>7599999.9999999991</v>
      </c>
      <c r="F39" s="57">
        <f>+SUM(Q16:AB16)</f>
        <v>5768000.0000000009</v>
      </c>
      <c r="G39" s="57">
        <f>+SUM(AC16:AN16)</f>
        <v>5941040.0000000009</v>
      </c>
      <c r="H39" s="57">
        <f>+SUM(AO16:AZ16)</f>
        <v>6119271.2000000002</v>
      </c>
      <c r="I39" s="57">
        <f>+SUM(BA16:BL16)</f>
        <v>6302849.336000002</v>
      </c>
      <c r="J39" s="57">
        <f>+SUM(BM16:BX16)</f>
        <v>6491934.8160799993</v>
      </c>
      <c r="K39" s="57">
        <f>+SUM(BY16:CJ16)</f>
        <v>6686692.8605624028</v>
      </c>
      <c r="L39" s="57">
        <f>+SUM(CK16:CV16)</f>
        <v>6887293.6463792743</v>
      </c>
      <c r="M39" s="57">
        <f>+SUM(CW16:DH16)</f>
        <v>7093912.4557706518</v>
      </c>
      <c r="N39" s="57">
        <f>+SUM(DI16:DT16)</f>
        <v>7306729.8294437723</v>
      </c>
      <c r="O39" s="57">
        <f>+SUM(DU16:EF16)</f>
        <v>7525931.7243270837</v>
      </c>
    </row>
    <row r="40" spans="2:136" x14ac:dyDescent="0.25">
      <c r="D40" s="45" t="str">
        <f>+D17</f>
        <v>IMPUESTO RENTA</v>
      </c>
      <c r="E40" s="57">
        <f>+SUM(E17:P17)</f>
        <v>0</v>
      </c>
      <c r="F40" s="57">
        <f>+SUM(Q17:AB17)</f>
        <v>0</v>
      </c>
      <c r="G40" s="57">
        <f>+SUM(AC17:AN17)</f>
        <v>0</v>
      </c>
      <c r="H40" s="57">
        <f>+SUM(AO17:AZ17)</f>
        <v>5855300.9520263458</v>
      </c>
      <c r="I40" s="57">
        <f>+SUM(BA17:BL17)</f>
        <v>24522261.180383489</v>
      </c>
      <c r="J40" s="57">
        <f>+SUM(BM17:BX17)</f>
        <v>44261391.40933454</v>
      </c>
      <c r="K40" s="57">
        <f>+SUM(BY17:CJ17)</f>
        <v>51541114.709631845</v>
      </c>
      <c r="L40" s="57">
        <f>+SUM(CK17:CV17)</f>
        <v>41453612.421126962</v>
      </c>
      <c r="M40" s="57">
        <f>+SUM(CW17:DH17)</f>
        <v>57667290.543728083</v>
      </c>
      <c r="N40" s="57">
        <f>+SUM(DI17:DT17)</f>
        <v>60988593.681727722</v>
      </c>
      <c r="O40" s="57">
        <f>+SUM(DU17:EF17)</f>
        <v>158112670.57411838</v>
      </c>
    </row>
    <row r="41" spans="2:136" x14ac:dyDescent="0.25">
      <c r="D41" s="45"/>
    </row>
    <row r="42" spans="2:136" x14ac:dyDescent="0.25">
      <c r="D42" s="45" t="str">
        <f>+D19</f>
        <v>FC OPERATIVO</v>
      </c>
      <c r="E42" s="68">
        <f t="shared" ref="E42:O42" si="28">+E28+E29</f>
        <v>-15455902.704846859</v>
      </c>
      <c r="F42" s="107">
        <f t="shared" si="28"/>
        <v>85435425.537964284</v>
      </c>
      <c r="G42" s="68">
        <f t="shared" si="28"/>
        <v>227771595.80776256</v>
      </c>
      <c r="H42" s="68">
        <f t="shared" si="28"/>
        <v>420320867.7103281</v>
      </c>
      <c r="I42" s="68">
        <f t="shared" si="28"/>
        <v>611080356.94977093</v>
      </c>
      <c r="J42" s="68">
        <f t="shared" si="28"/>
        <v>661349659.97167099</v>
      </c>
      <c r="K42" s="68">
        <f t="shared" si="28"/>
        <v>676660610.55641413</v>
      </c>
      <c r="L42" s="68">
        <f t="shared" si="28"/>
        <v>707129151.98898172</v>
      </c>
      <c r="M42" s="68">
        <f t="shared" si="28"/>
        <v>713372956.79868436</v>
      </c>
      <c r="N42" s="68">
        <f t="shared" si="28"/>
        <v>879945475.28699684</v>
      </c>
      <c r="O42" s="68">
        <f t="shared" si="28"/>
        <v>803493152.76281691</v>
      </c>
    </row>
    <row r="44" spans="2:136" x14ac:dyDescent="0.25">
      <c r="B44" s="39" t="s">
        <v>100</v>
      </c>
      <c r="D44" s="36" t="s">
        <v>211</v>
      </c>
      <c r="E44" s="108">
        <f>+E38-'8 PYG'!D19</f>
        <v>0</v>
      </c>
      <c r="F44" s="108">
        <f>+F38-'8 PYG'!E19</f>
        <v>0</v>
      </c>
      <c r="G44" s="108">
        <f>+G38-'8 PYG'!F19</f>
        <v>0</v>
      </c>
      <c r="H44" s="108">
        <f>+H38-'8 PYG'!G19</f>
        <v>0</v>
      </c>
      <c r="I44" s="108">
        <f>+I38-'8 PYG'!H19</f>
        <v>0</v>
      </c>
      <c r="J44" s="108">
        <f>+J38-'8 PYG'!I19</f>
        <v>0</v>
      </c>
      <c r="K44" s="108">
        <f>+K38-'8 PYG'!D36</f>
        <v>0</v>
      </c>
      <c r="L44" s="108">
        <f>+L38-'8 PYG'!E36</f>
        <v>0</v>
      </c>
      <c r="M44" s="108">
        <f>+M38-'8 PYG'!F36</f>
        <v>0</v>
      </c>
      <c r="N44" s="108">
        <f>+N38-'8 PYG'!G36</f>
        <v>0</v>
      </c>
      <c r="O44" s="108">
        <f>+O38-'8 PYG'!H36</f>
        <v>0</v>
      </c>
    </row>
    <row r="46" spans="2:136" x14ac:dyDescent="0.25">
      <c r="E46" s="68">
        <f>SUM(E19:EF19)</f>
        <v>5771103350.6665449</v>
      </c>
    </row>
    <row r="47" spans="2:136" x14ac:dyDescent="0.25">
      <c r="B47" s="36"/>
      <c r="C47" s="36"/>
      <c r="E47" s="68">
        <f>SUM(E42:O42)</f>
        <v>5771103350.666544</v>
      </c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6"/>
      <c r="CK47" s="36"/>
      <c r="CL47" s="36"/>
      <c r="CM47" s="36"/>
      <c r="CN47" s="36"/>
      <c r="CO47" s="36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36"/>
      <c r="DG47" s="36"/>
      <c r="DH47" s="36"/>
      <c r="DI47" s="36"/>
      <c r="DJ47" s="36"/>
      <c r="DK47" s="36"/>
      <c r="DL47" s="36"/>
      <c r="DM47" s="36"/>
      <c r="DN47" s="36"/>
      <c r="DO47" s="36"/>
      <c r="DP47" s="36"/>
      <c r="DQ47" s="36"/>
      <c r="DR47" s="36"/>
      <c r="DS47" s="36"/>
      <c r="DT47" s="36"/>
      <c r="DU47" s="36"/>
      <c r="DV47" s="36"/>
      <c r="DW47" s="36"/>
      <c r="DX47" s="36"/>
      <c r="DY47" s="36"/>
      <c r="DZ47" s="36"/>
      <c r="EA47" s="36"/>
      <c r="EB47" s="36"/>
      <c r="EC47" s="36"/>
      <c r="ED47" s="36"/>
      <c r="EE47" s="36"/>
      <c r="EF47" s="36"/>
    </row>
    <row r="48" spans="2:136" x14ac:dyDescent="0.25">
      <c r="B48" s="36"/>
      <c r="C48" s="36"/>
      <c r="E48" s="108">
        <f>+E46-E47</f>
        <v>0</v>
      </c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6"/>
      <c r="CO48" s="36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6"/>
      <c r="DB48" s="36"/>
      <c r="DC48" s="36"/>
      <c r="DD48" s="36"/>
      <c r="DE48" s="36"/>
      <c r="DF48" s="36"/>
      <c r="DG48" s="36"/>
      <c r="DH48" s="36"/>
      <c r="DI48" s="36"/>
      <c r="DJ48" s="36"/>
      <c r="DK48" s="36"/>
      <c r="DL48" s="36"/>
      <c r="DM48" s="36"/>
      <c r="DN48" s="36"/>
      <c r="DO48" s="36"/>
      <c r="DP48" s="36"/>
      <c r="DQ48" s="36"/>
      <c r="DR48" s="36"/>
      <c r="DS48" s="36"/>
      <c r="DT48" s="36"/>
      <c r="DU48" s="36"/>
      <c r="DV48" s="36"/>
      <c r="DW48" s="36"/>
      <c r="DX48" s="36"/>
      <c r="DY48" s="36"/>
      <c r="DZ48" s="36"/>
      <c r="EA48" s="36"/>
      <c r="EB48" s="36"/>
      <c r="EC48" s="36"/>
      <c r="ED48" s="36"/>
      <c r="EE48" s="36"/>
      <c r="EF48" s="36"/>
    </row>
  </sheetData>
  <mergeCells count="12">
    <mergeCell ref="E24:O24"/>
    <mergeCell ref="BY2:CJ2"/>
    <mergeCell ref="CK2:CV2"/>
    <mergeCell ref="CW2:DH2"/>
    <mergeCell ref="DI2:DT2"/>
    <mergeCell ref="DU2:EF2"/>
    <mergeCell ref="BM2:BX2"/>
    <mergeCell ref="E2:P2"/>
    <mergeCell ref="AO2:AZ2"/>
    <mergeCell ref="BA2:BL2"/>
    <mergeCell ref="AC2:AN2"/>
    <mergeCell ref="Q2:AB2"/>
  </mergeCells>
  <conditionalFormatting sqref="E19 G19:EF19">
    <cfRule type="cellIs" dxfId="87" priority="5" operator="lessThan">
      <formula>0</formula>
    </cfRule>
  </conditionalFormatting>
  <conditionalFormatting sqref="E42:O42">
    <cfRule type="cellIs" dxfId="86" priority="4" operator="lessThan">
      <formula>0</formula>
    </cfRule>
  </conditionalFormatting>
  <conditionalFormatting sqref="D28:O29">
    <cfRule type="cellIs" dxfId="85" priority="3" operator="lessThan">
      <formula>0</formula>
    </cfRule>
  </conditionalFormatting>
  <conditionalFormatting sqref="F19">
    <cfRule type="cellIs" dxfId="8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scale="4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B1:EE40"/>
  <sheetViews>
    <sheetView showGridLines="0" zoomScale="70" zoomScaleNormal="70" workbookViewId="0">
      <selection activeCell="D17" sqref="D17"/>
    </sheetView>
  </sheetViews>
  <sheetFormatPr defaultColWidth="11.44140625" defaultRowHeight="13.8" x14ac:dyDescent="0.25"/>
  <cols>
    <col min="1" max="1" width="1" style="36" customWidth="1"/>
    <col min="2" max="2" width="45.109375" style="36" bestFit="1" customWidth="1"/>
    <col min="3" max="13" width="20.33203125" style="57" customWidth="1"/>
    <col min="14" max="133" width="11.44140625" style="36"/>
    <col min="134" max="134" width="19.5546875" style="36" bestFit="1" customWidth="1"/>
    <col min="135" max="16384" width="11.44140625" style="36"/>
  </cols>
  <sheetData>
    <row r="1" spans="2:135" s="53" customFormat="1" ht="20.399999999999999" x14ac:dyDescent="0.35">
      <c r="B1" s="86"/>
      <c r="C1" s="54">
        <v>2021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>
        <v>2022</v>
      </c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>
        <v>2023</v>
      </c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>
        <v>2024</v>
      </c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>
        <v>2025</v>
      </c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>
        <v>2026</v>
      </c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>
        <v>2027</v>
      </c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>
        <v>2028</v>
      </c>
      <c r="CJ1" s="54"/>
      <c r="CK1" s="54"/>
      <c r="CL1" s="54"/>
      <c r="CM1" s="54"/>
      <c r="CN1" s="54"/>
      <c r="CO1" s="54"/>
      <c r="CP1" s="54"/>
      <c r="CQ1" s="54"/>
      <c r="CR1" s="54"/>
      <c r="CS1" s="54"/>
      <c r="CT1" s="54"/>
      <c r="CU1" s="54">
        <v>2029</v>
      </c>
      <c r="CV1" s="54"/>
      <c r="CW1" s="54"/>
      <c r="CX1" s="54"/>
      <c r="CY1" s="54"/>
      <c r="CZ1" s="54"/>
      <c r="DA1" s="54"/>
      <c r="DB1" s="54"/>
      <c r="DC1" s="54"/>
      <c r="DD1" s="54"/>
      <c r="DE1" s="54"/>
      <c r="DF1" s="54"/>
      <c r="DG1" s="54">
        <v>2030</v>
      </c>
      <c r="DH1" s="54"/>
      <c r="DI1" s="54"/>
      <c r="DJ1" s="54"/>
      <c r="DK1" s="54"/>
      <c r="DL1" s="54"/>
      <c r="DM1" s="54"/>
      <c r="DN1" s="54"/>
      <c r="DO1" s="54"/>
      <c r="DP1" s="54"/>
      <c r="DQ1" s="54"/>
      <c r="DR1" s="54"/>
      <c r="DS1" s="54">
        <v>2031</v>
      </c>
      <c r="DT1" s="54"/>
      <c r="DU1" s="54"/>
      <c r="DV1" s="54"/>
      <c r="DW1" s="54"/>
      <c r="DX1" s="54"/>
      <c r="DY1" s="54"/>
      <c r="DZ1" s="54"/>
      <c r="EA1" s="54"/>
      <c r="EB1" s="54"/>
      <c r="EC1" s="54"/>
      <c r="ED1" s="54"/>
    </row>
    <row r="2" spans="2:135" s="55" customFormat="1" x14ac:dyDescent="0.25">
      <c r="B2" s="87">
        <f>C3*B1</f>
        <v>0</v>
      </c>
      <c r="C2" s="88" t="s">
        <v>69</v>
      </c>
      <c r="D2" s="88" t="s">
        <v>70</v>
      </c>
      <c r="E2" s="88" t="s">
        <v>71</v>
      </c>
      <c r="F2" s="88" t="s">
        <v>58</v>
      </c>
      <c r="G2" s="88" t="s">
        <v>72</v>
      </c>
      <c r="H2" s="88" t="s">
        <v>73</v>
      </c>
      <c r="I2" s="88" t="s">
        <v>74</v>
      </c>
      <c r="J2" s="88" t="s">
        <v>75</v>
      </c>
      <c r="K2" s="88" t="s">
        <v>76</v>
      </c>
      <c r="L2" s="88" t="s">
        <v>77</v>
      </c>
      <c r="M2" s="88" t="s">
        <v>78</v>
      </c>
      <c r="N2" s="56" t="s">
        <v>79</v>
      </c>
      <c r="O2" s="56" t="s">
        <v>69</v>
      </c>
      <c r="P2" s="56" t="s">
        <v>70</v>
      </c>
      <c r="Q2" s="56" t="s">
        <v>71</v>
      </c>
      <c r="R2" s="56" t="s">
        <v>58</v>
      </c>
      <c r="S2" s="56" t="s">
        <v>72</v>
      </c>
      <c r="T2" s="56" t="s">
        <v>73</v>
      </c>
      <c r="U2" s="56" t="s">
        <v>74</v>
      </c>
      <c r="V2" s="56" t="s">
        <v>75</v>
      </c>
      <c r="W2" s="56" t="s">
        <v>76</v>
      </c>
      <c r="X2" s="56" t="s">
        <v>77</v>
      </c>
      <c r="Y2" s="56" t="s">
        <v>78</v>
      </c>
      <c r="Z2" s="56" t="s">
        <v>79</v>
      </c>
      <c r="AA2" s="56" t="s">
        <v>69</v>
      </c>
      <c r="AB2" s="56" t="s">
        <v>70</v>
      </c>
      <c r="AC2" s="56" t="s">
        <v>71</v>
      </c>
      <c r="AD2" s="56" t="s">
        <v>58</v>
      </c>
      <c r="AE2" s="56" t="s">
        <v>72</v>
      </c>
      <c r="AF2" s="56" t="s">
        <v>73</v>
      </c>
      <c r="AG2" s="56" t="s">
        <v>74</v>
      </c>
      <c r="AH2" s="56" t="s">
        <v>75</v>
      </c>
      <c r="AI2" s="56" t="s">
        <v>76</v>
      </c>
      <c r="AJ2" s="56" t="s">
        <v>77</v>
      </c>
      <c r="AK2" s="56" t="s">
        <v>78</v>
      </c>
      <c r="AL2" s="56" t="s">
        <v>79</v>
      </c>
      <c r="AM2" s="56" t="s">
        <v>69</v>
      </c>
      <c r="AN2" s="56" t="s">
        <v>70</v>
      </c>
      <c r="AO2" s="56" t="s">
        <v>71</v>
      </c>
      <c r="AP2" s="56" t="s">
        <v>58</v>
      </c>
      <c r="AQ2" s="56" t="s">
        <v>72</v>
      </c>
      <c r="AR2" s="56" t="s">
        <v>73</v>
      </c>
      <c r="AS2" s="56" t="s">
        <v>74</v>
      </c>
      <c r="AT2" s="56" t="s">
        <v>75</v>
      </c>
      <c r="AU2" s="56" t="s">
        <v>76</v>
      </c>
      <c r="AV2" s="56" t="s">
        <v>77</v>
      </c>
      <c r="AW2" s="56" t="s">
        <v>78</v>
      </c>
      <c r="AX2" s="56" t="s">
        <v>79</v>
      </c>
      <c r="AY2" s="56" t="s">
        <v>69</v>
      </c>
      <c r="AZ2" s="56" t="s">
        <v>70</v>
      </c>
      <c r="BA2" s="56" t="s">
        <v>71</v>
      </c>
      <c r="BB2" s="56" t="s">
        <v>58</v>
      </c>
      <c r="BC2" s="56" t="s">
        <v>72</v>
      </c>
      <c r="BD2" s="56" t="s">
        <v>73</v>
      </c>
      <c r="BE2" s="56" t="s">
        <v>74</v>
      </c>
      <c r="BF2" s="56" t="s">
        <v>75</v>
      </c>
      <c r="BG2" s="56" t="s">
        <v>76</v>
      </c>
      <c r="BH2" s="56" t="s">
        <v>77</v>
      </c>
      <c r="BI2" s="56" t="s">
        <v>78</v>
      </c>
      <c r="BJ2" s="56" t="s">
        <v>79</v>
      </c>
      <c r="BK2" s="56" t="s">
        <v>69</v>
      </c>
      <c r="BL2" s="56" t="s">
        <v>70</v>
      </c>
      <c r="BM2" s="56" t="s">
        <v>71</v>
      </c>
      <c r="BN2" s="56" t="s">
        <v>58</v>
      </c>
      <c r="BO2" s="56" t="s">
        <v>72</v>
      </c>
      <c r="BP2" s="56" t="s">
        <v>73</v>
      </c>
      <c r="BQ2" s="56" t="s">
        <v>74</v>
      </c>
      <c r="BR2" s="56" t="s">
        <v>75</v>
      </c>
      <c r="BS2" s="56" t="s">
        <v>76</v>
      </c>
      <c r="BT2" s="56" t="s">
        <v>77</v>
      </c>
      <c r="BU2" s="56" t="s">
        <v>78</v>
      </c>
      <c r="BV2" s="56" t="s">
        <v>79</v>
      </c>
      <c r="BW2" s="56" t="s">
        <v>69</v>
      </c>
      <c r="BX2" s="56" t="s">
        <v>70</v>
      </c>
      <c r="BY2" s="56" t="s">
        <v>71</v>
      </c>
      <c r="BZ2" s="56" t="s">
        <v>58</v>
      </c>
      <c r="CA2" s="56" t="s">
        <v>72</v>
      </c>
      <c r="CB2" s="56" t="s">
        <v>73</v>
      </c>
      <c r="CC2" s="56" t="s">
        <v>74</v>
      </c>
      <c r="CD2" s="56" t="s">
        <v>75</v>
      </c>
      <c r="CE2" s="56" t="s">
        <v>76</v>
      </c>
      <c r="CF2" s="56" t="s">
        <v>77</v>
      </c>
      <c r="CG2" s="56" t="s">
        <v>78</v>
      </c>
      <c r="CH2" s="56" t="s">
        <v>79</v>
      </c>
      <c r="CI2" s="56" t="s">
        <v>69</v>
      </c>
      <c r="CJ2" s="56" t="s">
        <v>70</v>
      </c>
      <c r="CK2" s="56" t="s">
        <v>71</v>
      </c>
      <c r="CL2" s="56" t="s">
        <v>58</v>
      </c>
      <c r="CM2" s="56" t="s">
        <v>72</v>
      </c>
      <c r="CN2" s="56" t="s">
        <v>73</v>
      </c>
      <c r="CO2" s="56" t="s">
        <v>74</v>
      </c>
      <c r="CP2" s="56" t="s">
        <v>75</v>
      </c>
      <c r="CQ2" s="56" t="s">
        <v>76</v>
      </c>
      <c r="CR2" s="56" t="s">
        <v>77</v>
      </c>
      <c r="CS2" s="56" t="s">
        <v>78</v>
      </c>
      <c r="CT2" s="56" t="s">
        <v>79</v>
      </c>
      <c r="CU2" s="56" t="s">
        <v>69</v>
      </c>
      <c r="CV2" s="56" t="s">
        <v>70</v>
      </c>
      <c r="CW2" s="56" t="s">
        <v>71</v>
      </c>
      <c r="CX2" s="56" t="s">
        <v>58</v>
      </c>
      <c r="CY2" s="56" t="s">
        <v>72</v>
      </c>
      <c r="CZ2" s="56" t="s">
        <v>73</v>
      </c>
      <c r="DA2" s="56" t="s">
        <v>74</v>
      </c>
      <c r="DB2" s="56" t="s">
        <v>75</v>
      </c>
      <c r="DC2" s="56" t="s">
        <v>76</v>
      </c>
      <c r="DD2" s="56" t="s">
        <v>77</v>
      </c>
      <c r="DE2" s="56" t="s">
        <v>78</v>
      </c>
      <c r="DF2" s="56" t="s">
        <v>79</v>
      </c>
      <c r="DG2" s="56" t="s">
        <v>69</v>
      </c>
      <c r="DH2" s="56" t="s">
        <v>70</v>
      </c>
      <c r="DI2" s="56" t="s">
        <v>71</v>
      </c>
      <c r="DJ2" s="56" t="s">
        <v>58</v>
      </c>
      <c r="DK2" s="56" t="s">
        <v>72</v>
      </c>
      <c r="DL2" s="56" t="s">
        <v>73</v>
      </c>
      <c r="DM2" s="56" t="s">
        <v>74</v>
      </c>
      <c r="DN2" s="56" t="s">
        <v>75</v>
      </c>
      <c r="DO2" s="56" t="s">
        <v>76</v>
      </c>
      <c r="DP2" s="56" t="s">
        <v>77</v>
      </c>
      <c r="DQ2" s="56" t="s">
        <v>78</v>
      </c>
      <c r="DR2" s="56" t="s">
        <v>79</v>
      </c>
      <c r="DS2" s="56" t="s">
        <v>69</v>
      </c>
      <c r="DT2" s="56" t="s">
        <v>70</v>
      </c>
      <c r="DU2" s="56" t="s">
        <v>71</v>
      </c>
      <c r="DV2" s="56" t="s">
        <v>58</v>
      </c>
      <c r="DW2" s="56" t="s">
        <v>72</v>
      </c>
      <c r="DX2" s="56" t="s">
        <v>73</v>
      </c>
      <c r="DY2" s="56" t="s">
        <v>74</v>
      </c>
      <c r="DZ2" s="56" t="s">
        <v>75</v>
      </c>
      <c r="EA2" s="56" t="s">
        <v>76</v>
      </c>
      <c r="EB2" s="56" t="s">
        <v>77</v>
      </c>
      <c r="EC2" s="56" t="s">
        <v>78</v>
      </c>
      <c r="ED2" s="56" t="s">
        <v>79</v>
      </c>
    </row>
    <row r="3" spans="2:135" s="48" customFormat="1" x14ac:dyDescent="0.25">
      <c r="B3" s="48" t="s">
        <v>88</v>
      </c>
      <c r="C3" s="68">
        <f>+C4+C5</f>
        <v>0</v>
      </c>
      <c r="D3" s="68">
        <f t="shared" ref="D3:BO3" si="0">+D4+D5</f>
        <v>0</v>
      </c>
      <c r="E3" s="68">
        <f>+E4+E5</f>
        <v>0</v>
      </c>
      <c r="F3" s="68">
        <f t="shared" si="0"/>
        <v>0</v>
      </c>
      <c r="G3" s="68">
        <f t="shared" si="0"/>
        <v>0</v>
      </c>
      <c r="H3" s="68">
        <f t="shared" si="0"/>
        <v>0</v>
      </c>
      <c r="I3" s="68">
        <f t="shared" si="0"/>
        <v>0</v>
      </c>
      <c r="J3" s="68">
        <f t="shared" si="0"/>
        <v>0</v>
      </c>
      <c r="K3" s="68">
        <f t="shared" si="0"/>
        <v>0</v>
      </c>
      <c r="L3" s="68">
        <f t="shared" si="0"/>
        <v>0</v>
      </c>
      <c r="M3" s="68">
        <f t="shared" si="0"/>
        <v>0</v>
      </c>
      <c r="N3" s="68">
        <f t="shared" si="0"/>
        <v>0</v>
      </c>
      <c r="O3" s="68">
        <f t="shared" si="0"/>
        <v>0</v>
      </c>
      <c r="P3" s="68">
        <f t="shared" si="0"/>
        <v>0</v>
      </c>
      <c r="Q3" s="68">
        <f t="shared" si="0"/>
        <v>0</v>
      </c>
      <c r="R3" s="68">
        <f t="shared" si="0"/>
        <v>0</v>
      </c>
      <c r="S3" s="68">
        <f t="shared" si="0"/>
        <v>0</v>
      </c>
      <c r="T3" s="68">
        <f t="shared" si="0"/>
        <v>0</v>
      </c>
      <c r="U3" s="68">
        <f t="shared" si="0"/>
        <v>0</v>
      </c>
      <c r="V3" s="68">
        <f t="shared" si="0"/>
        <v>0</v>
      </c>
      <c r="W3" s="68">
        <f t="shared" si="0"/>
        <v>0</v>
      </c>
      <c r="X3" s="68">
        <f t="shared" si="0"/>
        <v>0</v>
      </c>
      <c r="Y3" s="68">
        <f t="shared" si="0"/>
        <v>0</v>
      </c>
      <c r="Z3" s="68">
        <f t="shared" si="0"/>
        <v>0</v>
      </c>
      <c r="AA3" s="68">
        <f t="shared" si="0"/>
        <v>0</v>
      </c>
      <c r="AB3" s="68">
        <f t="shared" si="0"/>
        <v>0</v>
      </c>
      <c r="AC3" s="68">
        <f t="shared" si="0"/>
        <v>0</v>
      </c>
      <c r="AD3" s="68">
        <f t="shared" si="0"/>
        <v>0</v>
      </c>
      <c r="AE3" s="68">
        <f t="shared" si="0"/>
        <v>0</v>
      </c>
      <c r="AF3" s="68">
        <f t="shared" si="0"/>
        <v>0</v>
      </c>
      <c r="AG3" s="68">
        <f t="shared" si="0"/>
        <v>0</v>
      </c>
      <c r="AH3" s="68">
        <f t="shared" si="0"/>
        <v>0</v>
      </c>
      <c r="AI3" s="68">
        <f t="shared" si="0"/>
        <v>0</v>
      </c>
      <c r="AJ3" s="68">
        <f t="shared" si="0"/>
        <v>0</v>
      </c>
      <c r="AK3" s="68">
        <f t="shared" si="0"/>
        <v>0</v>
      </c>
      <c r="AL3" s="68">
        <f t="shared" si="0"/>
        <v>0</v>
      </c>
      <c r="AM3" s="68">
        <f t="shared" si="0"/>
        <v>0</v>
      </c>
      <c r="AN3" s="68">
        <f t="shared" si="0"/>
        <v>0</v>
      </c>
      <c r="AO3" s="68">
        <f t="shared" si="0"/>
        <v>0</v>
      </c>
      <c r="AP3" s="68">
        <f t="shared" si="0"/>
        <v>0</v>
      </c>
      <c r="AQ3" s="68">
        <f t="shared" si="0"/>
        <v>0</v>
      </c>
      <c r="AR3" s="68">
        <f t="shared" si="0"/>
        <v>0</v>
      </c>
      <c r="AS3" s="68">
        <f t="shared" si="0"/>
        <v>0</v>
      </c>
      <c r="AT3" s="68">
        <f t="shared" si="0"/>
        <v>0</v>
      </c>
      <c r="AU3" s="68">
        <f t="shared" si="0"/>
        <v>0</v>
      </c>
      <c r="AV3" s="68">
        <f t="shared" si="0"/>
        <v>0</v>
      </c>
      <c r="AW3" s="68">
        <f t="shared" si="0"/>
        <v>0</v>
      </c>
      <c r="AX3" s="68">
        <f t="shared" si="0"/>
        <v>0</v>
      </c>
      <c r="AY3" s="68">
        <f t="shared" si="0"/>
        <v>0</v>
      </c>
      <c r="AZ3" s="68">
        <f t="shared" si="0"/>
        <v>0</v>
      </c>
      <c r="BA3" s="68">
        <f t="shared" si="0"/>
        <v>0</v>
      </c>
      <c r="BB3" s="68">
        <f t="shared" si="0"/>
        <v>0</v>
      </c>
      <c r="BC3" s="68">
        <f t="shared" si="0"/>
        <v>0</v>
      </c>
      <c r="BD3" s="68">
        <f t="shared" si="0"/>
        <v>0</v>
      </c>
      <c r="BE3" s="68">
        <f t="shared" si="0"/>
        <v>0</v>
      </c>
      <c r="BF3" s="68">
        <f t="shared" si="0"/>
        <v>0</v>
      </c>
      <c r="BG3" s="68">
        <f t="shared" si="0"/>
        <v>0</v>
      </c>
      <c r="BH3" s="68">
        <f t="shared" si="0"/>
        <v>0</v>
      </c>
      <c r="BI3" s="68">
        <f t="shared" si="0"/>
        <v>0</v>
      </c>
      <c r="BJ3" s="68">
        <f t="shared" si="0"/>
        <v>0</v>
      </c>
      <c r="BK3" s="68">
        <f t="shared" si="0"/>
        <v>0</v>
      </c>
      <c r="BL3" s="68">
        <f t="shared" si="0"/>
        <v>0</v>
      </c>
      <c r="BM3" s="68">
        <f t="shared" si="0"/>
        <v>0</v>
      </c>
      <c r="BN3" s="68">
        <f t="shared" si="0"/>
        <v>0</v>
      </c>
      <c r="BO3" s="68">
        <f t="shared" si="0"/>
        <v>0</v>
      </c>
      <c r="BP3" s="68">
        <f t="shared" ref="BP3:EA3" si="1">+BP4+BP5</f>
        <v>0</v>
      </c>
      <c r="BQ3" s="68">
        <f t="shared" si="1"/>
        <v>0</v>
      </c>
      <c r="BR3" s="68">
        <f t="shared" si="1"/>
        <v>0</v>
      </c>
      <c r="BS3" s="68">
        <f t="shared" si="1"/>
        <v>0</v>
      </c>
      <c r="BT3" s="68">
        <f t="shared" si="1"/>
        <v>0</v>
      </c>
      <c r="BU3" s="68">
        <f t="shared" si="1"/>
        <v>0</v>
      </c>
      <c r="BV3" s="68">
        <f t="shared" si="1"/>
        <v>0</v>
      </c>
      <c r="BW3" s="68">
        <f t="shared" si="1"/>
        <v>0</v>
      </c>
      <c r="BX3" s="68">
        <f t="shared" si="1"/>
        <v>0</v>
      </c>
      <c r="BY3" s="68">
        <f t="shared" si="1"/>
        <v>0</v>
      </c>
      <c r="BZ3" s="68">
        <f t="shared" si="1"/>
        <v>0</v>
      </c>
      <c r="CA3" s="68">
        <f t="shared" si="1"/>
        <v>0</v>
      </c>
      <c r="CB3" s="68">
        <f t="shared" si="1"/>
        <v>0</v>
      </c>
      <c r="CC3" s="68">
        <f t="shared" si="1"/>
        <v>0</v>
      </c>
      <c r="CD3" s="68">
        <f t="shared" si="1"/>
        <v>0</v>
      </c>
      <c r="CE3" s="68">
        <f t="shared" si="1"/>
        <v>0</v>
      </c>
      <c r="CF3" s="68">
        <f t="shared" si="1"/>
        <v>0</v>
      </c>
      <c r="CG3" s="68">
        <f t="shared" si="1"/>
        <v>0</v>
      </c>
      <c r="CH3" s="68">
        <f t="shared" si="1"/>
        <v>0</v>
      </c>
      <c r="CI3" s="68">
        <f t="shared" si="1"/>
        <v>0</v>
      </c>
      <c r="CJ3" s="68">
        <f t="shared" si="1"/>
        <v>0</v>
      </c>
      <c r="CK3" s="68">
        <f t="shared" si="1"/>
        <v>0</v>
      </c>
      <c r="CL3" s="68">
        <f t="shared" si="1"/>
        <v>0</v>
      </c>
      <c r="CM3" s="68">
        <f t="shared" si="1"/>
        <v>0</v>
      </c>
      <c r="CN3" s="68">
        <f t="shared" si="1"/>
        <v>0</v>
      </c>
      <c r="CO3" s="68">
        <f t="shared" si="1"/>
        <v>0</v>
      </c>
      <c r="CP3" s="68">
        <f t="shared" si="1"/>
        <v>0</v>
      </c>
      <c r="CQ3" s="68">
        <f t="shared" si="1"/>
        <v>0</v>
      </c>
      <c r="CR3" s="68">
        <f t="shared" si="1"/>
        <v>0</v>
      </c>
      <c r="CS3" s="68">
        <f t="shared" si="1"/>
        <v>0</v>
      </c>
      <c r="CT3" s="68">
        <f t="shared" si="1"/>
        <v>0</v>
      </c>
      <c r="CU3" s="68">
        <f t="shared" si="1"/>
        <v>0</v>
      </c>
      <c r="CV3" s="68">
        <f t="shared" si="1"/>
        <v>0</v>
      </c>
      <c r="CW3" s="68">
        <f t="shared" si="1"/>
        <v>0</v>
      </c>
      <c r="CX3" s="68">
        <f t="shared" si="1"/>
        <v>0</v>
      </c>
      <c r="CY3" s="68">
        <f t="shared" si="1"/>
        <v>0</v>
      </c>
      <c r="CZ3" s="68">
        <f t="shared" si="1"/>
        <v>0</v>
      </c>
      <c r="DA3" s="68">
        <f t="shared" si="1"/>
        <v>0</v>
      </c>
      <c r="DB3" s="68">
        <f t="shared" si="1"/>
        <v>0</v>
      </c>
      <c r="DC3" s="68">
        <f t="shared" si="1"/>
        <v>0</v>
      </c>
      <c r="DD3" s="68">
        <f t="shared" si="1"/>
        <v>0</v>
      </c>
      <c r="DE3" s="68">
        <f t="shared" si="1"/>
        <v>0</v>
      </c>
      <c r="DF3" s="68">
        <f t="shared" si="1"/>
        <v>0</v>
      </c>
      <c r="DG3" s="68">
        <f t="shared" si="1"/>
        <v>0</v>
      </c>
      <c r="DH3" s="68">
        <f t="shared" si="1"/>
        <v>0</v>
      </c>
      <c r="DI3" s="68">
        <f t="shared" si="1"/>
        <v>0</v>
      </c>
      <c r="DJ3" s="68">
        <f t="shared" si="1"/>
        <v>0</v>
      </c>
      <c r="DK3" s="68">
        <f t="shared" si="1"/>
        <v>0</v>
      </c>
      <c r="DL3" s="68">
        <f t="shared" si="1"/>
        <v>0</v>
      </c>
      <c r="DM3" s="68">
        <f t="shared" si="1"/>
        <v>0</v>
      </c>
      <c r="DN3" s="68">
        <f t="shared" si="1"/>
        <v>0</v>
      </c>
      <c r="DO3" s="68">
        <f t="shared" si="1"/>
        <v>0</v>
      </c>
      <c r="DP3" s="68">
        <f t="shared" si="1"/>
        <v>0</v>
      </c>
      <c r="DQ3" s="68">
        <f t="shared" si="1"/>
        <v>0</v>
      </c>
      <c r="DR3" s="68">
        <f t="shared" si="1"/>
        <v>0</v>
      </c>
      <c r="DS3" s="68">
        <f t="shared" si="1"/>
        <v>0</v>
      </c>
      <c r="DT3" s="68">
        <f t="shared" si="1"/>
        <v>0</v>
      </c>
      <c r="DU3" s="68">
        <f t="shared" si="1"/>
        <v>0</v>
      </c>
      <c r="DV3" s="68">
        <f t="shared" si="1"/>
        <v>0</v>
      </c>
      <c r="DW3" s="68">
        <f t="shared" si="1"/>
        <v>0</v>
      </c>
      <c r="DX3" s="68">
        <f t="shared" si="1"/>
        <v>0</v>
      </c>
      <c r="DY3" s="68">
        <f t="shared" si="1"/>
        <v>0</v>
      </c>
      <c r="DZ3" s="68">
        <f t="shared" si="1"/>
        <v>0</v>
      </c>
      <c r="EA3" s="68">
        <f t="shared" si="1"/>
        <v>0</v>
      </c>
      <c r="EB3" s="68">
        <f>+EB4+EB5</f>
        <v>0</v>
      </c>
      <c r="EC3" s="68">
        <f>+EC4+EC5</f>
        <v>0</v>
      </c>
      <c r="ED3" s="68">
        <f>+ED4+ED5</f>
        <v>3345352083.9154568</v>
      </c>
    </row>
    <row r="4" spans="2:135" x14ac:dyDescent="0.25">
      <c r="B4" s="36" t="s">
        <v>263</v>
      </c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  <c r="ED4" s="89">
        <f>'6 Valor de Salvamento'!M11</f>
        <v>3345352083.9154568</v>
      </c>
      <c r="EE4" s="36" t="s">
        <v>264</v>
      </c>
    </row>
    <row r="5" spans="2:135" x14ac:dyDescent="0.25"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</row>
    <row r="6" spans="2:135" x14ac:dyDescent="0.25"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  <c r="DB6" s="57"/>
      <c r="DC6" s="57"/>
      <c r="DD6" s="57"/>
      <c r="DE6" s="57"/>
      <c r="DF6" s="57"/>
      <c r="DG6" s="57"/>
      <c r="DH6" s="57"/>
      <c r="DI6" s="57"/>
      <c r="DJ6" s="57"/>
      <c r="DK6" s="57"/>
      <c r="DL6" s="57"/>
      <c r="DM6" s="57"/>
      <c r="DN6" s="57"/>
      <c r="DO6" s="57"/>
      <c r="DP6" s="57"/>
      <c r="DQ6" s="57"/>
      <c r="DR6" s="57"/>
      <c r="DS6" s="57"/>
      <c r="DT6" s="57"/>
      <c r="DU6" s="57"/>
      <c r="DV6" s="57"/>
      <c r="DW6" s="57"/>
      <c r="DX6" s="57"/>
      <c r="DY6" s="57"/>
      <c r="DZ6" s="57"/>
      <c r="EA6" s="57"/>
      <c r="EB6" s="57"/>
      <c r="EC6" s="57"/>
      <c r="ED6" s="57"/>
    </row>
    <row r="7" spans="2:135" s="47" customFormat="1" x14ac:dyDescent="0.25">
      <c r="B7" s="47" t="s">
        <v>89</v>
      </c>
      <c r="C7" s="68">
        <f t="shared" ref="C7:AH7" si="2">+SUM(C8:C13)</f>
        <v>-2900000000</v>
      </c>
      <c r="D7" s="68">
        <f t="shared" si="2"/>
        <v>0</v>
      </c>
      <c r="E7" s="68">
        <f t="shared" si="2"/>
        <v>0</v>
      </c>
      <c r="F7" s="68">
        <f t="shared" si="2"/>
        <v>0</v>
      </c>
      <c r="G7" s="68">
        <f t="shared" si="2"/>
        <v>0</v>
      </c>
      <c r="H7" s="68">
        <f t="shared" si="2"/>
        <v>0</v>
      </c>
      <c r="I7" s="68">
        <f t="shared" si="2"/>
        <v>0</v>
      </c>
      <c r="J7" s="68">
        <f t="shared" si="2"/>
        <v>0</v>
      </c>
      <c r="K7" s="68">
        <f t="shared" si="2"/>
        <v>0</v>
      </c>
      <c r="L7" s="68">
        <f t="shared" si="2"/>
        <v>0</v>
      </c>
      <c r="M7" s="68">
        <f t="shared" si="2"/>
        <v>0</v>
      </c>
      <c r="N7" s="68">
        <f t="shared" si="2"/>
        <v>0</v>
      </c>
      <c r="O7" s="68">
        <f t="shared" si="2"/>
        <v>0</v>
      </c>
      <c r="P7" s="68">
        <f t="shared" si="2"/>
        <v>0</v>
      </c>
      <c r="Q7" s="68">
        <f t="shared" si="2"/>
        <v>0</v>
      </c>
      <c r="R7" s="68">
        <f t="shared" si="2"/>
        <v>0</v>
      </c>
      <c r="S7" s="68">
        <f t="shared" si="2"/>
        <v>0</v>
      </c>
      <c r="T7" s="68">
        <f t="shared" si="2"/>
        <v>0</v>
      </c>
      <c r="U7" s="68">
        <f t="shared" si="2"/>
        <v>0</v>
      </c>
      <c r="V7" s="68">
        <f t="shared" si="2"/>
        <v>0</v>
      </c>
      <c r="W7" s="68">
        <f t="shared" si="2"/>
        <v>0</v>
      </c>
      <c r="X7" s="68">
        <f t="shared" si="2"/>
        <v>0</v>
      </c>
      <c r="Y7" s="68">
        <f t="shared" si="2"/>
        <v>0</v>
      </c>
      <c r="Z7" s="68">
        <f t="shared" si="2"/>
        <v>0</v>
      </c>
      <c r="AA7" s="68">
        <f t="shared" si="2"/>
        <v>0</v>
      </c>
      <c r="AB7" s="68">
        <f t="shared" si="2"/>
        <v>0</v>
      </c>
      <c r="AC7" s="68">
        <f t="shared" si="2"/>
        <v>0</v>
      </c>
      <c r="AD7" s="68">
        <f t="shared" si="2"/>
        <v>0</v>
      </c>
      <c r="AE7" s="68">
        <f t="shared" si="2"/>
        <v>0</v>
      </c>
      <c r="AF7" s="68">
        <f t="shared" si="2"/>
        <v>0</v>
      </c>
      <c r="AG7" s="68">
        <f t="shared" si="2"/>
        <v>0</v>
      </c>
      <c r="AH7" s="68">
        <f t="shared" si="2"/>
        <v>0</v>
      </c>
      <c r="AI7" s="68">
        <f t="shared" ref="AI7:BN7" si="3">+SUM(AI8:AI13)</f>
        <v>0</v>
      </c>
      <c r="AJ7" s="68">
        <f t="shared" si="3"/>
        <v>0</v>
      </c>
      <c r="AK7" s="68">
        <f t="shared" si="3"/>
        <v>0</v>
      </c>
      <c r="AL7" s="68">
        <f t="shared" si="3"/>
        <v>0</v>
      </c>
      <c r="AM7" s="68">
        <f t="shared" si="3"/>
        <v>0</v>
      </c>
      <c r="AN7" s="68">
        <f t="shared" si="3"/>
        <v>0</v>
      </c>
      <c r="AO7" s="68">
        <f t="shared" si="3"/>
        <v>0</v>
      </c>
      <c r="AP7" s="68">
        <f t="shared" si="3"/>
        <v>0</v>
      </c>
      <c r="AQ7" s="68">
        <f t="shared" si="3"/>
        <v>0</v>
      </c>
      <c r="AR7" s="68">
        <f t="shared" si="3"/>
        <v>0</v>
      </c>
      <c r="AS7" s="68">
        <f t="shared" si="3"/>
        <v>0</v>
      </c>
      <c r="AT7" s="68">
        <f t="shared" si="3"/>
        <v>0</v>
      </c>
      <c r="AU7" s="68">
        <f t="shared" si="3"/>
        <v>0</v>
      </c>
      <c r="AV7" s="68">
        <f t="shared" si="3"/>
        <v>0</v>
      </c>
      <c r="AW7" s="68">
        <f t="shared" si="3"/>
        <v>0</v>
      </c>
      <c r="AX7" s="68">
        <f t="shared" si="3"/>
        <v>0</v>
      </c>
      <c r="AY7" s="68">
        <f t="shared" si="3"/>
        <v>0</v>
      </c>
      <c r="AZ7" s="68">
        <f t="shared" si="3"/>
        <v>0</v>
      </c>
      <c r="BA7" s="68">
        <f t="shared" si="3"/>
        <v>0</v>
      </c>
      <c r="BB7" s="68">
        <f t="shared" si="3"/>
        <v>0</v>
      </c>
      <c r="BC7" s="68">
        <f t="shared" si="3"/>
        <v>0</v>
      </c>
      <c r="BD7" s="68">
        <f t="shared" si="3"/>
        <v>0</v>
      </c>
      <c r="BE7" s="68">
        <f t="shared" si="3"/>
        <v>0</v>
      </c>
      <c r="BF7" s="68">
        <f t="shared" si="3"/>
        <v>0</v>
      </c>
      <c r="BG7" s="68">
        <f t="shared" si="3"/>
        <v>0</v>
      </c>
      <c r="BH7" s="68">
        <f t="shared" si="3"/>
        <v>0</v>
      </c>
      <c r="BI7" s="68">
        <f t="shared" si="3"/>
        <v>0</v>
      </c>
      <c r="BJ7" s="68">
        <f t="shared" si="3"/>
        <v>0</v>
      </c>
      <c r="BK7" s="68">
        <f t="shared" si="3"/>
        <v>0</v>
      </c>
      <c r="BL7" s="68">
        <f t="shared" si="3"/>
        <v>0</v>
      </c>
      <c r="BM7" s="68">
        <f t="shared" si="3"/>
        <v>0</v>
      </c>
      <c r="BN7" s="68">
        <f t="shared" si="3"/>
        <v>0</v>
      </c>
      <c r="BO7" s="68">
        <f t="shared" ref="BO7:CT7" si="4">+SUM(BO8:BO13)</f>
        <v>0</v>
      </c>
      <c r="BP7" s="68">
        <f t="shared" si="4"/>
        <v>0</v>
      </c>
      <c r="BQ7" s="68">
        <f t="shared" si="4"/>
        <v>0</v>
      </c>
      <c r="BR7" s="68">
        <f t="shared" si="4"/>
        <v>0</v>
      </c>
      <c r="BS7" s="68">
        <f t="shared" si="4"/>
        <v>0</v>
      </c>
      <c r="BT7" s="68">
        <f t="shared" si="4"/>
        <v>0</v>
      </c>
      <c r="BU7" s="68">
        <f t="shared" si="4"/>
        <v>0</v>
      </c>
      <c r="BV7" s="68">
        <f t="shared" si="4"/>
        <v>0</v>
      </c>
      <c r="BW7" s="68">
        <f t="shared" si="4"/>
        <v>0</v>
      </c>
      <c r="BX7" s="68">
        <f t="shared" si="4"/>
        <v>0</v>
      </c>
      <c r="BY7" s="68">
        <f t="shared" si="4"/>
        <v>0</v>
      </c>
      <c r="BZ7" s="68">
        <f t="shared" si="4"/>
        <v>0</v>
      </c>
      <c r="CA7" s="68">
        <f t="shared" si="4"/>
        <v>0</v>
      </c>
      <c r="CB7" s="68">
        <f t="shared" si="4"/>
        <v>0</v>
      </c>
      <c r="CC7" s="68">
        <f t="shared" si="4"/>
        <v>0</v>
      </c>
      <c r="CD7" s="68">
        <f t="shared" si="4"/>
        <v>0</v>
      </c>
      <c r="CE7" s="68">
        <f t="shared" si="4"/>
        <v>0</v>
      </c>
      <c r="CF7" s="68">
        <f t="shared" si="4"/>
        <v>0</v>
      </c>
      <c r="CG7" s="68">
        <f t="shared" si="4"/>
        <v>0</v>
      </c>
      <c r="CH7" s="68">
        <f t="shared" si="4"/>
        <v>0</v>
      </c>
      <c r="CI7" s="68">
        <f t="shared" si="4"/>
        <v>0</v>
      </c>
      <c r="CJ7" s="68">
        <f t="shared" si="4"/>
        <v>0</v>
      </c>
      <c r="CK7" s="68">
        <f t="shared" si="4"/>
        <v>0</v>
      </c>
      <c r="CL7" s="68">
        <f t="shared" si="4"/>
        <v>0</v>
      </c>
      <c r="CM7" s="68">
        <f t="shared" si="4"/>
        <v>0</v>
      </c>
      <c r="CN7" s="68">
        <f t="shared" si="4"/>
        <v>0</v>
      </c>
      <c r="CO7" s="68">
        <f t="shared" si="4"/>
        <v>0</v>
      </c>
      <c r="CP7" s="68">
        <f t="shared" si="4"/>
        <v>0</v>
      </c>
      <c r="CQ7" s="68">
        <f t="shared" si="4"/>
        <v>0</v>
      </c>
      <c r="CR7" s="68">
        <f t="shared" si="4"/>
        <v>0</v>
      </c>
      <c r="CS7" s="68">
        <f t="shared" si="4"/>
        <v>0</v>
      </c>
      <c r="CT7" s="68">
        <f t="shared" si="4"/>
        <v>0</v>
      </c>
      <c r="CU7" s="68">
        <f t="shared" ref="CU7:DZ7" si="5">+SUM(CU8:CU13)</f>
        <v>0</v>
      </c>
      <c r="CV7" s="68">
        <f t="shared" si="5"/>
        <v>0</v>
      </c>
      <c r="CW7" s="68">
        <f t="shared" si="5"/>
        <v>0</v>
      </c>
      <c r="CX7" s="68">
        <f t="shared" si="5"/>
        <v>0</v>
      </c>
      <c r="CY7" s="68">
        <f t="shared" si="5"/>
        <v>0</v>
      </c>
      <c r="CZ7" s="68">
        <f t="shared" si="5"/>
        <v>0</v>
      </c>
      <c r="DA7" s="68">
        <f t="shared" si="5"/>
        <v>0</v>
      </c>
      <c r="DB7" s="68">
        <f t="shared" si="5"/>
        <v>0</v>
      </c>
      <c r="DC7" s="68">
        <f t="shared" si="5"/>
        <v>0</v>
      </c>
      <c r="DD7" s="68">
        <f t="shared" si="5"/>
        <v>0</v>
      </c>
      <c r="DE7" s="68">
        <f t="shared" si="5"/>
        <v>0</v>
      </c>
      <c r="DF7" s="68">
        <f t="shared" si="5"/>
        <v>0</v>
      </c>
      <c r="DG7" s="68">
        <f t="shared" si="5"/>
        <v>0</v>
      </c>
      <c r="DH7" s="68">
        <f t="shared" si="5"/>
        <v>0</v>
      </c>
      <c r="DI7" s="68">
        <f t="shared" si="5"/>
        <v>0</v>
      </c>
      <c r="DJ7" s="68">
        <f t="shared" si="5"/>
        <v>0</v>
      </c>
      <c r="DK7" s="68">
        <f t="shared" si="5"/>
        <v>0</v>
      </c>
      <c r="DL7" s="68">
        <f t="shared" si="5"/>
        <v>0</v>
      </c>
      <c r="DM7" s="68">
        <f t="shared" si="5"/>
        <v>0</v>
      </c>
      <c r="DN7" s="68">
        <f t="shared" si="5"/>
        <v>0</v>
      </c>
      <c r="DO7" s="68">
        <f t="shared" si="5"/>
        <v>0</v>
      </c>
      <c r="DP7" s="68">
        <f t="shared" si="5"/>
        <v>0</v>
      </c>
      <c r="DQ7" s="68">
        <f t="shared" si="5"/>
        <v>0</v>
      </c>
      <c r="DR7" s="68">
        <f t="shared" si="5"/>
        <v>0</v>
      </c>
      <c r="DS7" s="68">
        <f t="shared" si="5"/>
        <v>0</v>
      </c>
      <c r="DT7" s="68">
        <f t="shared" si="5"/>
        <v>0</v>
      </c>
      <c r="DU7" s="68">
        <f t="shared" si="5"/>
        <v>0</v>
      </c>
      <c r="DV7" s="68">
        <f t="shared" si="5"/>
        <v>0</v>
      </c>
      <c r="DW7" s="68">
        <f t="shared" si="5"/>
        <v>0</v>
      </c>
      <c r="DX7" s="68">
        <f t="shared" si="5"/>
        <v>0</v>
      </c>
      <c r="DY7" s="68">
        <f t="shared" si="5"/>
        <v>0</v>
      </c>
      <c r="DZ7" s="68">
        <f t="shared" si="5"/>
        <v>0</v>
      </c>
      <c r="EA7" s="68">
        <f t="shared" ref="EA7:ED7" si="6">+SUM(EA8:EA13)</f>
        <v>0</v>
      </c>
      <c r="EB7" s="68">
        <f t="shared" si="6"/>
        <v>0</v>
      </c>
      <c r="EC7" s="68">
        <f t="shared" si="6"/>
        <v>0</v>
      </c>
      <c r="ED7" s="68">
        <f t="shared" si="6"/>
        <v>0</v>
      </c>
    </row>
    <row r="8" spans="2:135" x14ac:dyDescent="0.25">
      <c r="B8" s="36" t="str">
        <f>+'7 Informacion Base'!B30</f>
        <v>EDIFICIO</v>
      </c>
      <c r="C8" s="57">
        <f>-'7 Informacion Base'!C30</f>
        <v>-1760000000</v>
      </c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  <c r="DE8" s="57"/>
      <c r="DF8" s="57"/>
      <c r="DG8" s="57"/>
      <c r="DH8" s="57"/>
      <c r="DI8" s="57"/>
      <c r="DJ8" s="57"/>
      <c r="DK8" s="57"/>
      <c r="DL8" s="57"/>
      <c r="DM8" s="57"/>
      <c r="DN8" s="57"/>
      <c r="DO8" s="57"/>
      <c r="DP8" s="57"/>
      <c r="DQ8" s="57"/>
      <c r="DR8" s="57"/>
      <c r="DS8" s="57"/>
      <c r="DT8" s="57"/>
      <c r="DU8" s="57"/>
      <c r="DV8" s="57"/>
      <c r="DW8" s="57"/>
      <c r="DX8" s="57"/>
      <c r="DY8" s="57"/>
      <c r="DZ8" s="57"/>
      <c r="EA8" s="57"/>
      <c r="EB8" s="57"/>
      <c r="EC8" s="57"/>
      <c r="ED8" s="57"/>
    </row>
    <row r="9" spans="2:135" x14ac:dyDescent="0.25">
      <c r="B9" s="36" t="str">
        <f>+'7 Informacion Base'!B31</f>
        <v>TERRENO</v>
      </c>
      <c r="C9" s="57">
        <f>-'7 Informacion Base'!C31</f>
        <v>-500000000</v>
      </c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/>
      <c r="CR9" s="57"/>
      <c r="CS9" s="57"/>
      <c r="CT9" s="57"/>
      <c r="CU9" s="57"/>
      <c r="CV9" s="57"/>
      <c r="CW9" s="57"/>
      <c r="CX9" s="57"/>
      <c r="CY9" s="57"/>
      <c r="CZ9" s="57"/>
      <c r="DA9" s="57"/>
      <c r="DB9" s="57"/>
      <c r="DC9" s="57"/>
      <c r="DD9" s="57"/>
      <c r="DE9" s="57"/>
      <c r="DF9" s="57"/>
      <c r="DG9" s="57"/>
      <c r="DH9" s="57"/>
      <c r="DI9" s="57"/>
      <c r="DJ9" s="57"/>
      <c r="DK9" s="57"/>
      <c r="DL9" s="57"/>
      <c r="DM9" s="57"/>
      <c r="DN9" s="57"/>
      <c r="DO9" s="57"/>
      <c r="DP9" s="57"/>
      <c r="DQ9" s="57"/>
      <c r="DR9" s="57"/>
      <c r="DS9" s="57"/>
      <c r="DT9" s="57"/>
      <c r="DU9" s="57"/>
      <c r="DV9" s="57"/>
      <c r="DW9" s="57"/>
      <c r="DX9" s="57"/>
      <c r="DY9" s="57"/>
      <c r="DZ9" s="57"/>
      <c r="EA9" s="57"/>
      <c r="EB9" s="57"/>
      <c r="EC9" s="57"/>
      <c r="ED9" s="57"/>
    </row>
    <row r="10" spans="2:135" x14ac:dyDescent="0.25">
      <c r="B10" s="36" t="str">
        <f>+'7 Informacion Base'!B32</f>
        <v>MUEBLES Y ENSERES</v>
      </c>
      <c r="C10" s="57">
        <f>-'7 Informacion Base'!C32</f>
        <v>-357500000</v>
      </c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57"/>
      <c r="BR10" s="57"/>
      <c r="BS10" s="57"/>
      <c r="BT10" s="57"/>
      <c r="BU10" s="57"/>
      <c r="BV10" s="57"/>
      <c r="BW10" s="57"/>
      <c r="BX10" s="57"/>
      <c r="BY10" s="57"/>
      <c r="BZ10" s="57"/>
      <c r="CA10" s="57"/>
      <c r="CB10" s="57"/>
      <c r="CC10" s="57"/>
      <c r="CD10" s="57"/>
      <c r="CE10" s="57"/>
      <c r="CF10" s="57"/>
      <c r="CG10" s="57"/>
      <c r="CH10" s="57"/>
      <c r="CI10" s="57"/>
      <c r="CJ10" s="57"/>
      <c r="CK10" s="57"/>
      <c r="CL10" s="57"/>
      <c r="CM10" s="57"/>
      <c r="CN10" s="57"/>
      <c r="CO10" s="57"/>
      <c r="CP10" s="57"/>
      <c r="CQ10" s="57"/>
      <c r="CR10" s="57"/>
      <c r="CS10" s="57"/>
      <c r="CT10" s="57"/>
      <c r="CU10" s="57"/>
      <c r="CV10" s="57"/>
      <c r="CW10" s="57"/>
      <c r="CX10" s="57"/>
      <c r="CY10" s="57"/>
      <c r="CZ10" s="57"/>
      <c r="DA10" s="57"/>
      <c r="DB10" s="57"/>
      <c r="DC10" s="57"/>
      <c r="DD10" s="57"/>
      <c r="DE10" s="57"/>
      <c r="DF10" s="57"/>
      <c r="DG10" s="57"/>
      <c r="DH10" s="57"/>
      <c r="DI10" s="57"/>
      <c r="DJ10" s="57"/>
      <c r="DK10" s="57"/>
      <c r="DL10" s="57"/>
      <c r="DM10" s="57"/>
      <c r="DN10" s="57"/>
      <c r="DO10" s="57"/>
      <c r="DP10" s="57"/>
      <c r="DQ10" s="57"/>
      <c r="DR10" s="57"/>
      <c r="DS10" s="57"/>
      <c r="DT10" s="57"/>
      <c r="DU10" s="57"/>
      <c r="DV10" s="57"/>
      <c r="DW10" s="57"/>
      <c r="DX10" s="57"/>
      <c r="DY10" s="57"/>
      <c r="DZ10" s="57"/>
      <c r="EA10" s="57"/>
      <c r="EB10" s="57"/>
      <c r="EC10" s="57"/>
      <c r="ED10" s="57"/>
    </row>
    <row r="11" spans="2:135" x14ac:dyDescent="0.25">
      <c r="B11" s="36" t="s">
        <v>153</v>
      </c>
      <c r="C11" s="57">
        <f>-'7 Informacion Base'!C34</f>
        <v>-100000000</v>
      </c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  <c r="CA11" s="57"/>
      <c r="CB11" s="57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/>
      <c r="CR11" s="57"/>
      <c r="CS11" s="57"/>
      <c r="CT11" s="57"/>
      <c r="CU11" s="57"/>
      <c r="CV11" s="57"/>
      <c r="CW11" s="57"/>
      <c r="CX11" s="57"/>
      <c r="CY11" s="57"/>
      <c r="CZ11" s="57"/>
      <c r="DA11" s="57"/>
      <c r="DB11" s="57"/>
      <c r="DC11" s="57"/>
      <c r="DD11" s="57"/>
      <c r="DE11" s="57"/>
      <c r="DF11" s="57"/>
      <c r="DG11" s="57"/>
      <c r="DH11" s="57"/>
      <c r="DI11" s="57"/>
      <c r="DJ11" s="57"/>
      <c r="DK11" s="57"/>
      <c r="DL11" s="57"/>
      <c r="DM11" s="57"/>
      <c r="DN11" s="57"/>
      <c r="DO11" s="57"/>
      <c r="DP11" s="57"/>
      <c r="DQ11" s="57"/>
      <c r="DR11" s="57"/>
      <c r="DS11" s="57"/>
      <c r="DT11" s="57"/>
      <c r="DU11" s="57"/>
      <c r="DV11" s="57"/>
      <c r="DW11" s="57"/>
      <c r="DX11" s="57"/>
      <c r="DY11" s="57"/>
      <c r="DZ11" s="57"/>
      <c r="EA11" s="57"/>
      <c r="EB11" s="57"/>
      <c r="EC11" s="57"/>
      <c r="ED11" s="57"/>
    </row>
    <row r="12" spans="2:135" x14ac:dyDescent="0.25">
      <c r="B12" s="36" t="s">
        <v>157</v>
      </c>
      <c r="C12" s="57">
        <f>-'7 Informacion Base'!C35</f>
        <v>-102500000</v>
      </c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7"/>
      <c r="CA12" s="57"/>
      <c r="CB12" s="57"/>
      <c r="CC12" s="57"/>
      <c r="CD12" s="57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O12" s="57"/>
      <c r="CP12" s="57"/>
      <c r="CQ12" s="57"/>
      <c r="CR12" s="57"/>
      <c r="CS12" s="57"/>
      <c r="CT12" s="57"/>
      <c r="CU12" s="57"/>
      <c r="CV12" s="57"/>
      <c r="CW12" s="57"/>
      <c r="CX12" s="57"/>
      <c r="CY12" s="57"/>
      <c r="CZ12" s="57"/>
      <c r="DA12" s="57"/>
      <c r="DB12" s="57"/>
      <c r="DC12" s="57"/>
      <c r="DD12" s="57"/>
      <c r="DE12" s="57"/>
      <c r="DF12" s="57"/>
      <c r="DG12" s="57"/>
      <c r="DH12" s="57"/>
      <c r="DI12" s="57"/>
      <c r="DJ12" s="57"/>
      <c r="DK12" s="57"/>
      <c r="DL12" s="57"/>
      <c r="DM12" s="57"/>
      <c r="DN12" s="57"/>
      <c r="DO12" s="57"/>
      <c r="DP12" s="57"/>
      <c r="DQ12" s="57"/>
      <c r="DR12" s="57"/>
      <c r="DS12" s="57"/>
      <c r="DT12" s="57"/>
      <c r="DU12" s="57"/>
      <c r="DV12" s="57"/>
      <c r="DW12" s="57"/>
      <c r="DX12" s="57"/>
      <c r="DY12" s="57"/>
      <c r="DZ12" s="57"/>
      <c r="EA12" s="57"/>
      <c r="EB12" s="57"/>
      <c r="EC12" s="57"/>
      <c r="ED12" s="57"/>
    </row>
    <row r="13" spans="2:135" x14ac:dyDescent="0.25">
      <c r="B13" s="36" t="str">
        <f>+'7 Informacion Base'!B33</f>
        <v>VEHICULOS</v>
      </c>
      <c r="C13" s="57">
        <f>-'7 Informacion Base'!C33</f>
        <v>-80000000</v>
      </c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/>
      <c r="DJ13" s="57"/>
      <c r="DK13" s="57"/>
      <c r="DL13" s="57"/>
      <c r="DM13" s="57"/>
      <c r="DN13" s="57"/>
      <c r="DO13" s="57"/>
      <c r="DP13" s="57"/>
      <c r="DQ13" s="57"/>
      <c r="DR13" s="57"/>
      <c r="DS13" s="57"/>
      <c r="DT13" s="57"/>
      <c r="DU13" s="57"/>
      <c r="DV13" s="57"/>
      <c r="DW13" s="57"/>
      <c r="DX13" s="57"/>
      <c r="DY13" s="57"/>
      <c r="DZ13" s="57"/>
      <c r="EA13" s="57"/>
      <c r="EB13" s="57"/>
      <c r="EC13" s="57"/>
      <c r="ED13" s="57"/>
    </row>
    <row r="14" spans="2:135" x14ac:dyDescent="0.25"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57"/>
      <c r="CB14" s="57"/>
      <c r="CC14" s="57"/>
      <c r="CD14" s="57"/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O14" s="57"/>
      <c r="CP14" s="57"/>
      <c r="CQ14" s="57"/>
      <c r="CR14" s="57"/>
      <c r="CS14" s="57"/>
      <c r="CT14" s="57"/>
      <c r="CU14" s="57"/>
      <c r="CV14" s="57"/>
      <c r="CW14" s="57"/>
      <c r="CX14" s="57"/>
      <c r="CY14" s="57"/>
      <c r="CZ14" s="57"/>
      <c r="DA14" s="57"/>
      <c r="DB14" s="57"/>
      <c r="DC14" s="57"/>
      <c r="DD14" s="57"/>
      <c r="DE14" s="57"/>
      <c r="DF14" s="57"/>
      <c r="DG14" s="57"/>
      <c r="DH14" s="57"/>
      <c r="DI14" s="57"/>
      <c r="DJ14" s="57"/>
      <c r="DK14" s="57"/>
      <c r="DL14" s="57"/>
      <c r="DM14" s="57"/>
      <c r="DN14" s="57"/>
      <c r="DO14" s="57"/>
      <c r="DP14" s="57"/>
      <c r="DQ14" s="57"/>
      <c r="DR14" s="57"/>
      <c r="DS14" s="57"/>
      <c r="DT14" s="57"/>
      <c r="DU14" s="57"/>
      <c r="DV14" s="57"/>
      <c r="DW14" s="57"/>
      <c r="DX14" s="57"/>
      <c r="DY14" s="57"/>
      <c r="DZ14" s="57"/>
      <c r="EA14" s="57"/>
      <c r="EB14" s="57"/>
      <c r="EC14" s="57"/>
      <c r="ED14" s="57"/>
    </row>
    <row r="15" spans="2:135" s="47" customFormat="1" x14ac:dyDescent="0.25">
      <c r="B15" s="47" t="s">
        <v>90</v>
      </c>
      <c r="C15" s="68">
        <f t="shared" ref="C15:AH15" si="7">+C3+C7</f>
        <v>-2900000000</v>
      </c>
      <c r="D15" s="68">
        <f t="shared" si="7"/>
        <v>0</v>
      </c>
      <c r="E15" s="68">
        <f t="shared" si="7"/>
        <v>0</v>
      </c>
      <c r="F15" s="68">
        <f t="shared" si="7"/>
        <v>0</v>
      </c>
      <c r="G15" s="68">
        <f t="shared" si="7"/>
        <v>0</v>
      </c>
      <c r="H15" s="68">
        <f t="shared" si="7"/>
        <v>0</v>
      </c>
      <c r="I15" s="68">
        <f t="shared" si="7"/>
        <v>0</v>
      </c>
      <c r="J15" s="68">
        <f t="shared" si="7"/>
        <v>0</v>
      </c>
      <c r="K15" s="68">
        <f t="shared" si="7"/>
        <v>0</v>
      </c>
      <c r="L15" s="68">
        <f t="shared" si="7"/>
        <v>0</v>
      </c>
      <c r="M15" s="68">
        <f t="shared" si="7"/>
        <v>0</v>
      </c>
      <c r="N15" s="68">
        <f t="shared" si="7"/>
        <v>0</v>
      </c>
      <c r="O15" s="68">
        <f t="shared" si="7"/>
        <v>0</v>
      </c>
      <c r="P15" s="68">
        <f t="shared" si="7"/>
        <v>0</v>
      </c>
      <c r="Q15" s="68">
        <f t="shared" si="7"/>
        <v>0</v>
      </c>
      <c r="R15" s="68">
        <f t="shared" si="7"/>
        <v>0</v>
      </c>
      <c r="S15" s="68">
        <f t="shared" si="7"/>
        <v>0</v>
      </c>
      <c r="T15" s="68">
        <f t="shared" si="7"/>
        <v>0</v>
      </c>
      <c r="U15" s="68">
        <f t="shared" si="7"/>
        <v>0</v>
      </c>
      <c r="V15" s="68">
        <f t="shared" si="7"/>
        <v>0</v>
      </c>
      <c r="W15" s="68">
        <f t="shared" si="7"/>
        <v>0</v>
      </c>
      <c r="X15" s="68">
        <f t="shared" si="7"/>
        <v>0</v>
      </c>
      <c r="Y15" s="68">
        <f t="shared" si="7"/>
        <v>0</v>
      </c>
      <c r="Z15" s="68">
        <f t="shared" si="7"/>
        <v>0</v>
      </c>
      <c r="AA15" s="68">
        <f t="shared" si="7"/>
        <v>0</v>
      </c>
      <c r="AB15" s="68">
        <f t="shared" si="7"/>
        <v>0</v>
      </c>
      <c r="AC15" s="68">
        <f t="shared" si="7"/>
        <v>0</v>
      </c>
      <c r="AD15" s="68">
        <f t="shared" si="7"/>
        <v>0</v>
      </c>
      <c r="AE15" s="68">
        <f t="shared" si="7"/>
        <v>0</v>
      </c>
      <c r="AF15" s="68">
        <f t="shared" si="7"/>
        <v>0</v>
      </c>
      <c r="AG15" s="68">
        <f t="shared" si="7"/>
        <v>0</v>
      </c>
      <c r="AH15" s="68">
        <f t="shared" si="7"/>
        <v>0</v>
      </c>
      <c r="AI15" s="68">
        <f t="shared" ref="AI15:BN15" si="8">+AI3+AI7</f>
        <v>0</v>
      </c>
      <c r="AJ15" s="68">
        <f t="shared" si="8"/>
        <v>0</v>
      </c>
      <c r="AK15" s="68">
        <f t="shared" si="8"/>
        <v>0</v>
      </c>
      <c r="AL15" s="68">
        <f t="shared" si="8"/>
        <v>0</v>
      </c>
      <c r="AM15" s="68">
        <f t="shared" si="8"/>
        <v>0</v>
      </c>
      <c r="AN15" s="68">
        <f t="shared" si="8"/>
        <v>0</v>
      </c>
      <c r="AO15" s="68">
        <f t="shared" si="8"/>
        <v>0</v>
      </c>
      <c r="AP15" s="68">
        <f t="shared" si="8"/>
        <v>0</v>
      </c>
      <c r="AQ15" s="68">
        <f t="shared" si="8"/>
        <v>0</v>
      </c>
      <c r="AR15" s="68">
        <f t="shared" si="8"/>
        <v>0</v>
      </c>
      <c r="AS15" s="68">
        <f t="shared" si="8"/>
        <v>0</v>
      </c>
      <c r="AT15" s="68">
        <f t="shared" si="8"/>
        <v>0</v>
      </c>
      <c r="AU15" s="68">
        <f t="shared" si="8"/>
        <v>0</v>
      </c>
      <c r="AV15" s="68">
        <f t="shared" si="8"/>
        <v>0</v>
      </c>
      <c r="AW15" s="68">
        <f t="shared" si="8"/>
        <v>0</v>
      </c>
      <c r="AX15" s="68">
        <f t="shared" si="8"/>
        <v>0</v>
      </c>
      <c r="AY15" s="68">
        <f t="shared" si="8"/>
        <v>0</v>
      </c>
      <c r="AZ15" s="68">
        <f t="shared" si="8"/>
        <v>0</v>
      </c>
      <c r="BA15" s="68">
        <f t="shared" si="8"/>
        <v>0</v>
      </c>
      <c r="BB15" s="68">
        <f t="shared" si="8"/>
        <v>0</v>
      </c>
      <c r="BC15" s="68">
        <f t="shared" si="8"/>
        <v>0</v>
      </c>
      <c r="BD15" s="68">
        <f t="shared" si="8"/>
        <v>0</v>
      </c>
      <c r="BE15" s="68">
        <f t="shared" si="8"/>
        <v>0</v>
      </c>
      <c r="BF15" s="68">
        <f t="shared" si="8"/>
        <v>0</v>
      </c>
      <c r="BG15" s="68">
        <f t="shared" si="8"/>
        <v>0</v>
      </c>
      <c r="BH15" s="68">
        <f t="shared" si="8"/>
        <v>0</v>
      </c>
      <c r="BI15" s="68">
        <f t="shared" si="8"/>
        <v>0</v>
      </c>
      <c r="BJ15" s="68">
        <f t="shared" si="8"/>
        <v>0</v>
      </c>
      <c r="BK15" s="68">
        <f t="shared" si="8"/>
        <v>0</v>
      </c>
      <c r="BL15" s="68">
        <f t="shared" si="8"/>
        <v>0</v>
      </c>
      <c r="BM15" s="68">
        <f t="shared" si="8"/>
        <v>0</v>
      </c>
      <c r="BN15" s="68">
        <f t="shared" si="8"/>
        <v>0</v>
      </c>
      <c r="BO15" s="68">
        <f t="shared" ref="BO15:CT15" si="9">+BO3+BO7</f>
        <v>0</v>
      </c>
      <c r="BP15" s="68">
        <f t="shared" si="9"/>
        <v>0</v>
      </c>
      <c r="BQ15" s="68">
        <f t="shared" si="9"/>
        <v>0</v>
      </c>
      <c r="BR15" s="68">
        <f t="shared" si="9"/>
        <v>0</v>
      </c>
      <c r="BS15" s="68">
        <f t="shared" si="9"/>
        <v>0</v>
      </c>
      <c r="BT15" s="68">
        <f t="shared" si="9"/>
        <v>0</v>
      </c>
      <c r="BU15" s="68">
        <f t="shared" si="9"/>
        <v>0</v>
      </c>
      <c r="BV15" s="68">
        <f t="shared" si="9"/>
        <v>0</v>
      </c>
      <c r="BW15" s="68">
        <f t="shared" si="9"/>
        <v>0</v>
      </c>
      <c r="BX15" s="68">
        <f t="shared" si="9"/>
        <v>0</v>
      </c>
      <c r="BY15" s="68">
        <f t="shared" si="9"/>
        <v>0</v>
      </c>
      <c r="BZ15" s="68">
        <f t="shared" si="9"/>
        <v>0</v>
      </c>
      <c r="CA15" s="68">
        <f t="shared" si="9"/>
        <v>0</v>
      </c>
      <c r="CB15" s="68">
        <f t="shared" si="9"/>
        <v>0</v>
      </c>
      <c r="CC15" s="68">
        <f t="shared" si="9"/>
        <v>0</v>
      </c>
      <c r="CD15" s="68">
        <f t="shared" si="9"/>
        <v>0</v>
      </c>
      <c r="CE15" s="68">
        <f t="shared" si="9"/>
        <v>0</v>
      </c>
      <c r="CF15" s="68">
        <f t="shared" si="9"/>
        <v>0</v>
      </c>
      <c r="CG15" s="68">
        <f t="shared" si="9"/>
        <v>0</v>
      </c>
      <c r="CH15" s="68">
        <f t="shared" si="9"/>
        <v>0</v>
      </c>
      <c r="CI15" s="68">
        <f t="shared" si="9"/>
        <v>0</v>
      </c>
      <c r="CJ15" s="68">
        <f t="shared" si="9"/>
        <v>0</v>
      </c>
      <c r="CK15" s="68">
        <f t="shared" si="9"/>
        <v>0</v>
      </c>
      <c r="CL15" s="68">
        <f t="shared" si="9"/>
        <v>0</v>
      </c>
      <c r="CM15" s="68">
        <f t="shared" si="9"/>
        <v>0</v>
      </c>
      <c r="CN15" s="68">
        <f t="shared" si="9"/>
        <v>0</v>
      </c>
      <c r="CO15" s="68">
        <f t="shared" si="9"/>
        <v>0</v>
      </c>
      <c r="CP15" s="68">
        <f t="shared" si="9"/>
        <v>0</v>
      </c>
      <c r="CQ15" s="68">
        <f t="shared" si="9"/>
        <v>0</v>
      </c>
      <c r="CR15" s="68">
        <f t="shared" si="9"/>
        <v>0</v>
      </c>
      <c r="CS15" s="68">
        <f t="shared" si="9"/>
        <v>0</v>
      </c>
      <c r="CT15" s="68">
        <f t="shared" si="9"/>
        <v>0</v>
      </c>
      <c r="CU15" s="68">
        <f t="shared" ref="CU15:ED15" si="10">+CU3+CU7</f>
        <v>0</v>
      </c>
      <c r="CV15" s="68">
        <f t="shared" si="10"/>
        <v>0</v>
      </c>
      <c r="CW15" s="68">
        <f t="shared" si="10"/>
        <v>0</v>
      </c>
      <c r="CX15" s="68">
        <f t="shared" si="10"/>
        <v>0</v>
      </c>
      <c r="CY15" s="68">
        <f t="shared" si="10"/>
        <v>0</v>
      </c>
      <c r="CZ15" s="68">
        <f t="shared" si="10"/>
        <v>0</v>
      </c>
      <c r="DA15" s="68">
        <f t="shared" si="10"/>
        <v>0</v>
      </c>
      <c r="DB15" s="68">
        <f t="shared" si="10"/>
        <v>0</v>
      </c>
      <c r="DC15" s="68">
        <f t="shared" si="10"/>
        <v>0</v>
      </c>
      <c r="DD15" s="68">
        <f t="shared" si="10"/>
        <v>0</v>
      </c>
      <c r="DE15" s="68">
        <f t="shared" si="10"/>
        <v>0</v>
      </c>
      <c r="DF15" s="68">
        <f t="shared" si="10"/>
        <v>0</v>
      </c>
      <c r="DG15" s="68">
        <f t="shared" si="10"/>
        <v>0</v>
      </c>
      <c r="DH15" s="68">
        <f t="shared" si="10"/>
        <v>0</v>
      </c>
      <c r="DI15" s="68">
        <f t="shared" si="10"/>
        <v>0</v>
      </c>
      <c r="DJ15" s="68">
        <f t="shared" si="10"/>
        <v>0</v>
      </c>
      <c r="DK15" s="68">
        <f t="shared" si="10"/>
        <v>0</v>
      </c>
      <c r="DL15" s="68">
        <f t="shared" si="10"/>
        <v>0</v>
      </c>
      <c r="DM15" s="68">
        <f t="shared" si="10"/>
        <v>0</v>
      </c>
      <c r="DN15" s="68">
        <f t="shared" si="10"/>
        <v>0</v>
      </c>
      <c r="DO15" s="68">
        <f t="shared" si="10"/>
        <v>0</v>
      </c>
      <c r="DP15" s="68">
        <f t="shared" si="10"/>
        <v>0</v>
      </c>
      <c r="DQ15" s="68">
        <f t="shared" si="10"/>
        <v>0</v>
      </c>
      <c r="DR15" s="68">
        <f t="shared" si="10"/>
        <v>0</v>
      </c>
      <c r="DS15" s="68">
        <f t="shared" si="10"/>
        <v>0</v>
      </c>
      <c r="DT15" s="68">
        <f t="shared" si="10"/>
        <v>0</v>
      </c>
      <c r="DU15" s="68">
        <f t="shared" si="10"/>
        <v>0</v>
      </c>
      <c r="DV15" s="68">
        <f t="shared" si="10"/>
        <v>0</v>
      </c>
      <c r="DW15" s="68">
        <f t="shared" si="10"/>
        <v>0</v>
      </c>
      <c r="DX15" s="68">
        <f t="shared" si="10"/>
        <v>0</v>
      </c>
      <c r="DY15" s="68">
        <f t="shared" si="10"/>
        <v>0</v>
      </c>
      <c r="DZ15" s="68">
        <f t="shared" si="10"/>
        <v>0</v>
      </c>
      <c r="EA15" s="68">
        <f t="shared" si="10"/>
        <v>0</v>
      </c>
      <c r="EB15" s="68">
        <f t="shared" si="10"/>
        <v>0</v>
      </c>
      <c r="EC15" s="68">
        <f t="shared" si="10"/>
        <v>0</v>
      </c>
      <c r="ED15" s="68">
        <f t="shared" si="10"/>
        <v>3345352083.9154568</v>
      </c>
    </row>
    <row r="19" spans="2:13" x14ac:dyDescent="0.25">
      <c r="B19" s="84" t="s">
        <v>162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</row>
    <row r="20" spans="2:13" x14ac:dyDescent="0.25">
      <c r="B20" s="45"/>
    </row>
    <row r="21" spans="2:13" x14ac:dyDescent="0.25">
      <c r="B21" s="45"/>
    </row>
    <row r="22" spans="2:13" s="81" customFormat="1" x14ac:dyDescent="0.25">
      <c r="B22" s="79"/>
      <c r="C22" s="80">
        <f>+SUM(C1:N1)</f>
        <v>2021</v>
      </c>
      <c r="D22" s="80">
        <f>+SUM(O1:Z1)</f>
        <v>2022</v>
      </c>
      <c r="E22" s="80">
        <f>+SUM(AA1:AL1)</f>
        <v>2023</v>
      </c>
      <c r="F22" s="80">
        <f>+SUM(AM1:AX1)</f>
        <v>2024</v>
      </c>
      <c r="G22" s="80">
        <f>+SUM(AY1:BJ1)</f>
        <v>2025</v>
      </c>
      <c r="H22" s="80">
        <f>+SUM(BK1:BV1)</f>
        <v>2026</v>
      </c>
      <c r="I22" s="80">
        <f>+SUM(BW1:CH1)</f>
        <v>2027</v>
      </c>
      <c r="J22" s="80">
        <f>+SUM(CI1:CT1)</f>
        <v>2028</v>
      </c>
      <c r="K22" s="80">
        <f>+SUM(CU1:DF1)</f>
        <v>2029</v>
      </c>
      <c r="L22" s="80">
        <f>+SUM(DG1:DR1)</f>
        <v>2030</v>
      </c>
      <c r="M22" s="80">
        <f>+SUM(DS1:ED1)</f>
        <v>2031</v>
      </c>
    </row>
    <row r="23" spans="2:13" x14ac:dyDescent="0.25">
      <c r="B23" s="45"/>
    </row>
    <row r="24" spans="2:13" x14ac:dyDescent="0.25">
      <c r="B24" s="48" t="str">
        <f>+B3</f>
        <v>INGRESOS INVERSIÓN</v>
      </c>
      <c r="C24" s="68">
        <f>+SUM(C3:N3)</f>
        <v>0</v>
      </c>
      <c r="D24" s="68">
        <f>+SUM(O3:Z3)</f>
        <v>0</v>
      </c>
      <c r="E24" s="68">
        <f>+SUM(AA3:AL3)</f>
        <v>0</v>
      </c>
      <c r="F24" s="68">
        <f>+SUM(AM3:AX3)</f>
        <v>0</v>
      </c>
      <c r="G24" s="68">
        <f>+SUM(AY3:BJ3)</f>
        <v>0</v>
      </c>
      <c r="H24" s="68">
        <f>+SUM(BK3:BV3)</f>
        <v>0</v>
      </c>
      <c r="I24" s="68">
        <f>+SUM(BW3:CH3)</f>
        <v>0</v>
      </c>
      <c r="J24" s="68">
        <f>+SUM(CI3:CT3)</f>
        <v>0</v>
      </c>
      <c r="K24" s="68">
        <f>+SUM(CU3:DF3)</f>
        <v>0</v>
      </c>
      <c r="L24" s="68">
        <f>+SUM(DG3:DR3)</f>
        <v>0</v>
      </c>
      <c r="M24" s="68">
        <f>+SUM(DS3:ED3)+M26</f>
        <v>3345352083.9154568</v>
      </c>
    </row>
    <row r="25" spans="2:13" x14ac:dyDescent="0.25">
      <c r="B25" s="45" t="str">
        <f>+B4</f>
        <v>VENTA (VR EDIFICIO Y TERRENO, INFLACION + 1%)</v>
      </c>
      <c r="C25" s="57">
        <f>+SUM(C4:N4)</f>
        <v>0</v>
      </c>
      <c r="D25" s="57">
        <f>+SUM(O4:Z4)</f>
        <v>0</v>
      </c>
      <c r="E25" s="57">
        <f>+SUM(AA4:AL4)</f>
        <v>0</v>
      </c>
      <c r="F25" s="57">
        <f>+SUM(AM4:AX4)</f>
        <v>0</v>
      </c>
      <c r="G25" s="57">
        <f>+SUM(AY4:BJ4)</f>
        <v>0</v>
      </c>
      <c r="H25" s="57">
        <f>+SUM(BK4:BV4)</f>
        <v>0</v>
      </c>
      <c r="I25" s="57">
        <f>+SUM(BW4:CH4)</f>
        <v>0</v>
      </c>
      <c r="J25" s="57">
        <f>+SUM(CI4:CT4)</f>
        <v>0</v>
      </c>
      <c r="K25" s="57">
        <f>+SUM(CU4:DF4)</f>
        <v>0</v>
      </c>
      <c r="L25" s="57">
        <f>+SUM(DG4:DR4)</f>
        <v>0</v>
      </c>
      <c r="M25" s="57">
        <f>+SUM(DS4:ED4)</f>
        <v>3345352083.9154568</v>
      </c>
    </row>
    <row r="26" spans="2:13" x14ac:dyDescent="0.25">
      <c r="B26" s="45" t="s">
        <v>91</v>
      </c>
      <c r="C26" s="57">
        <f>+SUM(C5:N5)</f>
        <v>0</v>
      </c>
      <c r="D26" s="57">
        <f>+SUM(O5:Z5)</f>
        <v>0</v>
      </c>
      <c r="E26" s="57">
        <f>+SUM(AA5:AL5)</f>
        <v>0</v>
      </c>
      <c r="F26" s="57">
        <f>+SUM(AM5:AX5)</f>
        <v>0</v>
      </c>
      <c r="G26" s="57">
        <f>+SUM(AY5:BJ5)</f>
        <v>0</v>
      </c>
      <c r="H26" s="57">
        <f>+SUM(BK5:BV5)</f>
        <v>0</v>
      </c>
      <c r="I26" s="57">
        <f>+SUM(BW5:CH5)</f>
        <v>0</v>
      </c>
      <c r="J26" s="57">
        <f>+SUM(CI5:CT5)</f>
        <v>0</v>
      </c>
      <c r="K26" s="57">
        <f>+SUM(CU5:DF5)</f>
        <v>0</v>
      </c>
      <c r="L26" s="57">
        <f>+SUM(DG5:DR5)</f>
        <v>0</v>
      </c>
      <c r="M26" s="57">
        <f>+SUM(DS5:ED5)+'7 Informacion Base'!C76</f>
        <v>0</v>
      </c>
    </row>
    <row r="27" spans="2:13" x14ac:dyDescent="0.25">
      <c r="B27" s="45"/>
    </row>
    <row r="28" spans="2:13" x14ac:dyDescent="0.25">
      <c r="B28" s="48" t="str">
        <f t="shared" ref="B28:B34" si="11">+B7</f>
        <v>EGRESOS INVERSIÓN</v>
      </c>
      <c r="C28" s="68">
        <f t="shared" ref="C28:M28" si="12">+SUM(C29:C34)</f>
        <v>-2900000000</v>
      </c>
      <c r="D28" s="68">
        <f t="shared" si="12"/>
        <v>0</v>
      </c>
      <c r="E28" s="68">
        <f t="shared" si="12"/>
        <v>0</v>
      </c>
      <c r="F28" s="68">
        <f t="shared" si="12"/>
        <v>0</v>
      </c>
      <c r="G28" s="68">
        <f t="shared" si="12"/>
        <v>0</v>
      </c>
      <c r="H28" s="68">
        <f t="shared" si="12"/>
        <v>0</v>
      </c>
      <c r="I28" s="68">
        <f t="shared" si="12"/>
        <v>0</v>
      </c>
      <c r="J28" s="68">
        <f t="shared" si="12"/>
        <v>0</v>
      </c>
      <c r="K28" s="68">
        <f t="shared" si="12"/>
        <v>0</v>
      </c>
      <c r="L28" s="68">
        <f t="shared" si="12"/>
        <v>0</v>
      </c>
      <c r="M28" s="68">
        <f t="shared" si="12"/>
        <v>0</v>
      </c>
    </row>
    <row r="29" spans="2:13" x14ac:dyDescent="0.25">
      <c r="B29" s="45" t="str">
        <f t="shared" si="11"/>
        <v>EDIFICIO</v>
      </c>
      <c r="C29" s="57">
        <f t="shared" ref="C29:C34" si="13">+SUM(C8:N8)</f>
        <v>-1760000000</v>
      </c>
      <c r="D29" s="57">
        <f>+SUM(O8:Z8)</f>
        <v>0</v>
      </c>
      <c r="E29" s="57">
        <f>+SUM(AA8:AL8)</f>
        <v>0</v>
      </c>
      <c r="F29" s="57">
        <f>+SUM(AM8:AX8)</f>
        <v>0</v>
      </c>
      <c r="G29" s="57">
        <f>+SUM(AY8:BJ8)</f>
        <v>0</v>
      </c>
      <c r="H29" s="57">
        <f>+SUM(BK8:BV8)</f>
        <v>0</v>
      </c>
      <c r="I29" s="57">
        <f>+SUM(BW8:CH8)</f>
        <v>0</v>
      </c>
      <c r="J29" s="57">
        <f>+SUM(CI8:CT8)</f>
        <v>0</v>
      </c>
      <c r="K29" s="57">
        <f>+SUM(CU8:DF8)</f>
        <v>0</v>
      </c>
      <c r="L29" s="57">
        <f>+SUM(DG8:DR8)</f>
        <v>0</v>
      </c>
      <c r="M29" s="57">
        <f>+SUM(DS8:ED8)</f>
        <v>0</v>
      </c>
    </row>
    <row r="30" spans="2:13" x14ac:dyDescent="0.25">
      <c r="B30" s="45" t="str">
        <f t="shared" si="11"/>
        <v>TERRENO</v>
      </c>
      <c r="C30" s="57">
        <f t="shared" si="13"/>
        <v>-500000000</v>
      </c>
      <c r="D30" s="57">
        <f>+SUM(O9:Z9)</f>
        <v>0</v>
      </c>
      <c r="E30" s="57">
        <f>+SUM(AA9:AL9)</f>
        <v>0</v>
      </c>
      <c r="F30" s="57">
        <f>+SUM(AM9:AX9)</f>
        <v>0</v>
      </c>
      <c r="G30" s="57">
        <f>+SUM(AY9:BJ9)</f>
        <v>0</v>
      </c>
      <c r="H30" s="57">
        <f>+SUM(BK9:BV9)</f>
        <v>0</v>
      </c>
      <c r="I30" s="57">
        <f>+SUM(BW9:CH9)</f>
        <v>0</v>
      </c>
      <c r="J30" s="57">
        <f>+SUM(CI9:CT9)</f>
        <v>0</v>
      </c>
      <c r="K30" s="57">
        <f>+SUM(CU9:DF9)</f>
        <v>0</v>
      </c>
      <c r="L30" s="57">
        <f>+SUM(DG9:DR9)</f>
        <v>0</v>
      </c>
      <c r="M30" s="57">
        <f>+SUM(DS9:ED9)</f>
        <v>0</v>
      </c>
    </row>
    <row r="31" spans="2:13" x14ac:dyDescent="0.25">
      <c r="B31" s="45" t="str">
        <f t="shared" si="11"/>
        <v>MUEBLES Y ENSERES</v>
      </c>
      <c r="C31" s="57">
        <f t="shared" si="13"/>
        <v>-357500000</v>
      </c>
      <c r="D31" s="57">
        <f>+SUM(O10:Z10)</f>
        <v>0</v>
      </c>
      <c r="E31" s="57">
        <f>+SUM(AA10:AL10)</f>
        <v>0</v>
      </c>
      <c r="F31" s="57">
        <f>+SUM(AM10:AX10)</f>
        <v>0</v>
      </c>
      <c r="G31" s="57">
        <f>+SUM(AY10:BJ10)</f>
        <v>0</v>
      </c>
      <c r="H31" s="57">
        <f>+SUM(BK10:BV10)</f>
        <v>0</v>
      </c>
      <c r="I31" s="57">
        <f>+SUM(BW10:CH10)</f>
        <v>0</v>
      </c>
      <c r="J31" s="57">
        <f>+SUM(CI10:CT10)</f>
        <v>0</v>
      </c>
      <c r="K31" s="57">
        <f>+SUM(CU10:DF10)</f>
        <v>0</v>
      </c>
      <c r="L31" s="57">
        <f>+SUM(DG10:DR10)</f>
        <v>0</v>
      </c>
      <c r="M31" s="57">
        <f>+SUM(DS10:ED10)</f>
        <v>0</v>
      </c>
    </row>
    <row r="32" spans="2:13" x14ac:dyDescent="0.25">
      <c r="B32" s="45" t="str">
        <f t="shared" si="11"/>
        <v>OTROS ACTIVOS</v>
      </c>
      <c r="C32" s="57">
        <f t="shared" si="13"/>
        <v>-100000000</v>
      </c>
      <c r="D32" s="57">
        <f>+SUM(O11:Z11)</f>
        <v>0</v>
      </c>
      <c r="E32" s="57">
        <f>+SUM(AA11:AL11)</f>
        <v>0</v>
      </c>
      <c r="F32" s="57">
        <f>+SUM(AM11:AX11)</f>
        <v>0</v>
      </c>
      <c r="G32" s="57">
        <f>+SUM(AY11:BJ11)</f>
        <v>0</v>
      </c>
      <c r="H32" s="57">
        <f>+SUM(BK11:BV11)</f>
        <v>0</v>
      </c>
      <c r="I32" s="57">
        <f>+SUM(BW11:CH11)</f>
        <v>0</v>
      </c>
      <c r="J32" s="57">
        <f>+SUM(CI11:CT11)</f>
        <v>0</v>
      </c>
      <c r="K32" s="57">
        <f>+SUM(CU11:DF11)</f>
        <v>0</v>
      </c>
      <c r="L32" s="57">
        <f>+SUM(DG11:DR11)</f>
        <v>0</v>
      </c>
      <c r="M32" s="57">
        <f>+SUM(DS11:ED11)</f>
        <v>0</v>
      </c>
    </row>
    <row r="33" spans="2:13" x14ac:dyDescent="0.25">
      <c r="B33" s="45" t="str">
        <f t="shared" si="11"/>
        <v>EFECTIVO</v>
      </c>
      <c r="C33" s="57">
        <f t="shared" si="13"/>
        <v>-102500000</v>
      </c>
      <c r="D33" s="57">
        <f>+SUM(O12:Z12)</f>
        <v>0</v>
      </c>
      <c r="E33" s="57">
        <f>+SUM(AA12:AL12)</f>
        <v>0</v>
      </c>
      <c r="F33" s="57">
        <f>+SUM(AM12:AX12)</f>
        <v>0</v>
      </c>
      <c r="G33" s="57">
        <f>+SUM(AY12:BJ12)</f>
        <v>0</v>
      </c>
      <c r="H33" s="57">
        <f>+SUM(BK12:BV12)</f>
        <v>0</v>
      </c>
      <c r="I33" s="57">
        <f>+SUM(BW12:CH12)</f>
        <v>0</v>
      </c>
      <c r="J33" s="57">
        <f>+SUM(CI12:CT12)</f>
        <v>0</v>
      </c>
      <c r="K33" s="57">
        <f>+SUM(CU12:DF12)</f>
        <v>0</v>
      </c>
      <c r="L33" s="57">
        <f>+SUM(DG12:DR12)</f>
        <v>0</v>
      </c>
      <c r="M33" s="57">
        <f>+SUM(DS12:ED12)</f>
        <v>0</v>
      </c>
    </row>
    <row r="34" spans="2:13" x14ac:dyDescent="0.25">
      <c r="B34" s="45" t="str">
        <f t="shared" si="11"/>
        <v>VEHICULOS</v>
      </c>
      <c r="C34" s="57">
        <f t="shared" si="13"/>
        <v>-80000000</v>
      </c>
      <c r="D34" s="57">
        <v>0</v>
      </c>
      <c r="E34" s="57">
        <v>0</v>
      </c>
      <c r="F34" s="57">
        <v>0</v>
      </c>
      <c r="G34" s="57">
        <v>0</v>
      </c>
      <c r="H34" s="57">
        <f>-'7 Informacion Base'!I36</f>
        <v>0</v>
      </c>
      <c r="I34" s="57">
        <f>-'7 Informacion Base'!J36</f>
        <v>0</v>
      </c>
      <c r="J34" s="57">
        <f>-'7 Informacion Base'!K36</f>
        <v>0</v>
      </c>
      <c r="K34" s="57">
        <f>-'7 Informacion Base'!L36</f>
        <v>0</v>
      </c>
      <c r="L34" s="57">
        <f>-'7 Informacion Base'!M36</f>
        <v>0</v>
      </c>
      <c r="M34" s="57">
        <f>-'7 Informacion Base'!N36</f>
        <v>0</v>
      </c>
    </row>
    <row r="35" spans="2:13" x14ac:dyDescent="0.25">
      <c r="B35" s="45"/>
    </row>
    <row r="36" spans="2:13" x14ac:dyDescent="0.25">
      <c r="B36" s="45" t="str">
        <f>+B15</f>
        <v>FC INVERSIÓN</v>
      </c>
      <c r="C36" s="68">
        <f t="shared" ref="C36:M36" si="14">+C24+C28</f>
        <v>-2900000000</v>
      </c>
      <c r="D36" s="68">
        <f t="shared" si="14"/>
        <v>0</v>
      </c>
      <c r="E36" s="68">
        <f t="shared" si="14"/>
        <v>0</v>
      </c>
      <c r="F36" s="68">
        <f t="shared" si="14"/>
        <v>0</v>
      </c>
      <c r="G36" s="68">
        <f t="shared" si="14"/>
        <v>0</v>
      </c>
      <c r="H36" s="68">
        <f t="shared" si="14"/>
        <v>0</v>
      </c>
      <c r="I36" s="68">
        <f t="shared" si="14"/>
        <v>0</v>
      </c>
      <c r="J36" s="68">
        <f t="shared" si="14"/>
        <v>0</v>
      </c>
      <c r="K36" s="68">
        <f t="shared" si="14"/>
        <v>0</v>
      </c>
      <c r="L36" s="68">
        <f t="shared" si="14"/>
        <v>0</v>
      </c>
      <c r="M36" s="68">
        <f t="shared" si="14"/>
        <v>3345352083.9154568</v>
      </c>
    </row>
    <row r="38" spans="2:13" x14ac:dyDescent="0.25">
      <c r="C38" s="57">
        <f>SUM(C15:ED15)</f>
        <v>445352083.91545677</v>
      </c>
    </row>
    <row r="39" spans="2:13" x14ac:dyDescent="0.25">
      <c r="C39" s="57">
        <f>SUM(C36:M36)</f>
        <v>445352083.91545677</v>
      </c>
    </row>
    <row r="40" spans="2:13" x14ac:dyDescent="0.25">
      <c r="B40" s="47" t="s">
        <v>101</v>
      </c>
      <c r="C40" s="90">
        <f>+C38-C39</f>
        <v>0</v>
      </c>
    </row>
  </sheetData>
  <mergeCells count="12">
    <mergeCell ref="B19:M19"/>
    <mergeCell ref="BW1:CH1"/>
    <mergeCell ref="CI1:CT1"/>
    <mergeCell ref="CU1:DF1"/>
    <mergeCell ref="DG1:DR1"/>
    <mergeCell ref="DS1:ED1"/>
    <mergeCell ref="BK1:BV1"/>
    <mergeCell ref="C1:N1"/>
    <mergeCell ref="O1:Z1"/>
    <mergeCell ref="AA1:AL1"/>
    <mergeCell ref="AM1:AX1"/>
    <mergeCell ref="AY1:BJ1"/>
  </mergeCells>
  <conditionalFormatting sqref="A3:XFD15">
    <cfRule type="cellIs" dxfId="83" priority="9" operator="lessThan">
      <formula>0</formula>
    </cfRule>
  </conditionalFormatting>
  <conditionalFormatting sqref="C36:M36">
    <cfRule type="cellIs" dxfId="82" priority="8" operator="lessThan">
      <formula>0</formula>
    </cfRule>
  </conditionalFormatting>
  <conditionalFormatting sqref="C28:C29 D28:M28 C34 C31">
    <cfRule type="cellIs" dxfId="81" priority="7" operator="lessThan">
      <formula>0</formula>
    </cfRule>
  </conditionalFormatting>
  <conditionalFormatting sqref="D34:M34">
    <cfRule type="cellIs" dxfId="80" priority="4" operator="lessThan">
      <formula>0</formula>
    </cfRule>
  </conditionalFormatting>
  <conditionalFormatting sqref="C32">
    <cfRule type="cellIs" dxfId="79" priority="3" operator="lessThan">
      <formula>0</formula>
    </cfRule>
  </conditionalFormatting>
  <conditionalFormatting sqref="C33">
    <cfRule type="cellIs" dxfId="78" priority="2" operator="lessThan">
      <formula>0</formula>
    </cfRule>
  </conditionalFormatting>
  <conditionalFormatting sqref="C30">
    <cfRule type="cellIs" dxfId="77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1 Financiacion</vt:lpstr>
      <vt:lpstr>2 EstudioTecnico I</vt:lpstr>
      <vt:lpstr>5 Costo Nomina</vt:lpstr>
      <vt:lpstr>3 Estudio Tecnico II</vt:lpstr>
      <vt:lpstr>4 Estudio tecnico III</vt:lpstr>
      <vt:lpstr>6 WACC</vt:lpstr>
      <vt:lpstr>7 Informacion Base</vt:lpstr>
      <vt:lpstr>5 Cash Flow Operativo</vt:lpstr>
      <vt:lpstr>6 Cash Flow Inversion</vt:lpstr>
      <vt:lpstr>6 Valor de Salvamento</vt:lpstr>
      <vt:lpstr>7 Cash Flow Proyecto</vt:lpstr>
      <vt:lpstr>8 Cash Flow Financiacion</vt:lpstr>
      <vt:lpstr>9 Cash Flow Inversionista</vt:lpstr>
      <vt:lpstr>8 PYG</vt:lpstr>
      <vt:lpstr>9 INDICADORES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Manuel Arango</dc:creator>
  <cp:keywords/>
  <dc:description/>
  <cp:lastModifiedBy>Emily</cp:lastModifiedBy>
  <cp:revision/>
  <dcterms:created xsi:type="dcterms:W3CDTF">2016-01-10T21:29:03Z</dcterms:created>
  <dcterms:modified xsi:type="dcterms:W3CDTF">2020-12-13T17:12:52Z</dcterms:modified>
  <cp:category/>
  <cp:contentStatus/>
</cp:coreProperties>
</file>