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style1.xml" ContentType="application/vnd.ms-office.chartstyle+xml"/>
  <Override PartName="/xl/charts/colors1.xml" ContentType="application/vnd.ms-office.chartcolorstyle+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style2.xml" ContentType="application/vnd.ms-office.chartstyle+xml"/>
  <Override PartName="/xl/charts/colors2.xml" ContentType="application/vnd.ms-office.chartcolorstyle+xml"/>
  <Override PartName="/xl/charts/chart9.xml" ContentType="application/vnd.openxmlformats-officedocument.drawingml.chart+xml"/>
  <Override PartName="/xl/charts/style3.xml" ContentType="application/vnd.ms-office.chartstyle+xml"/>
  <Override PartName="/xl/charts/colors3.xml" ContentType="application/vnd.ms-office.chartcolorstyle+xml"/>
  <Override PartName="/xl/charts/chart10.xml" ContentType="application/vnd.openxmlformats-officedocument.drawingml.chart+xml"/>
  <Override PartName="/xl/charts/style4.xml" ContentType="application/vnd.ms-office.chartstyle+xml"/>
  <Override PartName="/xl/charts/colors4.xml" ContentType="application/vnd.ms-office.chartcolorstyle+xml"/>
  <Override PartName="/xl/charts/chart11.xml" ContentType="application/vnd.openxmlformats-officedocument.drawingml.chart+xml"/>
  <Override PartName="/xl/charts/style5.xml" ContentType="application/vnd.ms-office.chartstyle+xml"/>
  <Override PartName="/xl/charts/colors5.xml" ContentType="application/vnd.ms-office.chartcolorstyle+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style6.xml" ContentType="application/vnd.ms-office.chartstyle+xml"/>
  <Override PartName="/xl/charts/colors6.xml" ContentType="application/vnd.ms-office.chartcolorstyle+xml"/>
  <Override PartName="/xl/charts/chart18.xml" ContentType="application/vnd.openxmlformats-officedocument.drawingml.chart+xml"/>
  <Override PartName="/xl/charts/style7.xml" ContentType="application/vnd.ms-office.chartstyle+xml"/>
  <Override PartName="/xl/charts/colors7.xml" ContentType="application/vnd.ms-office.chartcolorstyle+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style8.xml" ContentType="application/vnd.ms-office.chartstyle+xml"/>
  <Override PartName="/xl/charts/colors8.xml" ContentType="application/vnd.ms-office.chartcolorstyle+xml"/>
  <Override PartName="/xl/charts/chart27.xml" ContentType="application/vnd.openxmlformats-officedocument.drawingml.chart+xml"/>
  <Override PartName="/xl/charts/style9.xml" ContentType="application/vnd.ms-office.chartstyle+xml"/>
  <Override PartName="/xl/charts/colors9.xml" ContentType="application/vnd.ms-office.chartcolorstyle+xml"/>
  <Override PartName="/xl/charts/chart28.xml" ContentType="application/vnd.openxmlformats-officedocument.drawingml.chart+xml"/>
  <Override PartName="/xl/charts/style10.xml" ContentType="application/vnd.ms-office.chartstyle+xml"/>
  <Override PartName="/xl/charts/colors10.xml" ContentType="application/vnd.ms-office.chartcolorstyle+xml"/>
  <Override PartName="/xl/charts/chart29.xml" ContentType="application/vnd.openxmlformats-officedocument.drawingml.chart+xml"/>
  <Override PartName="/xl/charts/style11.xml" ContentType="application/vnd.ms-office.chartstyle+xml"/>
  <Override PartName="/xl/charts/colors11.xml" ContentType="application/vnd.ms-office.chartcolorstyle+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style12.xml" ContentType="application/vnd.ms-office.chartstyle+xml"/>
  <Override PartName="/xl/charts/colors12.xml" ContentType="application/vnd.ms-office.chartcolorstyle+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style13.xml" ContentType="application/vnd.ms-office.chartstyle+xml"/>
  <Override PartName="/xl/charts/colors13.xml" ContentType="application/vnd.ms-office.chartcolorstyle+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style14.xml" ContentType="application/vnd.ms-office.chartstyle+xml"/>
  <Override PartName="/xl/charts/colors14.xml" ContentType="application/vnd.ms-office.chartcolorstyle+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style15.xml" ContentType="application/vnd.ms-office.chartstyle+xml"/>
  <Override PartName="/xl/charts/colors15.xml" ContentType="application/vnd.ms-office.chartcolorstyle+xml"/>
  <Override PartName="/xl/charts/chart45.xml" ContentType="application/vnd.openxmlformats-officedocument.drawingml.chart+xml"/>
  <Override PartName="/xl/charts/style16.xml" ContentType="application/vnd.ms-office.chartstyle+xml"/>
  <Override PartName="/xl/charts/colors16.xml" ContentType="application/vnd.ms-office.chartcolorstyle+xml"/>
  <Override PartName="/xl/charts/chart46.xml" ContentType="application/vnd.openxmlformats-officedocument.drawingml.chart+xml"/>
  <Override PartName="/xl/charts/style17.xml" ContentType="application/vnd.ms-office.chartstyle+xml"/>
  <Override PartName="/xl/charts/colors17.xml" ContentType="application/vnd.ms-office.chartcolorstyle+xml"/>
  <Override PartName="/xl/charts/chart47.xml" ContentType="application/vnd.openxmlformats-officedocument.drawingml.chart+xml"/>
  <Override PartName="/xl/charts/style18.xml" ContentType="application/vnd.ms-office.chartstyle+xml"/>
  <Override PartName="/xl/charts/colors18.xml" ContentType="application/vnd.ms-office.chartcolorstyle+xml"/>
  <Override PartName="/xl/charts/chart48.xml" ContentType="application/vnd.openxmlformats-officedocument.drawingml.chart+xml"/>
  <Override PartName="/xl/charts/style19.xml" ContentType="application/vnd.ms-office.chartstyle+xml"/>
  <Override PartName="/xl/charts/colors19.xml" ContentType="application/vnd.ms-office.chartcolorstyle+xml"/>
  <Override PartName="/xl/charts/chart49.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2.xml" ContentType="application/vnd.openxmlformats-officedocument.drawing+xml"/>
  <Override PartName="/xl/charts/chart50.xml" ContentType="application/vnd.openxmlformats-officedocument.drawingml.chart+xml"/>
  <Override PartName="/xl/charts/style21.xml" ContentType="application/vnd.ms-office.chartstyle+xml"/>
  <Override PartName="/xl/charts/colors21.xml" ContentType="application/vnd.ms-office.chartcolorstyle+xml"/>
  <Override PartName="/xl/charts/chart51.xml" ContentType="application/vnd.openxmlformats-officedocument.drawingml.chart+xml"/>
  <Override PartName="/xl/charts/style22.xml" ContentType="application/vnd.ms-office.chartstyle+xml"/>
  <Override PartName="/xl/charts/colors22.xml" ContentType="application/vnd.ms-office.chartcolorstyle+xml"/>
  <Override PartName="/xl/charts/chart52.xml" ContentType="application/vnd.openxmlformats-officedocument.drawingml.chart+xml"/>
  <Override PartName="/xl/charts/style23.xml" ContentType="application/vnd.ms-office.chartstyle+xml"/>
  <Override PartName="/xl/charts/colors23.xml" ContentType="application/vnd.ms-office.chartcolorstyle+xml"/>
  <Override PartName="/xl/charts/chart53.xml" ContentType="application/vnd.openxmlformats-officedocument.drawingml.chart+xml"/>
  <Override PartName="/xl/charts/style24.xml" ContentType="application/vnd.ms-office.chartstyle+xml"/>
  <Override PartName="/xl/charts/colors2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verahi\Desktop\"/>
    </mc:Choice>
  </mc:AlternateContent>
  <bookViews>
    <workbookView xWindow="0" yWindow="0" windowWidth="20490" windowHeight="7755" tabRatio="786" activeTab="2"/>
  </bookViews>
  <sheets>
    <sheet name="INDICADORES FINANCIEROS" sheetId="1" r:id="rId1"/>
    <sheet name="EST. RESUL. HIST." sheetId="19" r:id="rId2"/>
    <sheet name="FLUJOS DE CAJA" sheetId="15" r:id="rId3"/>
    <sheet name="ESF CONSOLI 17-16" sheetId="16" r:id="rId4"/>
    <sheet name="ESF CONSOLI 16-15" sheetId="17" r:id="rId5"/>
    <sheet name="ESF CONSOLI 15-14" sheetId="18" r:id="rId6"/>
    <sheet name="ER 2017" sheetId="9" r:id="rId7"/>
    <sheet name="ESF 2017" sheetId="8" r:id="rId8"/>
    <sheet name=" ER 2016" sheetId="2" r:id="rId9"/>
    <sheet name="ESF 2016" sheetId="3" r:id="rId10"/>
    <sheet name="ER 2015" sheetId="6" r:id="rId11"/>
    <sheet name="ESF 2015" sheetId="7" r:id="rId12"/>
    <sheet name="ER 2014" sheetId="4" r:id="rId13"/>
    <sheet name="BALANCE 2014" sheetId="5" r:id="rId14"/>
  </sheets>
  <externalReferences>
    <externalReference r:id="rId15"/>
  </externalReferences>
  <definedNames>
    <definedName name="_xlnm.Print_Area" localSheetId="12">'ER 2014'!$A$1:$C$49</definedName>
    <definedName name="_xlnm.Print_Area" localSheetId="9">'ESF 2016'!$A$1:$E$105</definedName>
    <definedName name="_xlnm.Print_Area" localSheetId="7">'ESF 2017'!$A$1:$F$104</definedName>
    <definedName name="_xlnm.Print_Area" localSheetId="5">'ESF CONSOLI 15-14'!$A$1:$D$85</definedName>
    <definedName name="_xlnm.Print_Area" localSheetId="4">'ESF CONSOLI 16-15'!$A$1:$D$105</definedName>
    <definedName name="_xlnm.Print_Area" localSheetId="0">'INDICADORES FINANCIEROS'!$A$4:$L$727</definedName>
  </definedNames>
  <calcPr calcId="162913"/>
</workbook>
</file>

<file path=xl/calcChain.xml><?xml version="1.0" encoding="utf-8"?>
<calcChain xmlns="http://schemas.openxmlformats.org/spreadsheetml/2006/main">
  <c r="F128" i="1" l="1"/>
  <c r="F127" i="1"/>
  <c r="F129" i="1"/>
  <c r="F14" i="19" l="1"/>
  <c r="F15" i="19"/>
  <c r="F17" i="19"/>
  <c r="F18" i="19"/>
  <c r="F12" i="19"/>
  <c r="F11" i="15" l="1"/>
  <c r="F10" i="15"/>
  <c r="C63" i="18"/>
  <c r="C62" i="18"/>
  <c r="B43" i="18"/>
  <c r="C42" i="18"/>
  <c r="C43" i="18" s="1"/>
  <c r="C26" i="18"/>
  <c r="C17" i="18"/>
  <c r="C14" i="18"/>
  <c r="D15" i="18"/>
  <c r="D16" i="18"/>
  <c r="D49" i="18"/>
  <c r="D72" i="18"/>
  <c r="D73" i="18"/>
  <c r="D76" i="18"/>
  <c r="C10" i="18"/>
  <c r="C9" i="18"/>
  <c r="C11" i="18" s="1"/>
  <c r="F39" i="15" s="1"/>
  <c r="B66" i="18"/>
  <c r="B67" i="18" s="1"/>
  <c r="B62" i="18"/>
  <c r="B63" i="18" s="1"/>
  <c r="A55" i="18"/>
  <c r="B50" i="18"/>
  <c r="D50" i="18" s="1"/>
  <c r="B48" i="18"/>
  <c r="D48" i="18" s="1"/>
  <c r="B47" i="18"/>
  <c r="D47" i="18" s="1"/>
  <c r="B26" i="18"/>
  <c r="B28" i="18" s="1"/>
  <c r="B30" i="18" s="1"/>
  <c r="B17" i="18"/>
  <c r="D17" i="18" s="1"/>
  <c r="F17" i="15" s="1"/>
  <c r="B10" i="18"/>
  <c r="D10" i="18" s="1"/>
  <c r="B9" i="18"/>
  <c r="D8" i="15"/>
  <c r="D9" i="18" l="1"/>
  <c r="C18" i="18"/>
  <c r="C20" i="18" s="1"/>
  <c r="D42" i="18"/>
  <c r="F18" i="15" s="1"/>
  <c r="D26" i="18"/>
  <c r="F28" i="15" s="1"/>
  <c r="D66" i="18"/>
  <c r="B51" i="18"/>
  <c r="D51" i="18" s="1"/>
  <c r="F20" i="15" s="1"/>
  <c r="C28" i="18"/>
  <c r="C30" i="18" s="1"/>
  <c r="B11" i="18"/>
  <c r="D11" i="18" s="1"/>
  <c r="C86" i="17"/>
  <c r="C87" i="17" s="1"/>
  <c r="C82" i="17"/>
  <c r="C83" i="17" s="1"/>
  <c r="C62" i="17"/>
  <c r="D62" i="17" s="1"/>
  <c r="C64" i="17"/>
  <c r="C61" i="17"/>
  <c r="C42" i="17"/>
  <c r="C32" i="18" l="1"/>
  <c r="C65" i="17"/>
  <c r="B49" i="9"/>
  <c r="C36" i="17"/>
  <c r="C38" i="17" s="1"/>
  <c r="D27" i="17"/>
  <c r="C28" i="17"/>
  <c r="D16" i="17"/>
  <c r="D16" i="15" s="1"/>
  <c r="D16" i="16"/>
  <c r="C17" i="17"/>
  <c r="C10" i="17"/>
  <c r="C9" i="17"/>
  <c r="A75" i="17"/>
  <c r="B70" i="17"/>
  <c r="D70" i="17" s="1"/>
  <c r="B68" i="17"/>
  <c r="D68" i="17" s="1"/>
  <c r="A68" i="17"/>
  <c r="B64" i="17"/>
  <c r="D64" i="17" s="1"/>
  <c r="B63" i="17"/>
  <c r="D63" i="17" s="1"/>
  <c r="B61" i="17"/>
  <c r="D61" i="17" s="1"/>
  <c r="B60" i="17"/>
  <c r="D60" i="17" s="1"/>
  <c r="B41" i="17"/>
  <c r="D41" i="17" s="1"/>
  <c r="D29" i="15" s="1"/>
  <c r="B37" i="17"/>
  <c r="D37" i="17" s="1"/>
  <c r="B36" i="17"/>
  <c r="B31" i="17"/>
  <c r="B33" i="17" s="1"/>
  <c r="B26" i="17"/>
  <c r="D26" i="17" s="1"/>
  <c r="B15" i="17"/>
  <c r="D15" i="17" s="1"/>
  <c r="D15" i="15" s="1"/>
  <c r="B14" i="17"/>
  <c r="B10" i="17"/>
  <c r="B9" i="17"/>
  <c r="D9" i="17" s="1"/>
  <c r="F26" i="15"/>
  <c r="F31" i="15" s="1"/>
  <c r="F21" i="15"/>
  <c r="F19" i="15"/>
  <c r="F16" i="15"/>
  <c r="F15" i="15"/>
  <c r="F8" i="15"/>
  <c r="D19" i="15"/>
  <c r="B15" i="15"/>
  <c r="D27" i="16"/>
  <c r="D32" i="16"/>
  <c r="D55" i="16"/>
  <c r="B19" i="15" s="1"/>
  <c r="D71" i="16"/>
  <c r="A70" i="16"/>
  <c r="C70" i="16"/>
  <c r="D70" i="16" s="1"/>
  <c r="C72" i="16"/>
  <c r="D72" i="16" s="1"/>
  <c r="A77" i="16"/>
  <c r="C64" i="16"/>
  <c r="D64" i="16" s="1"/>
  <c r="C65" i="16"/>
  <c r="D65" i="16" s="1"/>
  <c r="C66" i="16"/>
  <c r="D66" i="16" s="1"/>
  <c r="C63" i="16"/>
  <c r="D63" i="16" s="1"/>
  <c r="C41" i="16"/>
  <c r="C42" i="16" s="1"/>
  <c r="C37" i="16"/>
  <c r="D37" i="16" s="1"/>
  <c r="C36" i="16"/>
  <c r="D36" i="16" s="1"/>
  <c r="C31" i="16"/>
  <c r="C33" i="16" s="1"/>
  <c r="C26" i="16"/>
  <c r="C28" i="16" s="1"/>
  <c r="C10" i="16"/>
  <c r="D10" i="16" s="1"/>
  <c r="C14" i="16"/>
  <c r="D14" i="16" s="1"/>
  <c r="B14" i="15" s="1"/>
  <c r="C15" i="16"/>
  <c r="D15" i="16" s="1"/>
  <c r="B16" i="15" s="1"/>
  <c r="C9" i="16"/>
  <c r="D9" i="16" s="1"/>
  <c r="B85" i="16"/>
  <c r="B73" i="16"/>
  <c r="B67" i="16"/>
  <c r="B60" i="16"/>
  <c r="B56" i="16"/>
  <c r="B38" i="16"/>
  <c r="B33" i="16"/>
  <c r="B28" i="16"/>
  <c r="B18" i="16"/>
  <c r="B11" i="16"/>
  <c r="B41" i="16"/>
  <c r="B42" i="16" s="1"/>
  <c r="B8" i="15"/>
  <c r="D20" i="15" l="1"/>
  <c r="C73" i="16"/>
  <c r="D26" i="16"/>
  <c r="B20" i="16"/>
  <c r="B20" i="15"/>
  <c r="B21" i="15"/>
  <c r="D41" i="16"/>
  <c r="B29" i="15" s="1"/>
  <c r="B31" i="15" s="1"/>
  <c r="D21" i="15"/>
  <c r="C11" i="17"/>
  <c r="C44" i="17"/>
  <c r="D10" i="17"/>
  <c r="D36" i="17"/>
  <c r="D31" i="17"/>
  <c r="B11" i="17"/>
  <c r="B38" i="17"/>
  <c r="B65" i="17"/>
  <c r="B71" i="17"/>
  <c r="B42" i="17"/>
  <c r="B28" i="17"/>
  <c r="C11" i="16"/>
  <c r="B39" i="15" s="1"/>
  <c r="C67" i="16"/>
  <c r="B44" i="16"/>
  <c r="C38" i="16"/>
  <c r="C44" i="16" s="1"/>
  <c r="B46" i="16" l="1"/>
  <c r="B44" i="17"/>
  <c r="C10" i="2" l="1"/>
  <c r="D8" i="19" s="1"/>
  <c r="B17" i="3"/>
  <c r="C64" i="3"/>
  <c r="C98" i="1" s="1"/>
  <c r="C68" i="3"/>
  <c r="C72" i="3"/>
  <c r="C101" i="1" s="1"/>
  <c r="C37" i="7"/>
  <c r="B15" i="7"/>
  <c r="C11" i="6"/>
  <c r="C9" i="4"/>
  <c r="C389" i="1" s="1"/>
  <c r="C17" i="5"/>
  <c r="C406" i="1" s="1"/>
  <c r="C36" i="5"/>
  <c r="C26" i="5"/>
  <c r="C28" i="5"/>
  <c r="B42" i="8"/>
  <c r="C10" i="9"/>
  <c r="C8" i="19" s="1"/>
  <c r="C19" i="8"/>
  <c r="C62" i="8"/>
  <c r="C66" i="8"/>
  <c r="C173" i="1" s="1"/>
  <c r="C71" i="8"/>
  <c r="C70" i="1" s="1"/>
  <c r="C22" i="4"/>
  <c r="F41" i="1" s="1"/>
  <c r="C24" i="4"/>
  <c r="F42" i="1" s="1"/>
  <c r="C32" i="4"/>
  <c r="C34" i="4" s="1"/>
  <c r="C22" i="6"/>
  <c r="F25" i="1" s="1"/>
  <c r="C32" i="6"/>
  <c r="C34" i="6" s="1"/>
  <c r="C40" i="6"/>
  <c r="C314" i="1" s="1"/>
  <c r="C44" i="6"/>
  <c r="B24" i="2"/>
  <c r="B30" i="2"/>
  <c r="C31" i="2"/>
  <c r="D9" i="19" s="1"/>
  <c r="C44" i="2"/>
  <c r="D11" i="19" s="1"/>
  <c r="C48" i="2"/>
  <c r="D12" i="19" s="1"/>
  <c r="C63" i="2"/>
  <c r="C33" i="9"/>
  <c r="C35" i="9"/>
  <c r="C50" i="9"/>
  <c r="C56" i="9"/>
  <c r="C12" i="19" s="1"/>
  <c r="C73" i="9"/>
  <c r="C78" i="9"/>
  <c r="C407" i="1"/>
  <c r="L395" i="1" s="1"/>
  <c r="C308" i="1"/>
  <c r="D308" i="1" s="1"/>
  <c r="F118" i="1"/>
  <c r="C226" i="1"/>
  <c r="D226" i="1" s="1"/>
  <c r="C244" i="1"/>
  <c r="C144" i="1"/>
  <c r="D144" i="1" s="1"/>
  <c r="C161" i="1"/>
  <c r="C88" i="1"/>
  <c r="C9" i="1"/>
  <c r="C8" i="1"/>
  <c r="D8" i="1" s="1"/>
  <c r="B87" i="3"/>
  <c r="C43" i="8"/>
  <c r="C166" i="1" s="1"/>
  <c r="C63" i="7"/>
  <c r="B41" i="7"/>
  <c r="J482" i="1"/>
  <c r="G482" i="1"/>
  <c r="I482" i="1" s="1"/>
  <c r="D482" i="1"/>
  <c r="F482" i="1" s="1"/>
  <c r="C482" i="1"/>
  <c r="C409" i="1"/>
  <c r="C429" i="1"/>
  <c r="C427" i="1"/>
  <c r="C421" i="1"/>
  <c r="C420" i="1"/>
  <c r="C419" i="1"/>
  <c r="C417" i="1"/>
  <c r="C399" i="1"/>
  <c r="C398" i="1"/>
  <c r="C396" i="1"/>
  <c r="C395" i="1"/>
  <c r="C393" i="1"/>
  <c r="C345" i="1"/>
  <c r="C330" i="1"/>
  <c r="C346" i="1"/>
  <c r="C340" i="1"/>
  <c r="C337" i="1"/>
  <c r="C336" i="1"/>
  <c r="C312" i="1"/>
  <c r="C247" i="1"/>
  <c r="C246" i="1"/>
  <c r="C254" i="1"/>
  <c r="C232" i="1"/>
  <c r="C75" i="1"/>
  <c r="C66" i="1"/>
  <c r="C65" i="1"/>
  <c r="C57" i="1"/>
  <c r="F65" i="1"/>
  <c r="C180" i="1"/>
  <c r="C164" i="1"/>
  <c r="C163" i="1"/>
  <c r="F132" i="1"/>
  <c r="G132" i="1" s="1"/>
  <c r="F106" i="1"/>
  <c r="C132" i="1" s="1"/>
  <c r="F90" i="1"/>
  <c r="F30" i="1"/>
  <c r="C45" i="1" s="1"/>
  <c r="E14" i="19" s="1"/>
  <c r="C309" i="1"/>
  <c r="C55" i="5"/>
  <c r="C426" i="1"/>
  <c r="C12" i="5"/>
  <c r="F116" i="1" s="1"/>
  <c r="F43" i="1"/>
  <c r="C411" i="1"/>
  <c r="C418" i="1"/>
  <c r="F120" i="1"/>
  <c r="C405" i="1"/>
  <c r="F40" i="1"/>
  <c r="G45" i="1" s="1"/>
  <c r="F125" i="1"/>
  <c r="E125" i="1" s="1"/>
  <c r="C413" i="1"/>
  <c r="F121" i="1"/>
  <c r="C391" i="1"/>
  <c r="C82" i="8"/>
  <c r="C58" i="8"/>
  <c r="C171" i="1" s="1"/>
  <c r="C39" i="8"/>
  <c r="C34" i="8"/>
  <c r="C29" i="8"/>
  <c r="C12" i="8"/>
  <c r="C14" i="1"/>
  <c r="C55" i="1"/>
  <c r="C159" i="1"/>
  <c r="C160" i="1"/>
  <c r="C55" i="7"/>
  <c r="C25" i="7"/>
  <c r="C27" i="7" s="1"/>
  <c r="C12" i="7"/>
  <c r="D39" i="15" s="1"/>
  <c r="C338" i="1"/>
  <c r="F98" i="1"/>
  <c r="C126" i="1" s="1"/>
  <c r="C324" i="1"/>
  <c r="F86" i="1"/>
  <c r="C315" i="1"/>
  <c r="F31" i="1"/>
  <c r="C46" i="1" s="1"/>
  <c r="E15" i="19" s="1"/>
  <c r="C84" i="3"/>
  <c r="C57" i="3"/>
  <c r="C41" i="3"/>
  <c r="C249" i="1" s="1"/>
  <c r="C35" i="3"/>
  <c r="C30" i="3"/>
  <c r="D27" i="15" s="1"/>
  <c r="C26" i="3"/>
  <c r="D26" i="15" s="1"/>
  <c r="D31" i="15" s="1"/>
  <c r="C12" i="3"/>
  <c r="C242" i="1" s="1"/>
  <c r="F8" i="1"/>
  <c r="G8" i="1" s="1"/>
  <c r="C230" i="1"/>
  <c r="F12" i="1"/>
  <c r="C233" i="1"/>
  <c r="C229" i="1"/>
  <c r="F11" i="1"/>
  <c r="C317" i="1"/>
  <c r="F33" i="1"/>
  <c r="C227" i="1"/>
  <c r="G128" i="1"/>
  <c r="G127" i="1"/>
  <c r="G126" i="1"/>
  <c r="C332" i="1" l="1"/>
  <c r="F92" i="1"/>
  <c r="D15" i="19"/>
  <c r="D11" i="15"/>
  <c r="C33" i="2"/>
  <c r="C255" i="1"/>
  <c r="B56" i="17"/>
  <c r="C12" i="1"/>
  <c r="D12" i="1" s="1"/>
  <c r="C58" i="9"/>
  <c r="C11" i="19"/>
  <c r="C50" i="2"/>
  <c r="C17" i="16"/>
  <c r="B17" i="17"/>
  <c r="C19" i="5"/>
  <c r="C256" i="1"/>
  <c r="C328" i="1"/>
  <c r="C67" i="1"/>
  <c r="C148" i="1"/>
  <c r="D148" i="1" s="1"/>
  <c r="C75" i="17"/>
  <c r="B55" i="18"/>
  <c r="B11" i="15"/>
  <c r="C15" i="19"/>
  <c r="C10" i="1"/>
  <c r="C10" i="19"/>
  <c r="B14" i="18"/>
  <c r="C14" i="17"/>
  <c r="F9" i="1"/>
  <c r="C25" i="1" s="1"/>
  <c r="E25" i="1" s="1"/>
  <c r="F15" i="1"/>
  <c r="C31" i="1" s="1"/>
  <c r="B82" i="17"/>
  <c r="B83" i="17" s="1"/>
  <c r="C84" i="16"/>
  <c r="C85" i="16" s="1"/>
  <c r="C60" i="1"/>
  <c r="C392" i="1"/>
  <c r="F117" i="1"/>
  <c r="F88" i="1"/>
  <c r="C118" i="1" s="1"/>
  <c r="C326" i="1"/>
  <c r="B10" i="15"/>
  <c r="C14" i="19"/>
  <c r="C145" i="1"/>
  <c r="C9" i="19"/>
  <c r="C17" i="7"/>
  <c r="G12" i="1"/>
  <c r="G125" i="1"/>
  <c r="D229" i="1"/>
  <c r="D230" i="1"/>
  <c r="E98" i="1"/>
  <c r="D232" i="1"/>
  <c r="D227" i="1"/>
  <c r="D233" i="1"/>
  <c r="K482" i="1"/>
  <c r="E88" i="1"/>
  <c r="E12" i="1"/>
  <c r="G46" i="1"/>
  <c r="E482" i="1"/>
  <c r="C28" i="1"/>
  <c r="C24" i="1"/>
  <c r="G15" i="1"/>
  <c r="D132" i="1"/>
  <c r="E132" i="1"/>
  <c r="E118" i="1"/>
  <c r="E8" i="1"/>
  <c r="C116" i="1"/>
  <c r="E116" i="1" s="1"/>
  <c r="D153" i="1"/>
  <c r="D17" i="1"/>
  <c r="H482" i="1"/>
  <c r="C27" i="1"/>
  <c r="D14" i="1"/>
  <c r="G48" i="1"/>
  <c r="G49" i="1"/>
  <c r="L232" i="1"/>
  <c r="I231" i="1" s="1"/>
  <c r="D478" i="1" s="1"/>
  <c r="F478" i="1" s="1"/>
  <c r="L314" i="1"/>
  <c r="I313" i="1" s="1"/>
  <c r="G478" i="1" s="1"/>
  <c r="I478" i="1" s="1"/>
  <c r="G11" i="1"/>
  <c r="G14" i="1"/>
  <c r="C422" i="1"/>
  <c r="C423" i="1" s="1"/>
  <c r="I402" i="1" s="1"/>
  <c r="J487" i="1" s="1"/>
  <c r="D9" i="1"/>
  <c r="D145" i="1"/>
  <c r="G42" i="1"/>
  <c r="F10" i="19"/>
  <c r="G40" i="1"/>
  <c r="F8" i="19"/>
  <c r="G43" i="1"/>
  <c r="F11" i="19"/>
  <c r="C120" i="1"/>
  <c r="F9" i="19"/>
  <c r="C18" i="16"/>
  <c r="C20" i="16" s="1"/>
  <c r="C46" i="16" s="1"/>
  <c r="D17" i="16"/>
  <c r="B17" i="15" s="1"/>
  <c r="I395" i="1"/>
  <c r="J480" i="1" s="1"/>
  <c r="I394" i="1"/>
  <c r="I396" i="1" s="1"/>
  <c r="J479" i="1" s="1"/>
  <c r="C36" i="4"/>
  <c r="C390" i="1"/>
  <c r="D390" i="1" s="1"/>
  <c r="G41" i="1"/>
  <c r="D398" i="1"/>
  <c r="D393" i="1"/>
  <c r="I409" i="1"/>
  <c r="J495" i="1" s="1"/>
  <c r="D392" i="1"/>
  <c r="D389" i="1"/>
  <c r="D399" i="1"/>
  <c r="D395" i="1"/>
  <c r="D391" i="1"/>
  <c r="D396" i="1"/>
  <c r="E31" i="1"/>
  <c r="I314" i="1"/>
  <c r="G480" i="1" s="1"/>
  <c r="I480" i="1" s="1"/>
  <c r="C24" i="6"/>
  <c r="F26" i="1" s="1"/>
  <c r="F27" i="1"/>
  <c r="D314" i="1"/>
  <c r="D315" i="1"/>
  <c r="D317" i="1"/>
  <c r="D312" i="1"/>
  <c r="D309" i="1"/>
  <c r="C41" i="1"/>
  <c r="E9" i="19" s="1"/>
  <c r="C310" i="1"/>
  <c r="C48" i="1"/>
  <c r="E17" i="19" s="1"/>
  <c r="C311" i="1"/>
  <c r="D311" i="1" s="1"/>
  <c r="F24" i="1"/>
  <c r="E30" i="1"/>
  <c r="C146" i="1"/>
  <c r="C60" i="9"/>
  <c r="C13" i="19" s="1"/>
  <c r="C15" i="1"/>
  <c r="C150" i="1"/>
  <c r="D150" i="1" s="1"/>
  <c r="C151" i="1"/>
  <c r="D151" i="1" s="1"/>
  <c r="C11" i="1"/>
  <c r="C147" i="1"/>
  <c r="D147" i="1" s="1"/>
  <c r="C91" i="1"/>
  <c r="F60" i="1" s="1"/>
  <c r="C86" i="1"/>
  <c r="F67" i="1"/>
  <c r="E67" i="1" s="1"/>
  <c r="C37" i="3"/>
  <c r="C43" i="3" s="1"/>
  <c r="C250" i="1" s="1"/>
  <c r="F57" i="1"/>
  <c r="E57" i="1" s="1"/>
  <c r="L150" i="1"/>
  <c r="I149" i="1" s="1"/>
  <c r="I151" i="1" s="1"/>
  <c r="C479" i="1" s="1"/>
  <c r="C88" i="3"/>
  <c r="C248" i="1"/>
  <c r="C59" i="16"/>
  <c r="C97" i="1"/>
  <c r="C92" i="1"/>
  <c r="C106" i="1"/>
  <c r="C263" i="1"/>
  <c r="F70" i="1"/>
  <c r="C258" i="1"/>
  <c r="C100" i="1"/>
  <c r="C18" i="3"/>
  <c r="C165" i="1"/>
  <c r="I150" i="1" s="1"/>
  <c r="C480" i="1" s="1"/>
  <c r="C175" i="1"/>
  <c r="C45" i="8"/>
  <c r="C61" i="1" s="1"/>
  <c r="C59" i="1"/>
  <c r="C21" i="8"/>
  <c r="C47" i="8" s="1"/>
  <c r="C56" i="1"/>
  <c r="C172" i="1"/>
  <c r="C13" i="1" l="1"/>
  <c r="D14" i="17"/>
  <c r="D14" i="15" s="1"/>
  <c r="D22" i="15" s="1"/>
  <c r="C18" i="17"/>
  <c r="C20" i="17" s="1"/>
  <c r="C46" i="17" s="1"/>
  <c r="C408" i="1"/>
  <c r="C30" i="5"/>
  <c r="F119" i="1"/>
  <c r="D56" i="17"/>
  <c r="D18" i="15" s="1"/>
  <c r="B57" i="17"/>
  <c r="C80" i="9"/>
  <c r="C16" i="19" s="1"/>
  <c r="E9" i="1"/>
  <c r="D10" i="1"/>
  <c r="G9" i="1"/>
  <c r="D14" i="18"/>
  <c r="F14" i="15" s="1"/>
  <c r="F22" i="15" s="1"/>
  <c r="B18" i="18"/>
  <c r="B20" i="18" s="1"/>
  <c r="B32" i="18" s="1"/>
  <c r="D17" i="17"/>
  <c r="D17" i="15" s="1"/>
  <c r="B18" i="17"/>
  <c r="B20" i="17" s="1"/>
  <c r="B46" i="17" s="1"/>
  <c r="B86" i="17"/>
  <c r="C88" i="16"/>
  <c r="C89" i="16" s="1"/>
  <c r="C149" i="1"/>
  <c r="C19" i="7"/>
  <c r="F87" i="1"/>
  <c r="C325" i="1"/>
  <c r="D10" i="19"/>
  <c r="C52" i="2"/>
  <c r="F10" i="1"/>
  <c r="C228" i="1"/>
  <c r="K480" i="1"/>
  <c r="I315" i="1"/>
  <c r="G479" i="1" s="1"/>
  <c r="I479" i="1" s="1"/>
  <c r="K479" i="1" s="1"/>
  <c r="I391" i="1"/>
  <c r="J474" i="1" s="1"/>
  <c r="D24" i="1"/>
  <c r="D27" i="1"/>
  <c r="D28" i="1"/>
  <c r="H478" i="1"/>
  <c r="D30" i="1"/>
  <c r="D31" i="1"/>
  <c r="D25" i="1"/>
  <c r="I233" i="1"/>
  <c r="D479" i="1" s="1"/>
  <c r="F479" i="1" s="1"/>
  <c r="I389" i="1"/>
  <c r="J473" i="1" s="1"/>
  <c r="J478" i="1"/>
  <c r="K478" i="1" s="1"/>
  <c r="E120" i="1"/>
  <c r="C121" i="1"/>
  <c r="C60" i="16"/>
  <c r="D59" i="16"/>
  <c r="B18" i="15" s="1"/>
  <c r="B22" i="15" s="1"/>
  <c r="B40" i="4"/>
  <c r="B40" i="5" s="1"/>
  <c r="C55" i="18" s="1"/>
  <c r="D55" i="18" s="1"/>
  <c r="C394" i="1"/>
  <c r="F44" i="1"/>
  <c r="F13" i="19" s="1"/>
  <c r="F50" i="1"/>
  <c r="B39" i="4"/>
  <c r="C36" i="6"/>
  <c r="F7" i="15" s="1"/>
  <c r="C43" i="1"/>
  <c r="E27" i="1"/>
  <c r="G28" i="1"/>
  <c r="G31" i="1"/>
  <c r="G27" i="1"/>
  <c r="G24" i="1"/>
  <c r="C40" i="1"/>
  <c r="D41" i="1" s="1"/>
  <c r="E24" i="1"/>
  <c r="G26" i="1"/>
  <c r="C42" i="1"/>
  <c r="E10" i="19" s="1"/>
  <c r="G30" i="1"/>
  <c r="D310" i="1"/>
  <c r="I328" i="1"/>
  <c r="G495" i="1" s="1"/>
  <c r="E41" i="1"/>
  <c r="F29" i="1"/>
  <c r="G25" i="1"/>
  <c r="G33" i="1"/>
  <c r="I164" i="1"/>
  <c r="C495" i="1" s="1"/>
  <c r="D146" i="1"/>
  <c r="E15" i="1"/>
  <c r="D15" i="1"/>
  <c r="C478" i="1"/>
  <c r="E11" i="1"/>
  <c r="D11" i="1"/>
  <c r="B7" i="15"/>
  <c r="D13" i="1"/>
  <c r="B83" i="9"/>
  <c r="C18" i="19" s="1"/>
  <c r="C152" i="1"/>
  <c r="D152" i="1" s="1"/>
  <c r="D149" i="1"/>
  <c r="I165" i="1"/>
  <c r="C496" i="1" s="1"/>
  <c r="E478" i="1"/>
  <c r="C90" i="1"/>
  <c r="E90" i="1" s="1"/>
  <c r="F55" i="1"/>
  <c r="E86" i="1"/>
  <c r="C264" i="1"/>
  <c r="C107" i="1"/>
  <c r="F76" i="1" s="1"/>
  <c r="F69" i="1"/>
  <c r="E106" i="1"/>
  <c r="F75" i="1"/>
  <c r="I232" i="1"/>
  <c r="D480" i="1" s="1"/>
  <c r="F480" i="1" s="1"/>
  <c r="H480" i="1" s="1"/>
  <c r="C20" i="3"/>
  <c r="C87" i="1"/>
  <c r="C243" i="1"/>
  <c r="I406" i="1"/>
  <c r="J491" i="1" s="1"/>
  <c r="F61" i="1"/>
  <c r="E92" i="1"/>
  <c r="F66" i="1"/>
  <c r="C167" i="1"/>
  <c r="C58" i="1"/>
  <c r="C162" i="1"/>
  <c r="C168" i="1"/>
  <c r="C62" i="1"/>
  <c r="F122" i="1" l="1"/>
  <c r="C414" i="1"/>
  <c r="C16" i="1"/>
  <c r="D16" i="1" s="1"/>
  <c r="C43" i="4"/>
  <c r="B58" i="5" s="1"/>
  <c r="C327" i="1"/>
  <c r="F89" i="1"/>
  <c r="C29" i="7"/>
  <c r="D408" i="1"/>
  <c r="D13" i="19"/>
  <c r="D7" i="15"/>
  <c r="D23" i="15" s="1"/>
  <c r="D38" i="15" s="1"/>
  <c r="D40" i="15" s="1"/>
  <c r="C231" i="1"/>
  <c r="C65" i="2"/>
  <c r="F13" i="1"/>
  <c r="C117" i="1"/>
  <c r="D86" i="17"/>
  <c r="B87" i="17"/>
  <c r="C313" i="1"/>
  <c r="I329" i="1" s="1"/>
  <c r="G496" i="1" s="1"/>
  <c r="I246" i="1"/>
  <c r="D495" i="1" s="1"/>
  <c r="F495" i="1" s="1"/>
  <c r="D228" i="1"/>
  <c r="C46" i="6"/>
  <c r="B49" i="6" s="1"/>
  <c r="C51" i="6" s="1"/>
  <c r="D9" i="15" s="1"/>
  <c r="C26" i="1"/>
  <c r="G10" i="1"/>
  <c r="G119" i="1"/>
  <c r="E10" i="1"/>
  <c r="H479" i="1"/>
  <c r="F59" i="1"/>
  <c r="E59" i="1" s="1"/>
  <c r="E479" i="1"/>
  <c r="E55" i="1"/>
  <c r="D48" i="1"/>
  <c r="E8" i="19"/>
  <c r="G50" i="1"/>
  <c r="F19" i="19"/>
  <c r="E43" i="1"/>
  <c r="E11" i="19"/>
  <c r="E121" i="1"/>
  <c r="C59" i="5"/>
  <c r="C70" i="18" s="1"/>
  <c r="C71" i="18" s="1"/>
  <c r="C77" i="18" s="1"/>
  <c r="B66" i="7"/>
  <c r="B74" i="18" s="1"/>
  <c r="C41" i="4"/>
  <c r="B39" i="5"/>
  <c r="C397" i="1"/>
  <c r="D394" i="1"/>
  <c r="I410" i="1"/>
  <c r="J496" i="1" s="1"/>
  <c r="F47" i="1"/>
  <c r="G44" i="1"/>
  <c r="F32" i="1"/>
  <c r="G29" i="1"/>
  <c r="C44" i="1"/>
  <c r="E13" i="19" s="1"/>
  <c r="D313" i="1"/>
  <c r="E42" i="1"/>
  <c r="D42" i="1"/>
  <c r="D40" i="1"/>
  <c r="E40" i="1"/>
  <c r="D46" i="1"/>
  <c r="D45" i="1"/>
  <c r="D43" i="1"/>
  <c r="H495" i="1"/>
  <c r="I495" i="1"/>
  <c r="K495" i="1" s="1"/>
  <c r="B76" i="16"/>
  <c r="C18" i="1"/>
  <c r="C154" i="1"/>
  <c r="D154" i="1" s="1"/>
  <c r="C84" i="9"/>
  <c r="C86" i="9" s="1"/>
  <c r="C19" i="19" s="1"/>
  <c r="B74" i="8"/>
  <c r="C75" i="8" s="1"/>
  <c r="F56" i="1"/>
  <c r="E87" i="1"/>
  <c r="E480" i="1"/>
  <c r="E61" i="1"/>
  <c r="C45" i="3"/>
  <c r="C89" i="1"/>
  <c r="C245" i="1"/>
  <c r="E75" i="1"/>
  <c r="D167" i="1"/>
  <c r="D58" i="1"/>
  <c r="D57" i="1"/>
  <c r="D55" i="1"/>
  <c r="D60" i="1"/>
  <c r="D62" i="1"/>
  <c r="D56" i="1"/>
  <c r="D61" i="1"/>
  <c r="D59" i="1"/>
  <c r="D161" i="1"/>
  <c r="D168" i="1"/>
  <c r="D160" i="1"/>
  <c r="D164" i="1"/>
  <c r="I152" i="1"/>
  <c r="C481" i="1" s="1"/>
  <c r="D166" i="1"/>
  <c r="D159" i="1"/>
  <c r="D165" i="1"/>
  <c r="D162" i="1"/>
  <c r="D163" i="1"/>
  <c r="E117" i="1" l="1"/>
  <c r="C119" i="1"/>
  <c r="C316" i="1"/>
  <c r="D316" i="1" s="1"/>
  <c r="C41" i="5"/>
  <c r="C54" i="18"/>
  <c r="C56" i="18" s="1"/>
  <c r="C58" i="18" s="1"/>
  <c r="C79" i="18" s="1"/>
  <c r="C80" i="18" s="1"/>
  <c r="E495" i="1"/>
  <c r="G13" i="1"/>
  <c r="C29" i="1"/>
  <c r="E13" i="1"/>
  <c r="D16" i="19"/>
  <c r="C234" i="1"/>
  <c r="D234" i="1" s="1"/>
  <c r="F16" i="1"/>
  <c r="B68" i="2"/>
  <c r="B69" i="2"/>
  <c r="D412" i="1"/>
  <c r="D410" i="1"/>
  <c r="D413" i="1"/>
  <c r="D411" i="1"/>
  <c r="I397" i="1"/>
  <c r="J481" i="1" s="1"/>
  <c r="D405" i="1"/>
  <c r="D407" i="1"/>
  <c r="D406" i="1"/>
  <c r="D409" i="1"/>
  <c r="D414" i="1"/>
  <c r="I401" i="1"/>
  <c r="J486" i="1" s="1"/>
  <c r="B75" i="18"/>
  <c r="D74" i="18"/>
  <c r="D26" i="1"/>
  <c r="E26" i="1"/>
  <c r="D231" i="1"/>
  <c r="I247" i="1"/>
  <c r="D496" i="1" s="1"/>
  <c r="F93" i="1"/>
  <c r="G89" i="1" s="1"/>
  <c r="C333" i="1"/>
  <c r="G122" i="1"/>
  <c r="G118" i="1"/>
  <c r="G121" i="1"/>
  <c r="G116" i="1"/>
  <c r="G117" i="1"/>
  <c r="G120" i="1"/>
  <c r="G47" i="1"/>
  <c r="F16" i="19"/>
  <c r="C400" i="1"/>
  <c r="D397" i="1"/>
  <c r="C94" i="17"/>
  <c r="C95" i="17" s="1"/>
  <c r="F109" i="1"/>
  <c r="C134" i="1" s="1"/>
  <c r="D134" i="1" s="1"/>
  <c r="C67" i="7"/>
  <c r="B95" i="3"/>
  <c r="C348" i="1"/>
  <c r="C61" i="5"/>
  <c r="C428" i="1"/>
  <c r="F133" i="1"/>
  <c r="G133" i="1" s="1"/>
  <c r="B40" i="7"/>
  <c r="B54" i="18" s="1"/>
  <c r="F34" i="1"/>
  <c r="C318" i="1"/>
  <c r="D318" i="1" s="1"/>
  <c r="C53" i="6"/>
  <c r="I496" i="1"/>
  <c r="K496" i="1" s="1"/>
  <c r="E44" i="1"/>
  <c r="D44" i="1"/>
  <c r="C47" i="1"/>
  <c r="E16" i="19" s="1"/>
  <c r="G32" i="1"/>
  <c r="B92" i="16"/>
  <c r="B89" i="8"/>
  <c r="C155" i="1"/>
  <c r="C19" i="1"/>
  <c r="C174" i="1"/>
  <c r="C176" i="1" s="1"/>
  <c r="C68" i="1"/>
  <c r="C77" i="8"/>
  <c r="D18" i="1"/>
  <c r="B78" i="16"/>
  <c r="B80" i="16" s="1"/>
  <c r="F58" i="1"/>
  <c r="E89" i="1"/>
  <c r="C93" i="1"/>
  <c r="C251" i="1"/>
  <c r="D245" i="1" s="1"/>
  <c r="E56" i="1"/>
  <c r="D329" i="1" l="1"/>
  <c r="D330" i="1"/>
  <c r="D333" i="1"/>
  <c r="D328" i="1"/>
  <c r="D332" i="1"/>
  <c r="D331" i="1"/>
  <c r="I316" i="1"/>
  <c r="G481" i="1" s="1"/>
  <c r="I481" i="1" s="1"/>
  <c r="K481" i="1" s="1"/>
  <c r="D324" i="1"/>
  <c r="D326" i="1"/>
  <c r="D325" i="1"/>
  <c r="D29" i="1"/>
  <c r="E29" i="1"/>
  <c r="F496" i="1"/>
  <c r="H496" i="1" s="1"/>
  <c r="E496" i="1"/>
  <c r="C32" i="1"/>
  <c r="G16" i="1"/>
  <c r="E16" i="1"/>
  <c r="D327" i="1"/>
  <c r="D17" i="19"/>
  <c r="B76" i="3"/>
  <c r="C235" i="1"/>
  <c r="D235" i="1" s="1"/>
  <c r="C70" i="2"/>
  <c r="C72" i="2" s="1"/>
  <c r="F17" i="1"/>
  <c r="E119" i="1"/>
  <c r="D119" i="1"/>
  <c r="D54" i="18"/>
  <c r="B56" i="18"/>
  <c r="B58" i="18" s="1"/>
  <c r="D18" i="19"/>
  <c r="B75" i="3"/>
  <c r="F18" i="1"/>
  <c r="C236" i="1"/>
  <c r="D236" i="1" s="1"/>
  <c r="C43" i="5"/>
  <c r="C63" i="5" s="1"/>
  <c r="F9" i="15"/>
  <c r="F23" i="15" s="1"/>
  <c r="F38" i="15" s="1"/>
  <c r="F40" i="15" s="1"/>
  <c r="C122" i="1"/>
  <c r="G88" i="1"/>
  <c r="G92" i="1"/>
  <c r="G86" i="1"/>
  <c r="G93" i="1"/>
  <c r="G90" i="1"/>
  <c r="G91" i="1"/>
  <c r="G87" i="1"/>
  <c r="B96" i="16"/>
  <c r="B93" i="8"/>
  <c r="C94" i="8" s="1"/>
  <c r="C96" i="3"/>
  <c r="C430" i="1"/>
  <c r="I412" i="1" s="1"/>
  <c r="J498" i="1" s="1"/>
  <c r="F135" i="1"/>
  <c r="G135" i="1" s="1"/>
  <c r="I413" i="1"/>
  <c r="J499" i="1" s="1"/>
  <c r="I411" i="1"/>
  <c r="J497" i="1" s="1"/>
  <c r="D400" i="1"/>
  <c r="C74" i="17"/>
  <c r="C42" i="7"/>
  <c r="E47" i="1"/>
  <c r="D47" i="1"/>
  <c r="G34" i="1"/>
  <c r="C49" i="1"/>
  <c r="F35" i="1"/>
  <c r="B58" i="7"/>
  <c r="B70" i="18" s="1"/>
  <c r="C319" i="1"/>
  <c r="D19" i="1"/>
  <c r="C71" i="1"/>
  <c r="I166" i="1"/>
  <c r="C497" i="1" s="1"/>
  <c r="D155" i="1"/>
  <c r="I168" i="1"/>
  <c r="C499" i="1" s="1"/>
  <c r="C90" i="8"/>
  <c r="C77" i="1"/>
  <c r="C182" i="1"/>
  <c r="I144" i="1"/>
  <c r="C473" i="1" s="1"/>
  <c r="C177" i="1"/>
  <c r="I161" i="1" s="1"/>
  <c r="C491" i="1" s="1"/>
  <c r="I146" i="1"/>
  <c r="C474" i="1" s="1"/>
  <c r="B93" i="16"/>
  <c r="E93" i="1"/>
  <c r="D91" i="1"/>
  <c r="F62" i="1"/>
  <c r="D93" i="1"/>
  <c r="D88" i="1"/>
  <c r="D86" i="1"/>
  <c r="D90" i="1"/>
  <c r="D92" i="1"/>
  <c r="D87" i="1"/>
  <c r="E58" i="1"/>
  <c r="D251" i="1"/>
  <c r="I234" i="1"/>
  <c r="D481" i="1" s="1"/>
  <c r="D247" i="1"/>
  <c r="D244" i="1"/>
  <c r="D249" i="1"/>
  <c r="D242" i="1"/>
  <c r="D246" i="1"/>
  <c r="D248" i="1"/>
  <c r="D250" i="1"/>
  <c r="D243" i="1"/>
  <c r="D89" i="1"/>
  <c r="C76" i="16" l="1"/>
  <c r="B74" i="17"/>
  <c r="B76" i="17" s="1"/>
  <c r="B78" i="17" s="1"/>
  <c r="C77" i="3"/>
  <c r="B71" i="18"/>
  <c r="B77" i="18" s="1"/>
  <c r="B79" i="18" s="1"/>
  <c r="B80" i="18" s="1"/>
  <c r="D70" i="18"/>
  <c r="C33" i="1"/>
  <c r="G17" i="1"/>
  <c r="E17" i="1"/>
  <c r="D32" i="1"/>
  <c r="E32" i="1"/>
  <c r="D122" i="1"/>
  <c r="D118" i="1"/>
  <c r="E122" i="1"/>
  <c r="D116" i="1"/>
  <c r="D120" i="1"/>
  <c r="D121" i="1"/>
  <c r="D117" i="1"/>
  <c r="C34" i="1"/>
  <c r="G18" i="1"/>
  <c r="E18" i="1"/>
  <c r="D19" i="19"/>
  <c r="F19" i="1"/>
  <c r="C237" i="1"/>
  <c r="B91" i="3"/>
  <c r="C92" i="3" s="1"/>
  <c r="B88" i="16"/>
  <c r="B85" i="8"/>
  <c r="B75" i="17"/>
  <c r="D75" i="17" s="1"/>
  <c r="C77" i="16"/>
  <c r="D77" i="16" s="1"/>
  <c r="D49" i="1"/>
  <c r="E18" i="19"/>
  <c r="C109" i="1"/>
  <c r="C96" i="16"/>
  <c r="C97" i="16" s="1"/>
  <c r="C98" i="3"/>
  <c r="C266" i="1"/>
  <c r="B94" i="17"/>
  <c r="F136" i="1"/>
  <c r="C431" i="1"/>
  <c r="D63" i="5"/>
  <c r="C183" i="1"/>
  <c r="C78" i="1"/>
  <c r="B97" i="16"/>
  <c r="I404" i="1"/>
  <c r="J489" i="1" s="1"/>
  <c r="I405" i="1"/>
  <c r="J490" i="1" s="1"/>
  <c r="I403" i="1"/>
  <c r="J488" i="1" s="1"/>
  <c r="I332" i="1"/>
  <c r="G499" i="1" s="1"/>
  <c r="I499" i="1" s="1"/>
  <c r="K499" i="1" s="1"/>
  <c r="D319" i="1"/>
  <c r="I330" i="1"/>
  <c r="G497" i="1" s="1"/>
  <c r="C339" i="1"/>
  <c r="C44" i="7"/>
  <c r="F99" i="1"/>
  <c r="G35" i="1"/>
  <c r="C50" i="1"/>
  <c r="E19" i="19" s="1"/>
  <c r="C90" i="17"/>
  <c r="F108" i="1"/>
  <c r="C59" i="7"/>
  <c r="C69" i="7" s="1"/>
  <c r="C76" i="17"/>
  <c r="C78" i="17" s="1"/>
  <c r="C72" i="1"/>
  <c r="I157" i="1"/>
  <c r="C487" i="1" s="1"/>
  <c r="I156" i="1"/>
  <c r="C486" i="1" s="1"/>
  <c r="F481" i="1"/>
  <c r="H481" i="1" s="1"/>
  <c r="E481" i="1"/>
  <c r="G62" i="1"/>
  <c r="G57" i="1"/>
  <c r="G55" i="1"/>
  <c r="G60" i="1"/>
  <c r="G61" i="1"/>
  <c r="G59" i="1"/>
  <c r="E62" i="1"/>
  <c r="G56" i="1"/>
  <c r="G58" i="1"/>
  <c r="C181" i="1" l="1"/>
  <c r="C86" i="8"/>
  <c r="C96" i="8" s="1"/>
  <c r="C76" i="1"/>
  <c r="C35" i="1"/>
  <c r="G19" i="1"/>
  <c r="E19" i="1"/>
  <c r="D34" i="1"/>
  <c r="E34" i="1"/>
  <c r="D74" i="17"/>
  <c r="B89" i="16"/>
  <c r="B99" i="16" s="1"/>
  <c r="B101" i="16" s="1"/>
  <c r="B102" i="16" s="1"/>
  <c r="D88" i="16"/>
  <c r="E33" i="1"/>
  <c r="D33" i="1"/>
  <c r="C99" i="1"/>
  <c r="F68" i="1" s="1"/>
  <c r="E68" i="1" s="1"/>
  <c r="C79" i="3"/>
  <c r="C102" i="1" s="1"/>
  <c r="C257" i="1"/>
  <c r="C259" i="1" s="1"/>
  <c r="C108" i="1"/>
  <c r="F77" i="1" s="1"/>
  <c r="E77" i="1" s="1"/>
  <c r="C92" i="16"/>
  <c r="B90" i="17"/>
  <c r="B91" i="17" s="1"/>
  <c r="C265" i="1"/>
  <c r="D237" i="1"/>
  <c r="I248" i="1"/>
  <c r="D497" i="1" s="1"/>
  <c r="I250" i="1"/>
  <c r="D499" i="1" s="1"/>
  <c r="C78" i="16"/>
  <c r="D76" i="16"/>
  <c r="G129" i="1"/>
  <c r="G136" i="1"/>
  <c r="D94" i="17"/>
  <c r="B95" i="17"/>
  <c r="F78" i="1"/>
  <c r="E78" i="1" s="1"/>
  <c r="E109" i="1"/>
  <c r="D96" i="16"/>
  <c r="D430" i="1"/>
  <c r="D420" i="1"/>
  <c r="D426" i="1"/>
  <c r="D427" i="1"/>
  <c r="D419" i="1"/>
  <c r="D418" i="1"/>
  <c r="D421" i="1"/>
  <c r="D431" i="1"/>
  <c r="D417" i="1"/>
  <c r="D423" i="1"/>
  <c r="D429" i="1"/>
  <c r="D422" i="1"/>
  <c r="D428" i="1"/>
  <c r="C110" i="1"/>
  <c r="C267" i="1"/>
  <c r="C347" i="1"/>
  <c r="F103" i="1"/>
  <c r="F102" i="1"/>
  <c r="C71" i="7"/>
  <c r="C133" i="1"/>
  <c r="E108" i="1"/>
  <c r="C341" i="1"/>
  <c r="E50" i="1"/>
  <c r="D50" i="1"/>
  <c r="C127" i="1"/>
  <c r="E99" i="1"/>
  <c r="C91" i="17"/>
  <c r="C97" i="17" s="1"/>
  <c r="C99" i="17" s="1"/>
  <c r="C100" i="17" s="1"/>
  <c r="I497" i="1"/>
  <c r="K497" i="1" s="1"/>
  <c r="D90" i="17" l="1"/>
  <c r="B97" i="17"/>
  <c r="B99" i="17" s="1"/>
  <c r="B100" i="17" s="1"/>
  <c r="D35" i="1"/>
  <c r="E35" i="1"/>
  <c r="F499" i="1"/>
  <c r="H499" i="1" s="1"/>
  <c r="E499" i="1"/>
  <c r="C98" i="8"/>
  <c r="C79" i="1"/>
  <c r="C100" i="3"/>
  <c r="C184" i="1"/>
  <c r="I158" i="1" s="1"/>
  <c r="C488" i="1" s="1"/>
  <c r="B9" i="15"/>
  <c r="B23" i="15" s="1"/>
  <c r="B38" i="15" s="1"/>
  <c r="B40" i="15" s="1"/>
  <c r="C80" i="16"/>
  <c r="C260" i="1"/>
  <c r="I243" i="1"/>
  <c r="D491" i="1" s="1"/>
  <c r="I228" i="1"/>
  <c r="D474" i="1" s="1"/>
  <c r="I226" i="1"/>
  <c r="D473" i="1" s="1"/>
  <c r="F497" i="1"/>
  <c r="H497" i="1" s="1"/>
  <c r="E497" i="1"/>
  <c r="C93" i="16"/>
  <c r="C99" i="16" s="1"/>
  <c r="C101" i="16" s="1"/>
  <c r="C102" i="16" s="1"/>
  <c r="D92" i="16"/>
  <c r="F71" i="1"/>
  <c r="E71" i="1" s="1"/>
  <c r="C103" i="1"/>
  <c r="F72" i="1" s="1"/>
  <c r="E72" i="1" s="1"/>
  <c r="I159" i="1"/>
  <c r="C489" i="1" s="1"/>
  <c r="I167" i="1"/>
  <c r="C498" i="1" s="1"/>
  <c r="I160" i="1"/>
  <c r="C490" i="1" s="1"/>
  <c r="I241" i="1"/>
  <c r="D489" i="1" s="1"/>
  <c r="F489" i="1" s="1"/>
  <c r="I240" i="1"/>
  <c r="D488" i="1" s="1"/>
  <c r="F488" i="1" s="1"/>
  <c r="I242" i="1"/>
  <c r="D490" i="1" s="1"/>
  <c r="F490" i="1" s="1"/>
  <c r="I249" i="1"/>
  <c r="D498" i="1" s="1"/>
  <c r="F498" i="1" s="1"/>
  <c r="C111" i="1"/>
  <c r="C268" i="1"/>
  <c r="F79" i="1"/>
  <c r="C128" i="1"/>
  <c r="E102" i="1"/>
  <c r="I308" i="1"/>
  <c r="G473" i="1" s="1"/>
  <c r="C342" i="1"/>
  <c r="I310" i="1"/>
  <c r="G474" i="1" s="1"/>
  <c r="D133" i="1"/>
  <c r="E133" i="1"/>
  <c r="C129" i="1"/>
  <c r="E103" i="1"/>
  <c r="D71" i="7"/>
  <c r="F111" i="1"/>
  <c r="G102" i="1" s="1"/>
  <c r="C350" i="1"/>
  <c r="D341" i="1" s="1"/>
  <c r="C349" i="1"/>
  <c r="F110" i="1"/>
  <c r="F473" i="1" l="1"/>
  <c r="H473" i="1" s="1"/>
  <c r="E473" i="1"/>
  <c r="C80" i="1"/>
  <c r="C185" i="1"/>
  <c r="D98" i="8"/>
  <c r="F491" i="1"/>
  <c r="E491" i="1"/>
  <c r="F474" i="1"/>
  <c r="H474" i="1" s="1"/>
  <c r="E474" i="1"/>
  <c r="I239" i="1"/>
  <c r="D487" i="1" s="1"/>
  <c r="I238" i="1"/>
  <c r="D486" i="1" s="1"/>
  <c r="E489" i="1"/>
  <c r="D264" i="1"/>
  <c r="D268" i="1"/>
  <c r="D259" i="1"/>
  <c r="D258" i="1"/>
  <c r="D256" i="1"/>
  <c r="D265" i="1"/>
  <c r="D260" i="1"/>
  <c r="D255" i="1"/>
  <c r="D263" i="1"/>
  <c r="D266" i="1"/>
  <c r="D254" i="1"/>
  <c r="D257" i="1"/>
  <c r="D111" i="1"/>
  <c r="D108" i="1"/>
  <c r="D101" i="1"/>
  <c r="D107" i="1"/>
  <c r="D99" i="1"/>
  <c r="D97" i="1"/>
  <c r="D106" i="1"/>
  <c r="D100" i="1"/>
  <c r="D103" i="1"/>
  <c r="D102" i="1"/>
  <c r="F80" i="1"/>
  <c r="D96" i="1"/>
  <c r="D98" i="1"/>
  <c r="D109" i="1"/>
  <c r="E490" i="1"/>
  <c r="D110" i="1"/>
  <c r="E498" i="1"/>
  <c r="E488" i="1"/>
  <c r="E79" i="1"/>
  <c r="D267" i="1"/>
  <c r="D347" i="1"/>
  <c r="G110" i="1"/>
  <c r="C135" i="1"/>
  <c r="E110" i="1"/>
  <c r="E129" i="1"/>
  <c r="I322" i="1"/>
  <c r="G488" i="1" s="1"/>
  <c r="D349" i="1"/>
  <c r="I323" i="1"/>
  <c r="G489" i="1" s="1"/>
  <c r="I331" i="1"/>
  <c r="G498" i="1" s="1"/>
  <c r="I474" i="1"/>
  <c r="K474" i="1" s="1"/>
  <c r="D342" i="1"/>
  <c r="I320" i="1"/>
  <c r="G486" i="1" s="1"/>
  <c r="I321" i="1"/>
  <c r="G487" i="1" s="1"/>
  <c r="I324" i="1"/>
  <c r="G490" i="1" s="1"/>
  <c r="E128" i="1"/>
  <c r="D350" i="1"/>
  <c r="D336" i="1"/>
  <c r="D340" i="1"/>
  <c r="D345" i="1"/>
  <c r="D348" i="1"/>
  <c r="D337" i="1"/>
  <c r="D338" i="1"/>
  <c r="D346" i="1"/>
  <c r="D339" i="1"/>
  <c r="G96" i="1"/>
  <c r="G101" i="1"/>
  <c r="C136" i="1"/>
  <c r="D129" i="1" s="1"/>
  <c r="G100" i="1"/>
  <c r="G109" i="1"/>
  <c r="G97" i="1"/>
  <c r="G107" i="1"/>
  <c r="G111" i="1"/>
  <c r="G98" i="1"/>
  <c r="G106" i="1"/>
  <c r="E111" i="1"/>
  <c r="G99" i="1"/>
  <c r="G108" i="1"/>
  <c r="G103" i="1"/>
  <c r="I325" i="1"/>
  <c r="G491" i="1" s="1"/>
  <c r="I473" i="1"/>
  <c r="K473" i="1" s="1"/>
  <c r="F486" i="1" l="1"/>
  <c r="E486" i="1"/>
  <c r="D77" i="1"/>
  <c r="D76" i="1"/>
  <c r="D66" i="1"/>
  <c r="D80" i="1"/>
  <c r="D69" i="1"/>
  <c r="D65" i="1"/>
  <c r="D68" i="1"/>
  <c r="D75" i="1"/>
  <c r="D71" i="1"/>
  <c r="D70" i="1"/>
  <c r="D72" i="1"/>
  <c r="D78" i="1"/>
  <c r="D67" i="1"/>
  <c r="F487" i="1"/>
  <c r="E487" i="1"/>
  <c r="D79" i="1"/>
  <c r="D182" i="1"/>
  <c r="D183" i="1"/>
  <c r="D173" i="1"/>
  <c r="D176" i="1"/>
  <c r="D181" i="1"/>
  <c r="D175" i="1"/>
  <c r="D177" i="1"/>
  <c r="D172" i="1"/>
  <c r="D174" i="1"/>
  <c r="D180" i="1"/>
  <c r="D185" i="1"/>
  <c r="D171" i="1"/>
  <c r="D184" i="1"/>
  <c r="G71" i="1"/>
  <c r="G65" i="1"/>
  <c r="G76" i="1"/>
  <c r="G70" i="1"/>
  <c r="G72" i="1"/>
  <c r="G77" i="1"/>
  <c r="G75" i="1"/>
  <c r="G66" i="1"/>
  <c r="E80" i="1"/>
  <c r="G67" i="1"/>
  <c r="G69" i="1"/>
  <c r="G78" i="1"/>
  <c r="G80" i="1"/>
  <c r="G68" i="1"/>
  <c r="G79" i="1"/>
  <c r="I489" i="1"/>
  <c r="K489" i="1" s="1"/>
  <c r="H489" i="1"/>
  <c r="I490" i="1"/>
  <c r="K490" i="1" s="1"/>
  <c r="H490" i="1"/>
  <c r="I487" i="1"/>
  <c r="K487" i="1" s="1"/>
  <c r="H487" i="1"/>
  <c r="I488" i="1"/>
  <c r="K488" i="1" s="1"/>
  <c r="H488" i="1"/>
  <c r="D135" i="1"/>
  <c r="E135" i="1"/>
  <c r="I491" i="1"/>
  <c r="K491" i="1" s="1"/>
  <c r="H491" i="1"/>
  <c r="D125" i="1"/>
  <c r="D126" i="1"/>
  <c r="D136" i="1"/>
  <c r="E136" i="1"/>
  <c r="D127" i="1"/>
  <c r="D128" i="1"/>
  <c r="I486" i="1"/>
  <c r="K486" i="1" s="1"/>
  <c r="H486" i="1"/>
  <c r="I498" i="1"/>
  <c r="K498" i="1" s="1"/>
  <c r="H498" i="1"/>
</calcChain>
</file>

<file path=xl/sharedStrings.xml><?xml version="1.0" encoding="utf-8"?>
<sst xmlns="http://schemas.openxmlformats.org/spreadsheetml/2006/main" count="1376" uniqueCount="329">
  <si>
    <t>CUENTAS</t>
  </si>
  <si>
    <t>ANALISIS VERTICAL</t>
  </si>
  <si>
    <t>ANALISIS HORIZONTAL</t>
  </si>
  <si>
    <t>INGRESOS OPERACIONALES</t>
  </si>
  <si>
    <t>COSTO DE VENTAS</t>
  </si>
  <si>
    <t>UTILIDAD BRUTA</t>
  </si>
  <si>
    <t>GASTOS OPERACIONALES DE VENTAS</t>
  </si>
  <si>
    <t>UTILIDAD OPERACIONAL</t>
  </si>
  <si>
    <t>INGRESOS NO OPERACIONALES</t>
  </si>
  <si>
    <t>GASTOS NO OPERACIONALES</t>
  </si>
  <si>
    <t>UTILIDAD ANTES DE IMPUESTO</t>
  </si>
  <si>
    <t>GASTOS OPERACIONALES DE ADMIN.</t>
  </si>
  <si>
    <t>CREE</t>
  </si>
  <si>
    <t>IMPUESTO DE RENTA</t>
  </si>
  <si>
    <t>UTILIDAD NETA</t>
  </si>
  <si>
    <t>ESTADO DE RESULTADO COMPARATIVO 2015 VS 2014 (En Miles de Pesos)</t>
  </si>
  <si>
    <t>DISPONIBLES</t>
  </si>
  <si>
    <t>TOTAL DEUDORES</t>
  </si>
  <si>
    <t>CLIENTES</t>
  </si>
  <si>
    <t>TOTAL ACTIVOS CORRIENTES</t>
  </si>
  <si>
    <t>PROPIEDAD PLANTA Y EQUIPO BRUTO</t>
  </si>
  <si>
    <t>DEPRECIACION ACUMULADA</t>
  </si>
  <si>
    <t>PROPIEDAD PLANTA Y EQUIPO NETO</t>
  </si>
  <si>
    <t>INTANGIBLES</t>
  </si>
  <si>
    <t>TOTAL ACTIVO NO CORRIENTE</t>
  </si>
  <si>
    <t>TOTAL ACTIVO</t>
  </si>
  <si>
    <t>OBLIGACIONES FINANCIERAS (CP)</t>
  </si>
  <si>
    <t>PROVEEDORES</t>
  </si>
  <si>
    <t>CUENTAS POR PAGAR (CP)</t>
  </si>
  <si>
    <t>IMPUESTOS, GRAVAMENES Y TASAS</t>
  </si>
  <si>
    <t>DIFERIDOS CORTO PLAZO</t>
  </si>
  <si>
    <t>TOTAL PASIVO CORRIENTE</t>
  </si>
  <si>
    <t>TOTAL PASIVO</t>
  </si>
  <si>
    <t>SUBTOTAL OTROS PASIVOS (CP)</t>
  </si>
  <si>
    <t>CAPITAL SOCIAL</t>
  </si>
  <si>
    <t>RESERVA LEGAL</t>
  </si>
  <si>
    <t>RESULTADOS DEL EJERCICIO</t>
  </si>
  <si>
    <t>RESULTADOS DE EJERCICIOS ANTERIORES</t>
  </si>
  <si>
    <t>TOTAL PATRIMONIO</t>
  </si>
  <si>
    <t>TOTAL PASIVO Y PATRIMONIO</t>
  </si>
  <si>
    <t>ESTADO DE RESULTADOS (En miles de pesos)</t>
  </si>
  <si>
    <t>A VERTICAL</t>
  </si>
  <si>
    <t>COSTOS DE VENTAS</t>
  </si>
  <si>
    <t>GASTOS OPERACIONALES DE ADMINISTRACION</t>
  </si>
  <si>
    <t>INDICADORES FINANCIEROS PARCIALES</t>
  </si>
  <si>
    <t>LIQUIDEZ</t>
  </si>
  <si>
    <t>RAZON CORRIENTE (Veces)</t>
  </si>
  <si>
    <t>PRUEBA SUPER ACIDA (Veces)</t>
  </si>
  <si>
    <t>ACTIVIDAD</t>
  </si>
  <si>
    <t>ROTACION DE CARTERA (Dias)</t>
  </si>
  <si>
    <t>ROTACION DE ACTIVOS FIJOS (Dias)</t>
  </si>
  <si>
    <t>DIAS DE CUENTAS POR COBRAR</t>
  </si>
  <si>
    <t>ROTACION DE ACTIVOS TOTALES (Veces)</t>
  </si>
  <si>
    <t>ROTACION DEL CAPITAL DE TRABAJO</t>
  </si>
  <si>
    <t>BALANCE (En miles de pesos)</t>
  </si>
  <si>
    <t>A. VERTICAL</t>
  </si>
  <si>
    <t>ENDEUDAMIENTO</t>
  </si>
  <si>
    <t>NIVEL DE ENDEUDAMIENTO (%)</t>
  </si>
  <si>
    <t>ENDEUDAMIENTO FINANCIERO (%)</t>
  </si>
  <si>
    <t>RAZON DE AUTONOMIA (%)</t>
  </si>
  <si>
    <t>APALANCAMIENTO INTERNO (%)</t>
  </si>
  <si>
    <t>LAVERAGE O APALANCAMIENTO</t>
  </si>
  <si>
    <t>CONCEN. DEL ENDEUDAMIENTO EN CP (%)</t>
  </si>
  <si>
    <t>RENTABILIDAD</t>
  </si>
  <si>
    <t>MARGEN BRUTO DE UTILIDAD (%)</t>
  </si>
  <si>
    <t>MARGEN OPERACIONAL DE UTILIDAD (%)</t>
  </si>
  <si>
    <t>MARGEN NETO DE UTILIDAD</t>
  </si>
  <si>
    <t>RENDIMIENTO DEL PATRIMONIO (%)</t>
  </si>
  <si>
    <t>RENDIMIENTO DEL ACTIVO TOTAL (%)</t>
  </si>
  <si>
    <t>INDICADORES FINANCIEROS COMPARATIVOS EMPRESA</t>
  </si>
  <si>
    <t>INDICADORES DE LIQUIDEZ</t>
  </si>
  <si>
    <t xml:space="preserve">INDICADOR </t>
  </si>
  <si>
    <t>CAPITAL NETO DE TRABAJO ($000)</t>
  </si>
  <si>
    <t>DIFERENCIA</t>
  </si>
  <si>
    <t>INDICADORES DE ACTIVIDAD</t>
  </si>
  <si>
    <t>ROTACION DE CARTERA (Veces)</t>
  </si>
  <si>
    <t>DIAS CUENTAS POR COBRAR</t>
  </si>
  <si>
    <t>ROTACION DE ACTIVOS FIJOS (Veces)</t>
  </si>
  <si>
    <t>INDICADORES DE ENDEUDAMIENTO</t>
  </si>
  <si>
    <t>RAZON DE AUTONOMIA</t>
  </si>
  <si>
    <t>APALANCAMIENTO INTERNO</t>
  </si>
  <si>
    <t>INDICADORES DE RENTABILIDAD</t>
  </si>
  <si>
    <t>MARGEN NETO DE UTILIDAD (%)</t>
  </si>
  <si>
    <t>Muestra el aumento o disminución de un año frente al inmediatamente anterior</t>
  </si>
  <si>
    <t>Muestra el porcentaje que representan los items evaluados frente a los activos del año evaluado.</t>
  </si>
  <si>
    <t>LABS TRANSPORTE DE CARGA SAS</t>
  </si>
  <si>
    <t>NIT. 9 0 0 6 7 3 3 6 1 - 6</t>
  </si>
  <si>
    <t>ESTADO DE RESULTADOS INTEGRAL</t>
  </si>
  <si>
    <t>DESDE EL 01 DE ENERO AL 31 DE DICIEMBRE DE 2016</t>
  </si>
  <si>
    <t>INGRESOS</t>
  </si>
  <si>
    <t>Servicio Complementarios para el Transporte</t>
  </si>
  <si>
    <t>TOTAL INGRESOS</t>
  </si>
  <si>
    <t>COSTO DE VENTA</t>
  </si>
  <si>
    <t>Gastos de personal</t>
  </si>
  <si>
    <t>Cargue</t>
  </si>
  <si>
    <t>Descargue</t>
  </si>
  <si>
    <t>Combustible</t>
  </si>
  <si>
    <t>Mantenimiento y reparaciones</t>
  </si>
  <si>
    <t>Lavadas</t>
  </si>
  <si>
    <t>Llantas</t>
  </si>
  <si>
    <t>GPS</t>
  </si>
  <si>
    <t>SOAT y todo riesgo</t>
  </si>
  <si>
    <t>Peajes</t>
  </si>
  <si>
    <t>Parqueos</t>
  </si>
  <si>
    <t>Dotacion</t>
  </si>
  <si>
    <t>Bascula</t>
  </si>
  <si>
    <t>Seguridad y salud ocupacional</t>
  </si>
  <si>
    <t>Revision tecnomecanica</t>
  </si>
  <si>
    <t>Depreciacion</t>
  </si>
  <si>
    <t>Otros costos</t>
  </si>
  <si>
    <t>TOTAL COSTOS DE VENTAS</t>
  </si>
  <si>
    <t>UTILIDAD BRUTA EN VENTAS</t>
  </si>
  <si>
    <t>GASTOS</t>
  </si>
  <si>
    <t>OPERACIONALES DE ADMINISTRACION</t>
  </si>
  <si>
    <t>Gastos de Personal</t>
  </si>
  <si>
    <t>Honorarios</t>
  </si>
  <si>
    <t>Impuestos</t>
  </si>
  <si>
    <t>Arrendamientos</t>
  </si>
  <si>
    <t>Servicios</t>
  </si>
  <si>
    <t>Gastos legales</t>
  </si>
  <si>
    <t>Diversos</t>
  </si>
  <si>
    <t>TOTAL GASTO OPERACIONALES DE ADMINISTRACION</t>
  </si>
  <si>
    <t>OPERACIONALES DE VENTAS</t>
  </si>
  <si>
    <t>TOTAL GASTO OPERACIONALES DE VENTAS</t>
  </si>
  <si>
    <t>TOTAL GASTOS OPERACIONALES</t>
  </si>
  <si>
    <t>Financieros</t>
  </si>
  <si>
    <t>TOTAL GASTOS NO OPERACIONALES</t>
  </si>
  <si>
    <t>UTILIDAD DEL EJERCICIO</t>
  </si>
  <si>
    <t>Impuesto sobre la renta y complementarios</t>
  </si>
  <si>
    <t>Impuesto de renta para la equidad CREE</t>
  </si>
  <si>
    <t>LUIS ALEJANDRO BECERRA SOSA</t>
  </si>
  <si>
    <t xml:space="preserve">WELMAR FERNANDO RINCON </t>
  </si>
  <si>
    <t>C.C. 7.216.425 de Duitama</t>
  </si>
  <si>
    <t>TP 120892-T</t>
  </si>
  <si>
    <t>CONTADOR PUBLICO</t>
  </si>
  <si>
    <t>ESTADO DE SITUACION FINANCIERA</t>
  </si>
  <si>
    <t>AL 31 DE DICIEMBRE DE 2016</t>
  </si>
  <si>
    <t>ACTIVO</t>
  </si>
  <si>
    <t xml:space="preserve">ACTIVO CORRIENTE </t>
  </si>
  <si>
    <t>EFECTIVO Y EQUIVALENTES DE EFECTIVO</t>
  </si>
  <si>
    <t>Caja</t>
  </si>
  <si>
    <t>Bancolombia Cuenta de ahorros N° 26215832111</t>
  </si>
  <si>
    <t>TOTAL EFECTIVO Y EQUIVALENTES DE EFECTIVO</t>
  </si>
  <si>
    <t xml:space="preserve">                   </t>
  </si>
  <si>
    <t>CUENTAS COMERCIALES Y OTRAS CUENTAS POR COBRAR</t>
  </si>
  <si>
    <t>Clientes</t>
  </si>
  <si>
    <t>Anticipos y avances</t>
  </si>
  <si>
    <t>Anticipos de Impuestos y Contribuciones</t>
  </si>
  <si>
    <t>TOTAL CUENTAS COMERCIALES Y OTRAS CUENTAS POR COBRAR</t>
  </si>
  <si>
    <t xml:space="preserve">TOTAL ACTIVO CORRIENTE </t>
  </si>
  <si>
    <t>ACTIVO  NO CORRIENTE</t>
  </si>
  <si>
    <t>PROPIEDAD PLANTA Y EQUIPO</t>
  </si>
  <si>
    <t>EQUIPO DE OFICINA</t>
  </si>
  <si>
    <t>Muebles y enseres</t>
  </si>
  <si>
    <t>TOTAL EQUIPO DE OFICINA</t>
  </si>
  <si>
    <t>EQUIPO DE COMPUTACION Y COMUNICACIÓN</t>
  </si>
  <si>
    <t>Equipos de procesamientos de datos</t>
  </si>
  <si>
    <t>TOTAL EQUIPO DE COMPUTACION Y COMUNICACIÓN</t>
  </si>
  <si>
    <t>FLOTA Y EQUIPO DE TRANSPORTE</t>
  </si>
  <si>
    <t>Tractomulas y Remolques</t>
  </si>
  <si>
    <t>Depreciacion acumulada</t>
  </si>
  <si>
    <t>TOTAL FLOTA Y EQUIPO DE TRANSPORTE</t>
  </si>
  <si>
    <t>TOTAL PROPIEDAD PLANTA Y EQUIPO</t>
  </si>
  <si>
    <t>Software contable</t>
  </si>
  <si>
    <t>TOTAL INTANGIBLES</t>
  </si>
  <si>
    <t xml:space="preserve">TOTAL ACTIVO  NO CORRIENTE </t>
  </si>
  <si>
    <t xml:space="preserve">TOTAL ACTIVO </t>
  </si>
  <si>
    <t xml:space="preserve">PASIVO </t>
  </si>
  <si>
    <t>Nacionales</t>
  </si>
  <si>
    <t>TOTAL PROVEEDORES</t>
  </si>
  <si>
    <t>CUENTAS POR PAGAR COMERCIALES Y OTRAS CUENTAS POR PAGAR</t>
  </si>
  <si>
    <t>Costos y Gastos por pagar</t>
  </si>
  <si>
    <t>Retencion en la fuente</t>
  </si>
  <si>
    <t>Retenciones y aportes de nomina</t>
  </si>
  <si>
    <t>Cuentas por pagar a socios y accionistas</t>
  </si>
  <si>
    <t>DIFERIDOS</t>
  </si>
  <si>
    <t>Ingresos recibidos por anticipado</t>
  </si>
  <si>
    <t>TOTAL DIFERIDOS</t>
  </si>
  <si>
    <t>OTROS PASIVOS</t>
  </si>
  <si>
    <t>Ingresos recibidos para terceros</t>
  </si>
  <si>
    <t>TOTAL OTROS PASIVOS</t>
  </si>
  <si>
    <t>PASIVO POR IMPUESTO CORRIENTE</t>
  </si>
  <si>
    <t>Impuesto de renta y complementarios</t>
  </si>
  <si>
    <t>TOTAL PASIVO POR IMPUESTO CORRIENTE</t>
  </si>
  <si>
    <t xml:space="preserve">TOTAL PASIVO </t>
  </si>
  <si>
    <t xml:space="preserve">PATRIMONIO </t>
  </si>
  <si>
    <t xml:space="preserve">CAPITAL SOCIAL                                                      </t>
  </si>
  <si>
    <t>Capital Suscrito y Pagado</t>
  </si>
  <si>
    <t xml:space="preserve">TOTAL CAPITAL SOCIAL                                                      </t>
  </si>
  <si>
    <t>RESERVAS</t>
  </si>
  <si>
    <t>Reserva legal</t>
  </si>
  <si>
    <t xml:space="preserve">TOTAL RESERVAS                                                 </t>
  </si>
  <si>
    <t>Utilidad del ejercicio</t>
  </si>
  <si>
    <t>TOTAL RESULTADOS DEL EJERCICIO</t>
  </si>
  <si>
    <t>RESULTADO DE EJERCICIOS ANTERIORES</t>
  </si>
  <si>
    <t>Utilidades o excedentes acumulados</t>
  </si>
  <si>
    <t>TOTAL RESULTADOS DE EJERCICIOS ANTERIORES</t>
  </si>
  <si>
    <t xml:space="preserve">TOTAL PATRIMONIO </t>
  </si>
  <si>
    <t xml:space="preserve">TOTAL PASIVO Y PATRIMONIO </t>
  </si>
  <si>
    <t>ESTADO DE RESULTADOS</t>
  </si>
  <si>
    <t>DESDE EL 01 DE ENERO AL 31 DE DICIEMBRE DE 2014</t>
  </si>
  <si>
    <t>TOTAL OPERACIONALES DE ADMINISTRACION</t>
  </si>
  <si>
    <t xml:space="preserve">BALANCE GENERAL </t>
  </si>
  <si>
    <t>AL 31 DE DICIEMBRE DE 2014</t>
  </si>
  <si>
    <t>DISPONIBLE</t>
  </si>
  <si>
    <t>TOTAL DISPONIBLE</t>
  </si>
  <si>
    <t>DEUDORES</t>
  </si>
  <si>
    <t>IMPUESTOS GRAVAMENES Y TASAS</t>
  </si>
  <si>
    <t>TOTAL IMPUESTOS GRAVAMENES Y TASAS</t>
  </si>
  <si>
    <t>ESTADO DE RESULTADOS INTEGRAL Y OTROS RESULTADOS</t>
  </si>
  <si>
    <t>DESDE EL 01 DE ENERO AL 31 DE DICIEMBRE DE 2015</t>
  </si>
  <si>
    <t>Otros ingresos no operacionales</t>
  </si>
  <si>
    <t>GASTOS ORDINARIOS</t>
  </si>
  <si>
    <t>TOTAL GASTOS ORDINARIOS</t>
  </si>
  <si>
    <t>TOTAL INGRESOS NO OPERACIONALES</t>
  </si>
  <si>
    <t>Gastos Diversos</t>
  </si>
  <si>
    <t>AL 31 DE DICIEMBRE DE 2015</t>
  </si>
  <si>
    <t>Caja y Bancos</t>
  </si>
  <si>
    <t xml:space="preserve">Anticipo de impuestos y contribuciones </t>
  </si>
  <si>
    <t>Retencion de ICA</t>
  </si>
  <si>
    <t>TOTAL CUENTAS POR PAGAR COMERCIALES Y OTRAS CUENTAS POR PAGAR</t>
  </si>
  <si>
    <t>CAPITAL SUSCRITO Y PAGADO</t>
  </si>
  <si>
    <t>ESTADO DE RESULTADOS INTEGRAL Y OTRO RESULTADO</t>
  </si>
  <si>
    <t>DESDE EL 01 DE ENERO AL 31 DE DICIEMBRE DE 2017</t>
  </si>
  <si>
    <t>INGRESOS ORDINARIOS</t>
  </si>
  <si>
    <t>Comisiones intermediacion de transporte</t>
  </si>
  <si>
    <t>Viaticos</t>
  </si>
  <si>
    <t>IVA mayor valor</t>
  </si>
  <si>
    <t xml:space="preserve">Depreciacion </t>
  </si>
  <si>
    <t xml:space="preserve">Adecuacion e instalacion </t>
  </si>
  <si>
    <t>Gastos de Viaje</t>
  </si>
  <si>
    <t>Depreciaciones</t>
  </si>
  <si>
    <t>Indemnizaciones</t>
  </si>
  <si>
    <t>Otros</t>
  </si>
  <si>
    <t xml:space="preserve">ESTADO DE SITUACION FINANCIERA </t>
  </si>
  <si>
    <t>AL 31 DE DICIEMBRE DE 2017</t>
  </si>
  <si>
    <t>Cuentas por cobrar a socios y accionistas</t>
  </si>
  <si>
    <t>Licencias</t>
  </si>
  <si>
    <t>OBLIGACIONES FINANCIERAS</t>
  </si>
  <si>
    <t>Bancos nacionales</t>
  </si>
  <si>
    <t>TOTAL OBLIGACIONES FINANCIERAS</t>
  </si>
  <si>
    <t>Anticipos y avances recibidos de clientes</t>
  </si>
  <si>
    <t>Intereses</t>
  </si>
  <si>
    <t>OTROS PASIVOS CORTO PLAZO</t>
  </si>
  <si>
    <t>CAPITAL NETO DE TRABAJO ($)</t>
  </si>
  <si>
    <t>promedio</t>
  </si>
  <si>
    <t>INDICADORES AÑO 2017</t>
  </si>
  <si>
    <t>INDICADORES AÑO 2016</t>
  </si>
  <si>
    <t>INDICADORES AÑO 2015</t>
  </si>
  <si>
    <t>INDICADORES AÑO 2014</t>
  </si>
  <si>
    <t>Impuesto sobre la renta para la equidad CREE</t>
  </si>
  <si>
    <t>REPRESENTANTE LEGAL</t>
  </si>
  <si>
    <t>Servicio de Transporte de carga por Carretera</t>
  </si>
  <si>
    <t>SERVICIO DE TRANSPORTE DE CARGA POR CARRETERA</t>
  </si>
  <si>
    <t xml:space="preserve">Reserva Legal </t>
  </si>
  <si>
    <t>TOTAL RESERVAS</t>
  </si>
  <si>
    <t xml:space="preserve">IMPUESTOS Y GRAVAMENES </t>
  </si>
  <si>
    <t>TOTAL IMPUESTOS Y GRAVAMENES</t>
  </si>
  <si>
    <t>IMPUESTO SOBRE LA RENTA Y COMPLEMENTARIOS</t>
  </si>
  <si>
    <t>TOTAL GASTOS OPERACIONALES DE VENTAS</t>
  </si>
  <si>
    <t>Gravamen a los movimientos financieros</t>
  </si>
  <si>
    <t>TOTAL IMPUESTO SOBRE LA RENTA Y COMPLEMENTARIOS</t>
  </si>
  <si>
    <t>LAVERAGE</t>
  </si>
  <si>
    <t>Muestra el porcentaje que representan los items evaluados frente a las ventas del año evaluado</t>
  </si>
  <si>
    <t>VARIACIÓN ESTADO DE RESULTADOS</t>
  </si>
  <si>
    <t>ANÁLISIS HORIZONTAL- ESTADO DE RESULTADOS</t>
  </si>
  <si>
    <t>ANÁLISIS FINANCIERO GRÁFICO</t>
  </si>
  <si>
    <t>ANÁLISIS VERTICAL- ESTADO DE RESULTADOS</t>
  </si>
  <si>
    <t>VARIACIÓN SITUACIÓN FINANCIERA</t>
  </si>
  <si>
    <t>ESTRUCTURA DE SITUACIÓN FINANCIERA</t>
  </si>
  <si>
    <t>ANALISIS HORIZONTAL - SITUACIÓN FINANCIERA</t>
  </si>
  <si>
    <t>INFORMACIÓN FINANCIERA</t>
  </si>
  <si>
    <t xml:space="preserve">La razon corriente para el año 2017 es de 1,5 veces el cual muestra que la compañía por cada peso que tiene de deuda posee capacidad para afrontar sus compromisos y su capital neto es de $154.916.000.  </t>
  </si>
  <si>
    <t>SITUACIÓN FINANCIERA (En Miles de Pesos)</t>
  </si>
  <si>
    <t>El nivel de endeudamiento total para el año 2017 de la compañía es de 27,89%, este porcentaje no sobrepasa el indice financieramente aceptado (60%), lo que le da capacidad para respadar con sus activos futuros negocios a plazos, ya que un equilibrado monto de su patrimonio bruto esta comprometido con acreedores ya existentes. La concentración del endeudamiento en el corto plazo es de 100%, lo que indica el total de sus pasivos, este porcentaje tiene una exigencia a un periodo menor a un año</t>
  </si>
  <si>
    <t>2015</t>
  </si>
  <si>
    <t>2014</t>
  </si>
  <si>
    <t>ROTACION DE CUENTAS POR COBRAR (Veces)</t>
  </si>
  <si>
    <t xml:space="preserve">ESTADO DE RESULTADO COMPARATIVO 2017 VS 2016 </t>
  </si>
  <si>
    <t xml:space="preserve">ESTADO DE RESULTADO COMPARATIVO 2016 VS 2015 </t>
  </si>
  <si>
    <t>UTILIDAD ANTES DE IMPUESTOS</t>
  </si>
  <si>
    <t xml:space="preserve">UTILIDAD ANTES DE IMPUESTOS </t>
  </si>
  <si>
    <t>ESTADO DE FLUJOS DE EFECTIVO CONSOLIDADO</t>
  </si>
  <si>
    <t>A DICIEMBRE 31 DE 2017</t>
  </si>
  <si>
    <t>Flujo de Caja Operativo</t>
  </si>
  <si>
    <t>Variación del Capital de Trabajo</t>
  </si>
  <si>
    <t>Variacion Cuentas Comerciales por Cobrar</t>
  </si>
  <si>
    <t>Varacion anticipos y avances entregados</t>
  </si>
  <si>
    <t>Variacion activos por impuestos corrientes</t>
  </si>
  <si>
    <t>Variacion Obligaciones Financieras</t>
  </si>
  <si>
    <t xml:space="preserve">     Variacion cuentas comerciales por pagar y otras cuentas por pagar</t>
  </si>
  <si>
    <t>Neto Flujo de Caja Operativo</t>
  </si>
  <si>
    <t>Flujo de Caja Inversión</t>
  </si>
  <si>
    <t>Neto Flujo de Caja Inversión</t>
  </si>
  <si>
    <t>Flujo de Caja Financiamiento</t>
  </si>
  <si>
    <t>Variacion Pasivo Largo Plazo</t>
  </si>
  <si>
    <t xml:space="preserve"> Pago dividendos</t>
  </si>
  <si>
    <t>Neto Flujo de Caja Financiamiento</t>
  </si>
  <si>
    <t>Neto Periodo</t>
  </si>
  <si>
    <t>Saldo anterior</t>
  </si>
  <si>
    <t>Saldo siguiente</t>
  </si>
  <si>
    <t>Utilidad Operacional</t>
  </si>
  <si>
    <t>ESTADO DE SITUACION FINANCIERA CONSOLIDADO</t>
  </si>
  <si>
    <t>VARIACION</t>
  </si>
  <si>
    <t>Variacion Cuentas por cobrar a Socios y accionistas</t>
  </si>
  <si>
    <t xml:space="preserve">     Variacion otros pasivos</t>
  </si>
  <si>
    <t>Ingresos no operacionales</t>
  </si>
  <si>
    <t>Gastos no operacionales</t>
  </si>
  <si>
    <t>Inversión intangibles</t>
  </si>
  <si>
    <t>Variacion proveedores</t>
  </si>
  <si>
    <t>Impuesto de renta</t>
  </si>
  <si>
    <t>A DICIEMBRE 31 DE 2016</t>
  </si>
  <si>
    <t>ICAindustria y comercio</t>
  </si>
  <si>
    <t xml:space="preserve"> IMPUESTOS Y GRAVAMENES</t>
  </si>
  <si>
    <t>TOTAL  IMPUESTOS Y GRAVAMENES</t>
  </si>
  <si>
    <t>Inversión equipo de procesamiento de datos</t>
  </si>
  <si>
    <t>Inversión Muebles y enseres</t>
  </si>
  <si>
    <t>A DICIEMBRE 31 DE 2015</t>
  </si>
  <si>
    <t>Inversión Flota y Equipo de transporte</t>
  </si>
  <si>
    <t>Resultado:</t>
  </si>
  <si>
    <t>El flujo de caja histórico demuestra que para el año 2017 tuvo un crecimiento donde la empresa cuenta con caja para soportar la atención del servicio de la deuda y el reparto de utilidades, entre otras. Este comportamiento puede deberse a que la empresa ha tomado decisiones para propender el aumento del flujo de caja y la tasa de descuento</t>
  </si>
  <si>
    <t>El capital neto de trabajo muestra que la empresa para el año 2017 cuenta con recursos suficientes para respalda sus obligaciones a corto plazo, ya que su resultado fue de $154.916.000</t>
  </si>
  <si>
    <t>El margen neto de utilidad para el año 2017 muestra que por cada peso vendido la utilidad generada es del 2,75%, sin embargo, históricamente se observa que disminuye este porcentaje. Se recomienda a la empresa observar las politicas de ventas, porque también en margen bruto de utilidad en el 2017 fue de 12,03% teniendo una diferencia de -2,07% respecto al año anterior.</t>
  </si>
  <si>
    <t>La rentabilidad del patrimonio históricamente no mantiene una línea de crecimiento estable, ya que para el 2015 fue de 7,10% y al año 2017 esta en 4,33%, lo que significa que ha disminuido la rentabilidad de los fondos aportados por los inversionistas, esto puede deberse a las diferencias que hemos encontrado en el margen neto de utilidad por las ventas realizadas.</t>
  </si>
  <si>
    <t>Los ingresos operacionales, los costos de ventas y los pasivos aumentan significativamente históricamente, lo cual esto no es muy favorable para la empresa porque las ventas aumentan casi que igual que el costo de ventas, dejando un margen de rentabilidad muy bajo y los pasivos estan aumentando debido a las cuentas por pagar a proveedores ya que incrementan inusualmente respecto a las cuentas por cobrar, lo anterior se puede observar en las siguientes gráficas:</t>
  </si>
  <si>
    <t>La rotación de cartera de la empresa históricamente va disminuyendo el número de veces que las cuentas por cobrar giran en promedio, siendo esto positivo para la empresa ya que está recuperando más rápidamente su efectivo.</t>
  </si>
  <si>
    <t>El indicador de laverage establece que la empresa esta produciendo una rentabilidad superior a la tasa de interés que se paga por los activos financiados, es decir, esta corriendo menos riesgo.</t>
  </si>
  <si>
    <t>El rendimiento del activo total históricamente, muestra que la empresa no ha tenido la mejor efectividad en la administración para producir utilidades de los activos totales, sin embargo, se destaca que para el año 2017 tuvo un crecimiento de 0,36% respecto al año anterior.</t>
  </si>
  <si>
    <t>ESTADO DE RESULTADO HISTÓRICO 2014-2017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</si>
</sst>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5" formatCode="&quot;$&quot;\ #,##0;\-&quot;$&quot;\ #,##0"/>
    <numFmt numFmtId="42" formatCode="_-&quot;$&quot;\ * #,##0_-;\-&quot;$&quot;\ * #,##0_-;_-&quot;$&quot;\ * &quot;-&quot;_-;_-@_-"/>
    <numFmt numFmtId="41" formatCode="_-* #,##0_-;\-* #,##0_-;_-* &quot;-&quot;_-;_-@_-"/>
    <numFmt numFmtId="43" formatCode="_-* #,##0.00_-;\-* #,##0.00_-;_-* &quot;-&quot;??_-;_-@_-"/>
    <numFmt numFmtId="164" formatCode="&quot;$&quot;\ #,##0_);[Red]\(&quot;$&quot;\ #,##0\)"/>
    <numFmt numFmtId="165" formatCode="_(* #,##0.00_);_(* \(#,##0.00\);_(* &quot;-&quot;??_);_(@_)"/>
    <numFmt numFmtId="166" formatCode="[$$-240A]\ #,##0"/>
    <numFmt numFmtId="167" formatCode="&quot;$&quot;\ #,##0"/>
    <numFmt numFmtId="168" formatCode="_ * #,##0.00_ ;_ * \-#,##0.00_ ;_ * &quot;-&quot;??_ ;_ @_ "/>
    <numFmt numFmtId="169" formatCode="_(* #,##0_);_(* \(#,##0\);_(* &quot;-&quot;??_);_(@_)"/>
    <numFmt numFmtId="170" formatCode="_ * #,##0_ ;_ * \-#,##0_ ;_ * &quot;-&quot;??_ ;_ @_ "/>
    <numFmt numFmtId="171" formatCode="_-* #,##0.00\ _€_-;\-* #,##0.00\ _€_-;_-* &quot;-&quot;??\ _€_-;_-@_-"/>
    <numFmt numFmtId="172" formatCode="##,##0.00_);[Red]\(##,##0.00\)"/>
    <numFmt numFmtId="173" formatCode="_-* #,##0.00\ &quot;€&quot;_-;\-* #,##0.00\ &quot;€&quot;_-;_-* &quot;-&quot;??\ &quot;€&quot;_-;_-@_-"/>
    <numFmt numFmtId="174" formatCode="_ &quot;$&quot;\ * #,##0.00_ ;_ &quot;$&quot;\ * \-#,##0.00_ ;_ &quot;$&quot;\ * &quot;-&quot;??_ ;_ @_ "/>
    <numFmt numFmtId="175" formatCode="_ [$€-2]\ * #,##0.00_ ;_ [$€-2]\ * \-#,##0.00_ ;_ [$€-2]\ * &quot;-&quot;??_ "/>
    <numFmt numFmtId="176" formatCode="_ &quot;$&quot;\ * #,##0_ ;_ &quot;$&quot;\ * \-#,##0_ ;_ &quot;$&quot;\ * &quot;-&quot;??_ ;_ @_ "/>
    <numFmt numFmtId="177" formatCode="#,##0.00;[Red]#,##0.00"/>
    <numFmt numFmtId="178" formatCode="_-* #,##0_-;\-* #,##0_-;_-* &quot;-&quot;??_-;_-@_-"/>
    <numFmt numFmtId="179" formatCode="_-* #,##0\ _€_-;\-* #,##0\ _€_-;_-* &quot;-&quot;??\ _€_-;_-@_-"/>
  </numFmts>
  <fonts count="27">
    <font>
      <sz val="11"/>
      <color theme="1"/>
      <name val="Calibri"/>
      <family val="2"/>
      <scheme val="minor"/>
    </font>
    <font>
      <b/>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color theme="1"/>
      <name val="Calibri"/>
      <family val="2"/>
      <scheme val="minor"/>
    </font>
    <font>
      <sz val="10"/>
      <name val="Arial"/>
      <family val="2"/>
    </font>
    <font>
      <sz val="10"/>
      <name val="Verdana   "/>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Arial"/>
      <family val="2"/>
    </font>
    <font>
      <b/>
      <sz val="12"/>
      <name val="Times New Roman"/>
      <family val="1"/>
    </font>
    <font>
      <sz val="12"/>
      <name val="Times New Roman"/>
      <family val="1"/>
    </font>
    <font>
      <b/>
      <sz val="12"/>
      <color theme="1"/>
      <name val="Times New Roman"/>
      <family val="1"/>
    </font>
    <font>
      <sz val="12"/>
      <color theme="1"/>
      <name val="Times New Roman"/>
      <family val="1"/>
    </font>
    <font>
      <b/>
      <sz val="12"/>
      <color theme="0"/>
      <name val="Times New Roman"/>
      <family val="1"/>
    </font>
    <font>
      <sz val="12"/>
      <color theme="0"/>
      <name val="Times New Roman"/>
      <family val="1"/>
    </font>
    <font>
      <b/>
      <u/>
      <sz val="12"/>
      <name val="Times New Roman"/>
      <family val="1"/>
    </font>
  </fonts>
  <fills count="40">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B5C6E7"/>
        <bgColor indexed="64"/>
      </patternFill>
    </fill>
    <fill>
      <patternFill patternType="solid">
        <fgColor theme="4" tint="-0.249977111117893"/>
        <bgColor indexed="64"/>
      </patternFill>
    </fill>
    <fill>
      <patternFill patternType="solid">
        <fgColor theme="4" tint="0.79998168889431442"/>
        <bgColor indexed="64"/>
      </patternFill>
    </fill>
  </fills>
  <borders count="33">
    <border>
      <left/>
      <right/>
      <top/>
      <bottom/>
      <diagonal/>
    </border>
    <border>
      <left/>
      <right/>
      <top/>
      <bottom style="medium">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right/>
      <top/>
      <bottom style="thin">
        <color theme="0"/>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indexed="64"/>
      </top>
      <bottom style="medium">
        <color indexed="64"/>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top style="thin">
        <color indexed="64"/>
      </top>
      <bottom style="medium">
        <color indexed="64"/>
      </bottom>
      <diagonal/>
    </border>
    <border>
      <left/>
      <right style="thin">
        <color theme="0"/>
      </right>
      <top style="thin">
        <color indexed="64"/>
      </top>
      <bottom style="medium">
        <color indexed="64"/>
      </bottom>
      <diagonal/>
    </border>
    <border>
      <left/>
      <right style="thin">
        <color theme="0"/>
      </right>
      <top style="thin">
        <color theme="0"/>
      </top>
      <bottom/>
      <diagonal/>
    </border>
    <border>
      <left/>
      <right/>
      <top style="thin">
        <color indexed="64"/>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diagonal/>
    </border>
    <border>
      <left style="thin">
        <color theme="0"/>
      </left>
      <right/>
      <top style="thin">
        <color theme="0"/>
      </top>
      <bottom style="medium">
        <color indexed="64"/>
      </bottom>
      <diagonal/>
    </border>
  </borders>
  <cellStyleXfs count="60">
    <xf numFmtId="0" fontId="0" fillId="0" borderId="0"/>
    <xf numFmtId="43" fontId="5" fillId="0" borderId="0" applyFont="0" applyFill="0" applyBorder="0" applyAlignment="0" applyProtection="0"/>
    <xf numFmtId="168" fontId="6" fillId="0" borderId="0" applyFont="0" applyFill="0" applyBorder="0" applyAlignment="0" applyProtection="0"/>
    <xf numFmtId="0" fontId="8" fillId="0" borderId="0" applyNumberFormat="0" applyFill="0" applyBorder="0" applyAlignment="0" applyProtection="0"/>
    <xf numFmtId="0" fontId="9" fillId="0" borderId="2" applyNumberFormat="0" applyFill="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5" borderId="0" applyNumberFormat="0" applyBorder="0" applyAlignment="0" applyProtection="0"/>
    <xf numFmtId="0" fontId="12" fillId="6" borderId="0" applyNumberFormat="0" applyBorder="0" applyAlignment="0" applyProtection="0"/>
    <xf numFmtId="0" fontId="13" fillId="7" borderId="0" applyNumberFormat="0" applyBorder="0" applyAlignment="0" applyProtection="0"/>
    <xf numFmtId="0" fontId="14" fillId="8" borderId="4" applyNumberFormat="0" applyAlignment="0" applyProtection="0"/>
    <xf numFmtId="0" fontId="15" fillId="9" borderId="5" applyNumberFormat="0" applyAlignment="0" applyProtection="0"/>
    <xf numFmtId="0" fontId="16" fillId="9" borderId="4" applyNumberFormat="0" applyAlignment="0" applyProtection="0"/>
    <xf numFmtId="0" fontId="17" fillId="0" borderId="6" applyNumberFormat="0" applyFill="0" applyAlignment="0" applyProtection="0"/>
    <xf numFmtId="0" fontId="2" fillId="10" borderId="7" applyNumberFormat="0" applyAlignment="0" applyProtection="0"/>
    <xf numFmtId="0" fontId="3" fillId="0" borderId="0" applyNumberFormat="0" applyFill="0" applyBorder="0" applyAlignment="0" applyProtection="0"/>
    <xf numFmtId="0" fontId="18" fillId="0" borderId="0" applyNumberFormat="0" applyFill="0" applyBorder="0" applyAlignment="0" applyProtection="0"/>
    <xf numFmtId="0" fontId="1" fillId="0" borderId="9" applyNumberFormat="0" applyFill="0" applyAlignment="0" applyProtection="0"/>
    <xf numFmtId="0" fontId="4"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4" fillId="35" borderId="0" applyNumberFormat="0" applyBorder="0" applyAlignment="0" applyProtection="0"/>
    <xf numFmtId="0" fontId="19" fillId="0" borderId="0"/>
    <xf numFmtId="175" fontId="6" fillId="0" borderId="0" applyFont="0" applyFill="0" applyBorder="0" applyAlignment="0" applyProtection="0"/>
    <xf numFmtId="168" fontId="19" fillId="0" borderId="0" applyFont="0" applyFill="0" applyBorder="0" applyAlignment="0" applyProtection="0"/>
    <xf numFmtId="171" fontId="6" fillId="0" borderId="0" applyFont="0" applyFill="0" applyBorder="0" applyAlignment="0" applyProtection="0"/>
    <xf numFmtId="174" fontId="19"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6" fillId="0" borderId="0"/>
    <xf numFmtId="0" fontId="7" fillId="0" borderId="0"/>
    <xf numFmtId="0" fontId="5" fillId="11" borderId="8" applyNumberFormat="0" applyFont="0" applyAlignment="0" applyProtection="0"/>
    <xf numFmtId="41" fontId="5" fillId="0" borderId="0" applyFont="0" applyFill="0" applyBorder="0" applyAlignment="0" applyProtection="0"/>
    <xf numFmtId="9" fontId="5" fillId="0" borderId="0" applyFont="0" applyFill="0" applyBorder="0" applyAlignment="0" applyProtection="0"/>
    <xf numFmtId="42" fontId="5" fillId="0" borderId="0" applyFont="0" applyFill="0" applyBorder="0" applyAlignment="0" applyProtection="0"/>
    <xf numFmtId="0"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cellStyleXfs>
  <cellXfs count="521">
    <xf numFmtId="0" fontId="0" fillId="0" borderId="0" xfId="0"/>
    <xf numFmtId="170" fontId="20" fillId="3" borderId="0" xfId="1" applyNumberFormat="1" applyFont="1" applyFill="1" applyAlignment="1"/>
    <xf numFmtId="43" fontId="21" fillId="3" borderId="0" xfId="1" applyFont="1" applyFill="1"/>
    <xf numFmtId="0" fontId="21" fillId="3" borderId="0" xfId="0" applyFont="1" applyFill="1"/>
    <xf numFmtId="170" fontId="21" fillId="3" borderId="0" xfId="1" applyNumberFormat="1" applyFont="1" applyFill="1"/>
    <xf numFmtId="165" fontId="21" fillId="3" borderId="0" xfId="0" applyNumberFormat="1" applyFont="1" applyFill="1"/>
    <xf numFmtId="170" fontId="21" fillId="3" borderId="0" xfId="1" applyNumberFormat="1" applyFont="1" applyFill="1" applyBorder="1" applyAlignment="1">
      <alignment horizontal="left"/>
    </xf>
    <xf numFmtId="43" fontId="20" fillId="3" borderId="0" xfId="1" applyFont="1" applyFill="1"/>
    <xf numFmtId="0" fontId="20" fillId="3" borderId="0" xfId="0" applyFont="1" applyFill="1" applyBorder="1" applyAlignment="1">
      <alignment horizontal="left"/>
    </xf>
    <xf numFmtId="0" fontId="20" fillId="3" borderId="0" xfId="0" applyFont="1" applyFill="1"/>
    <xf numFmtId="0" fontId="21" fillId="3" borderId="0" xfId="42" applyFont="1" applyFill="1"/>
    <xf numFmtId="0" fontId="21" fillId="3" borderId="0" xfId="0" applyFont="1" applyFill="1" applyAlignment="1"/>
    <xf numFmtId="0" fontId="21" fillId="3" borderId="0" xfId="0" applyFont="1" applyFill="1" applyBorder="1"/>
    <xf numFmtId="0" fontId="20" fillId="3" borderId="0" xfId="0" applyFont="1" applyFill="1" applyBorder="1"/>
    <xf numFmtId="0" fontId="20" fillId="3" borderId="0" xfId="0" applyFont="1" applyFill="1" applyBorder="1" applyAlignment="1">
      <alignment horizontal="left" wrapText="1"/>
    </xf>
    <xf numFmtId="0" fontId="20" fillId="3" borderId="0" xfId="0" applyFont="1" applyFill="1" applyBorder="1" applyAlignment="1">
      <alignment wrapText="1"/>
    </xf>
    <xf numFmtId="0" fontId="23" fillId="3" borderId="0" xfId="0" applyFont="1" applyFill="1"/>
    <xf numFmtId="178" fontId="23" fillId="3" borderId="0" xfId="1" applyNumberFormat="1" applyFont="1" applyFill="1"/>
    <xf numFmtId="0" fontId="21" fillId="3" borderId="0" xfId="0" applyFont="1" applyFill="1" applyBorder="1" applyAlignment="1">
      <alignment wrapText="1"/>
    </xf>
    <xf numFmtId="0" fontId="23" fillId="0" borderId="0" xfId="0" applyFont="1"/>
    <xf numFmtId="0" fontId="23" fillId="0" borderId="0" xfId="0" applyFont="1" applyBorder="1"/>
    <xf numFmtId="0" fontId="22" fillId="0" borderId="0" xfId="0" applyFont="1" applyFill="1" applyBorder="1" applyAlignment="1">
      <alignment horizontal="center" vertical="center" wrapText="1"/>
    </xf>
    <xf numFmtId="0" fontId="23" fillId="0" borderId="0" xfId="0" applyFont="1" applyFill="1" applyBorder="1"/>
    <xf numFmtId="0" fontId="23" fillId="0" borderId="10" xfId="0" applyFont="1" applyBorder="1"/>
    <xf numFmtId="10" fontId="23" fillId="0" borderId="10" xfId="0" applyNumberFormat="1" applyFont="1" applyBorder="1"/>
    <xf numFmtId="167" fontId="23" fillId="0" borderId="10" xfId="0" applyNumberFormat="1" applyFont="1" applyBorder="1"/>
    <xf numFmtId="10" fontId="23" fillId="0" borderId="0" xfId="53" applyNumberFormat="1" applyFont="1"/>
    <xf numFmtId="10" fontId="23" fillId="0" borderId="0" xfId="0" applyNumberFormat="1" applyFont="1" applyFill="1" applyBorder="1"/>
    <xf numFmtId="0" fontId="23" fillId="2" borderId="10" xfId="0" applyFont="1" applyFill="1" applyBorder="1"/>
    <xf numFmtId="10" fontId="23" fillId="2" borderId="10" xfId="0" applyNumberFormat="1" applyFont="1" applyFill="1" applyBorder="1"/>
    <xf numFmtId="167" fontId="23" fillId="2" borderId="10" xfId="0" applyNumberFormat="1" applyFont="1" applyFill="1" applyBorder="1"/>
    <xf numFmtId="0" fontId="23" fillId="37" borderId="10" xfId="0" applyFont="1" applyFill="1" applyBorder="1"/>
    <xf numFmtId="10" fontId="23" fillId="37" borderId="10" xfId="0" applyNumberFormat="1" applyFont="1" applyFill="1" applyBorder="1"/>
    <xf numFmtId="167" fontId="23" fillId="37" borderId="10" xfId="0" applyNumberFormat="1" applyFont="1" applyFill="1" applyBorder="1"/>
    <xf numFmtId="0" fontId="23" fillId="0" borderId="10" xfId="0" applyFont="1" applyFill="1" applyBorder="1"/>
    <xf numFmtId="10" fontId="23" fillId="0" borderId="10" xfId="0" applyNumberFormat="1" applyFont="1" applyFill="1" applyBorder="1"/>
    <xf numFmtId="167" fontId="23" fillId="0" borderId="10" xfId="0" applyNumberFormat="1" applyFont="1" applyFill="1" applyBorder="1"/>
    <xf numFmtId="164" fontId="23" fillId="0" borderId="10" xfId="0" applyNumberFormat="1" applyFont="1" applyBorder="1" applyAlignment="1">
      <alignment horizontal="right"/>
    </xf>
    <xf numFmtId="164" fontId="23" fillId="0" borderId="0" xfId="0" applyNumberFormat="1" applyFont="1"/>
    <xf numFmtId="166" fontId="23" fillId="2" borderId="10" xfId="0" applyNumberFormat="1" applyFont="1" applyFill="1" applyBorder="1" applyAlignment="1">
      <alignment horizontal="right"/>
    </xf>
    <xf numFmtId="166" fontId="23" fillId="0" borderId="10" xfId="0" applyNumberFormat="1" applyFont="1" applyBorder="1" applyAlignment="1">
      <alignment horizontal="right"/>
    </xf>
    <xf numFmtId="166" fontId="23" fillId="0" borderId="10" xfId="0" applyNumberFormat="1" applyFont="1" applyFill="1" applyBorder="1" applyAlignment="1">
      <alignment horizontal="right"/>
    </xf>
    <xf numFmtId="166" fontId="23" fillId="37" borderId="10" xfId="0" applyNumberFormat="1" applyFont="1" applyFill="1" applyBorder="1" applyAlignment="1">
      <alignment horizontal="right"/>
    </xf>
    <xf numFmtId="0" fontId="23" fillId="0" borderId="15" xfId="0" applyFont="1" applyBorder="1"/>
    <xf numFmtId="164" fontId="23" fillId="0" borderId="0" xfId="0" applyNumberFormat="1" applyFont="1" applyBorder="1"/>
    <xf numFmtId="0" fontId="23" fillId="0" borderId="16" xfId="0" applyFont="1" applyBorder="1"/>
    <xf numFmtId="166" fontId="23" fillId="0" borderId="10" xfId="0" applyNumberFormat="1" applyFont="1" applyBorder="1"/>
    <xf numFmtId="10" fontId="23" fillId="0" borderId="14" xfId="0" applyNumberFormat="1" applyFont="1" applyFill="1" applyBorder="1"/>
    <xf numFmtId="166" fontId="23" fillId="2" borderId="10" xfId="0" applyNumberFormat="1" applyFont="1" applyFill="1" applyBorder="1"/>
    <xf numFmtId="166" fontId="23" fillId="0" borderId="10" xfId="0" applyNumberFormat="1" applyFont="1" applyFill="1" applyBorder="1"/>
    <xf numFmtId="0" fontId="23" fillId="0" borderId="17" xfId="0" applyFont="1" applyBorder="1"/>
    <xf numFmtId="10" fontId="23" fillId="0" borderId="14" xfId="0" applyNumberFormat="1" applyFont="1" applyBorder="1"/>
    <xf numFmtId="0" fontId="23" fillId="0" borderId="14" xfId="0" applyFont="1" applyBorder="1"/>
    <xf numFmtId="0" fontId="23" fillId="0" borderId="18" xfId="0" applyFont="1" applyBorder="1"/>
    <xf numFmtId="0" fontId="24" fillId="0" borderId="0" xfId="0" applyFont="1" applyFill="1" applyAlignment="1">
      <alignment horizontal="center"/>
    </xf>
    <xf numFmtId="164" fontId="23" fillId="0" borderId="10" xfId="0" applyNumberFormat="1" applyFont="1" applyBorder="1"/>
    <xf numFmtId="164" fontId="23" fillId="2" borderId="10" xfId="0" applyNumberFormat="1" applyFont="1" applyFill="1" applyBorder="1"/>
    <xf numFmtId="0" fontId="23" fillId="3" borderId="10" xfId="0" applyFont="1" applyFill="1" applyBorder="1"/>
    <xf numFmtId="164" fontId="23" fillId="3" borderId="10" xfId="0" applyNumberFormat="1" applyFont="1" applyFill="1" applyBorder="1"/>
    <xf numFmtId="10" fontId="23" fillId="3" borderId="10" xfId="0" applyNumberFormat="1" applyFont="1" applyFill="1" applyBorder="1"/>
    <xf numFmtId="167" fontId="23" fillId="3" borderId="10" xfId="0" applyNumberFormat="1" applyFont="1" applyFill="1" applyBorder="1"/>
    <xf numFmtId="0" fontId="22" fillId="2" borderId="10" xfId="0" applyFont="1" applyFill="1" applyBorder="1"/>
    <xf numFmtId="0" fontId="22" fillId="3" borderId="10" xfId="0" applyFont="1" applyFill="1" applyBorder="1"/>
    <xf numFmtId="0" fontId="23" fillId="0" borderId="0" xfId="0" applyFont="1" applyFill="1"/>
    <xf numFmtId="166" fontId="23" fillId="3" borderId="10" xfId="0" applyNumberFormat="1" applyFont="1" applyFill="1" applyBorder="1"/>
    <xf numFmtId="0" fontId="22" fillId="0" borderId="10" xfId="0" applyFont="1" applyBorder="1"/>
    <xf numFmtId="0" fontId="22" fillId="3" borderId="0" xfId="0" applyFont="1" applyFill="1" applyBorder="1"/>
    <xf numFmtId="167" fontId="23" fillId="3" borderId="0" xfId="0" applyNumberFormat="1" applyFont="1" applyFill="1" applyBorder="1"/>
    <xf numFmtId="10" fontId="23" fillId="3" borderId="0" xfId="0" applyNumberFormat="1" applyFont="1" applyFill="1" applyBorder="1"/>
    <xf numFmtId="2" fontId="23" fillId="0" borderId="10" xfId="0" applyNumberFormat="1" applyFont="1" applyBorder="1"/>
    <xf numFmtId="0" fontId="23" fillId="2" borderId="10" xfId="0" applyFont="1" applyFill="1" applyBorder="1" applyAlignment="1">
      <alignment vertical="center" wrapText="1"/>
    </xf>
    <xf numFmtId="167" fontId="23" fillId="2" borderId="10" xfId="0" applyNumberFormat="1" applyFont="1" applyFill="1" applyBorder="1" applyAlignment="1">
      <alignment vertical="center" wrapText="1"/>
    </xf>
    <xf numFmtId="2" fontId="23" fillId="2" borderId="10" xfId="0" applyNumberFormat="1" applyFont="1" applyFill="1" applyBorder="1"/>
    <xf numFmtId="0" fontId="22" fillId="0" borderId="0" xfId="0" applyFont="1" applyBorder="1"/>
    <xf numFmtId="167" fontId="23" fillId="0" borderId="0" xfId="0" applyNumberFormat="1" applyFont="1" applyBorder="1"/>
    <xf numFmtId="10" fontId="23" fillId="0" borderId="0" xfId="0" applyNumberFormat="1" applyFont="1" applyBorder="1"/>
    <xf numFmtId="10" fontId="23" fillId="4" borderId="10" xfId="0" applyNumberFormat="1" applyFont="1" applyFill="1" applyBorder="1"/>
    <xf numFmtId="0" fontId="23" fillId="3" borderId="0" xfId="0" applyFont="1" applyFill="1" applyBorder="1" applyAlignment="1">
      <alignment horizontal="left"/>
    </xf>
    <xf numFmtId="0" fontId="22" fillId="0" borderId="10" xfId="0" applyFont="1" applyFill="1" applyBorder="1"/>
    <xf numFmtId="0" fontId="22" fillId="0" borderId="0" xfId="0" applyFont="1" applyFill="1" applyBorder="1"/>
    <xf numFmtId="167" fontId="23" fillId="0" borderId="0" xfId="0" applyNumberFormat="1" applyFont="1" applyFill="1" applyBorder="1"/>
    <xf numFmtId="2" fontId="21" fillId="3" borderId="10" xfId="0" applyNumberFormat="1" applyFont="1" applyFill="1" applyBorder="1"/>
    <xf numFmtId="10" fontId="21" fillId="0" borderId="0" xfId="0" applyNumberFormat="1" applyFont="1" applyFill="1" applyBorder="1"/>
    <xf numFmtId="0" fontId="25" fillId="3" borderId="0" xfId="0" applyFont="1" applyFill="1" applyBorder="1" applyAlignment="1">
      <alignment horizontal="center"/>
    </xf>
    <xf numFmtId="0" fontId="23" fillId="0" borderId="0" xfId="0" applyFont="1" applyAlignment="1">
      <alignment horizontal="center" wrapText="1"/>
    </xf>
    <xf numFmtId="0" fontId="23" fillId="0" borderId="0" xfId="0" applyFont="1" applyAlignment="1">
      <alignment horizontal="center"/>
    </xf>
    <xf numFmtId="0" fontId="23" fillId="0" borderId="0" xfId="0" applyFont="1" applyAlignment="1">
      <alignment wrapText="1"/>
    </xf>
    <xf numFmtId="5" fontId="23" fillId="0" borderId="10" xfId="1" applyNumberFormat="1" applyFont="1" applyBorder="1" applyAlignment="1">
      <alignment horizontal="right"/>
    </xf>
    <xf numFmtId="5" fontId="23" fillId="2" borderId="10" xfId="1" applyNumberFormat="1" applyFont="1" applyFill="1" applyBorder="1" applyAlignment="1">
      <alignment horizontal="right"/>
    </xf>
    <xf numFmtId="5" fontId="23" fillId="37" borderId="10" xfId="1" applyNumberFormat="1" applyFont="1" applyFill="1" applyBorder="1" applyAlignment="1">
      <alignment horizontal="right"/>
    </xf>
    <xf numFmtId="5" fontId="23" fillId="0" borderId="10" xfId="1" applyNumberFormat="1" applyFont="1" applyFill="1" applyBorder="1" applyAlignment="1">
      <alignment horizontal="right"/>
    </xf>
    <xf numFmtId="0" fontId="23" fillId="0" borderId="10" xfId="0" applyFont="1" applyBorder="1" applyAlignment="1">
      <alignment horizontal="center"/>
    </xf>
    <xf numFmtId="0" fontId="23" fillId="2" borderId="10" xfId="0" applyFont="1" applyFill="1" applyBorder="1" applyAlignment="1">
      <alignment horizontal="right"/>
    </xf>
    <xf numFmtId="42" fontId="23" fillId="2" borderId="10" xfId="54" applyFont="1" applyFill="1" applyBorder="1" applyAlignment="1">
      <alignment horizontal="right"/>
    </xf>
    <xf numFmtId="167" fontId="23" fillId="2" borderId="10" xfId="54" applyNumberFormat="1" applyFont="1" applyFill="1" applyBorder="1" applyAlignment="1">
      <alignment horizontal="right"/>
    </xf>
    <xf numFmtId="2" fontId="23" fillId="2" borderId="10" xfId="0" applyNumberFormat="1" applyFont="1" applyFill="1" applyBorder="1" applyAlignment="1">
      <alignment horizontal="right"/>
    </xf>
    <xf numFmtId="167" fontId="21" fillId="2" borderId="10" xfId="54" applyNumberFormat="1" applyFont="1" applyFill="1" applyBorder="1" applyAlignment="1">
      <alignment horizontal="right"/>
    </xf>
    <xf numFmtId="2" fontId="23" fillId="0" borderId="10" xfId="0" applyNumberFormat="1" applyFont="1" applyFill="1" applyBorder="1" applyAlignment="1">
      <alignment horizontal="right"/>
    </xf>
    <xf numFmtId="10" fontId="21" fillId="0" borderId="10" xfId="0" applyNumberFormat="1" applyFont="1" applyBorder="1"/>
    <xf numFmtId="10" fontId="21" fillId="2" borderId="10" xfId="0" applyNumberFormat="1" applyFont="1" applyFill="1" applyBorder="1"/>
    <xf numFmtId="170" fontId="20" fillId="3" borderId="10" xfId="1" applyNumberFormat="1" applyFont="1" applyFill="1" applyBorder="1" applyAlignment="1">
      <alignment horizontal="center"/>
    </xf>
    <xf numFmtId="0" fontId="21" fillId="3" borderId="10" xfId="0" applyFont="1" applyFill="1" applyBorder="1"/>
    <xf numFmtId="166" fontId="21" fillId="3" borderId="10" xfId="0" applyNumberFormat="1" applyFont="1" applyFill="1" applyBorder="1" applyAlignment="1">
      <alignment horizontal="left"/>
    </xf>
    <xf numFmtId="0" fontId="20" fillId="3" borderId="10" xfId="0" applyFont="1" applyFill="1" applyBorder="1"/>
    <xf numFmtId="0" fontId="21" fillId="3" borderId="10" xfId="0" applyNumberFormat="1" applyFont="1" applyFill="1" applyBorder="1"/>
    <xf numFmtId="0" fontId="20" fillId="3" borderId="10" xfId="0" applyFont="1" applyFill="1" applyBorder="1" applyAlignment="1">
      <alignment wrapText="1"/>
    </xf>
    <xf numFmtId="0" fontId="20" fillId="3" borderId="10" xfId="0" applyFont="1" applyFill="1" applyBorder="1" applyAlignment="1">
      <alignment horizontal="left" wrapText="1"/>
    </xf>
    <xf numFmtId="0" fontId="21" fillId="3" borderId="10" xfId="0" applyFont="1" applyFill="1" applyBorder="1" applyAlignment="1"/>
    <xf numFmtId="178" fontId="21" fillId="3" borderId="0" xfId="0" applyNumberFormat="1" applyFont="1" applyFill="1"/>
    <xf numFmtId="177" fontId="21" fillId="3" borderId="0" xfId="0" applyNumberFormat="1" applyFont="1" applyFill="1"/>
    <xf numFmtId="0" fontId="20" fillId="3" borderId="10" xfId="42" applyFont="1" applyFill="1" applyBorder="1"/>
    <xf numFmtId="170" fontId="21" fillId="3" borderId="0" xfId="0" applyNumberFormat="1" applyFont="1" applyFill="1"/>
    <xf numFmtId="0" fontId="21" fillId="3" borderId="10" xfId="42" applyFont="1" applyFill="1" applyBorder="1"/>
    <xf numFmtId="178" fontId="21" fillId="3" borderId="0" xfId="1" applyNumberFormat="1" applyFont="1" applyFill="1"/>
    <xf numFmtId="41" fontId="21" fillId="3" borderId="0" xfId="52" applyFont="1" applyFill="1"/>
    <xf numFmtId="0" fontId="21" fillId="3" borderId="10" xfId="42" applyFont="1" applyFill="1" applyBorder="1" applyAlignment="1"/>
    <xf numFmtId="168" fontId="21" fillId="3" borderId="0" xfId="44" applyFont="1" applyFill="1"/>
    <xf numFmtId="167" fontId="21" fillId="3" borderId="10" xfId="0" applyNumberFormat="1" applyFont="1" applyFill="1" applyBorder="1" applyAlignment="1">
      <alignment horizontal="left"/>
    </xf>
    <xf numFmtId="167" fontId="21" fillId="3" borderId="10" xfId="1" applyNumberFormat="1" applyFont="1" applyFill="1" applyBorder="1"/>
    <xf numFmtId="167" fontId="20" fillId="3" borderId="10" xfId="1" applyNumberFormat="1" applyFont="1" applyFill="1" applyBorder="1"/>
    <xf numFmtId="167" fontId="21" fillId="3" borderId="10" xfId="0" applyNumberFormat="1" applyFont="1" applyFill="1" applyBorder="1"/>
    <xf numFmtId="167" fontId="20" fillId="3" borderId="10" xfId="0" applyNumberFormat="1" applyFont="1" applyFill="1" applyBorder="1" applyAlignment="1">
      <alignment horizontal="left"/>
    </xf>
    <xf numFmtId="167" fontId="20" fillId="3" borderId="10" xfId="0" applyNumberFormat="1" applyFont="1" applyFill="1" applyBorder="1" applyAlignment="1">
      <alignment horizontal="center"/>
    </xf>
    <xf numFmtId="167" fontId="20" fillId="3" borderId="10" xfId="1" applyNumberFormat="1" applyFont="1" applyFill="1" applyBorder="1" applyAlignment="1">
      <alignment horizontal="center"/>
    </xf>
    <xf numFmtId="167" fontId="21" fillId="3" borderId="10" xfId="42" applyNumberFormat="1" applyFont="1" applyFill="1" applyBorder="1"/>
    <xf numFmtId="178" fontId="21" fillId="3" borderId="0" xfId="1" applyNumberFormat="1" applyFont="1" applyFill="1" applyAlignment="1">
      <alignment horizontal="right"/>
    </xf>
    <xf numFmtId="170" fontId="21" fillId="3" borderId="0" xfId="44" applyNumberFormat="1" applyFont="1" applyFill="1"/>
    <xf numFmtId="170" fontId="20" fillId="3" borderId="0" xfId="44" applyNumberFormat="1" applyFont="1" applyFill="1" applyAlignment="1"/>
    <xf numFmtId="170" fontId="20" fillId="3" borderId="0" xfId="0" applyNumberFormat="1" applyFont="1" applyFill="1"/>
    <xf numFmtId="178" fontId="20" fillId="3" borderId="0" xfId="0" applyNumberFormat="1" applyFont="1" applyFill="1"/>
    <xf numFmtId="170" fontId="20" fillId="3" borderId="10" xfId="44" applyNumberFormat="1" applyFont="1" applyFill="1" applyBorder="1" applyAlignment="1">
      <alignment horizontal="center"/>
    </xf>
    <xf numFmtId="167" fontId="21" fillId="3" borderId="0" xfId="1" applyNumberFormat="1" applyFont="1" applyFill="1" applyAlignment="1">
      <alignment horizontal="right"/>
    </xf>
    <xf numFmtId="167" fontId="21" fillId="3" borderId="0" xfId="1" applyNumberFormat="1" applyFont="1" applyFill="1"/>
    <xf numFmtId="167" fontId="21" fillId="3" borderId="10" xfId="44" applyNumberFormat="1" applyFont="1" applyFill="1" applyBorder="1"/>
    <xf numFmtId="167" fontId="20" fillId="3" borderId="10" xfId="44" applyNumberFormat="1" applyFont="1" applyFill="1" applyBorder="1"/>
    <xf numFmtId="167" fontId="21" fillId="3" borderId="10" xfId="2" applyNumberFormat="1" applyFont="1" applyFill="1" applyBorder="1"/>
    <xf numFmtId="167" fontId="20" fillId="3" borderId="10" xfId="2" applyNumberFormat="1" applyFont="1" applyFill="1" applyBorder="1"/>
    <xf numFmtId="167" fontId="20" fillId="3" borderId="0" xfId="1" applyNumberFormat="1" applyFont="1" applyFill="1" applyAlignment="1"/>
    <xf numFmtId="167" fontId="21" fillId="3" borderId="0" xfId="1" applyNumberFormat="1" applyFont="1" applyFill="1" applyAlignment="1"/>
    <xf numFmtId="0" fontId="20" fillId="3" borderId="10" xfId="42" applyFont="1" applyFill="1" applyBorder="1" applyAlignment="1">
      <alignment horizontal="center"/>
    </xf>
    <xf numFmtId="167" fontId="21" fillId="3" borderId="10" xfId="2" applyNumberFormat="1" applyFont="1" applyFill="1" applyBorder="1" applyAlignment="1">
      <alignment horizontal="right"/>
    </xf>
    <xf numFmtId="167" fontId="21" fillId="3" borderId="10" xfId="1" applyNumberFormat="1" applyFont="1" applyFill="1" applyBorder="1" applyAlignment="1" applyProtection="1">
      <alignment horizontal="right" vertical="center" wrapText="1"/>
      <protection locked="0"/>
    </xf>
    <xf numFmtId="167" fontId="20" fillId="3" borderId="10" xfId="2" applyNumberFormat="1" applyFont="1" applyFill="1" applyBorder="1" applyAlignment="1">
      <alignment horizontal="right"/>
    </xf>
    <xf numFmtId="169" fontId="20" fillId="3" borderId="0" xfId="44" applyNumberFormat="1" applyFont="1" applyFill="1" applyAlignment="1"/>
    <xf numFmtId="170" fontId="21" fillId="3" borderId="0" xfId="44" applyNumberFormat="1" applyFont="1" applyFill="1" applyBorder="1" applyAlignment="1">
      <alignment horizontal="left"/>
    </xf>
    <xf numFmtId="170" fontId="20" fillId="3" borderId="0" xfId="44" applyNumberFormat="1" applyFont="1" applyFill="1"/>
    <xf numFmtId="168" fontId="20" fillId="3" borderId="0" xfId="44" applyFont="1" applyFill="1"/>
    <xf numFmtId="171" fontId="21" fillId="3" borderId="0" xfId="0" applyNumberFormat="1" applyFont="1" applyFill="1"/>
    <xf numFmtId="167" fontId="20" fillId="3" borderId="10" xfId="0" applyNumberFormat="1" applyFont="1" applyFill="1" applyBorder="1" applyAlignment="1">
      <alignment horizontal="right"/>
    </xf>
    <xf numFmtId="0" fontId="21" fillId="3" borderId="10" xfId="42" applyNumberFormat="1" applyFont="1" applyFill="1" applyBorder="1"/>
    <xf numFmtId="0" fontId="21" fillId="3" borderId="10" xfId="42" applyFont="1" applyFill="1" applyBorder="1" applyAlignment="1">
      <alignment horizontal="left"/>
    </xf>
    <xf numFmtId="0" fontId="20" fillId="3" borderId="10" xfId="42" applyFont="1" applyFill="1" applyBorder="1" applyAlignment="1">
      <alignment horizontal="left"/>
    </xf>
    <xf numFmtId="169" fontId="20" fillId="3" borderId="10" xfId="44" applyNumberFormat="1" applyFont="1" applyFill="1" applyBorder="1" applyAlignment="1">
      <alignment horizontal="center"/>
    </xf>
    <xf numFmtId="176" fontId="21" fillId="3" borderId="0" xfId="46" applyNumberFormat="1" applyFont="1" applyFill="1"/>
    <xf numFmtId="165" fontId="21" fillId="3" borderId="0" xfId="42" applyNumberFormat="1" applyFont="1" applyFill="1"/>
    <xf numFmtId="171" fontId="21" fillId="3" borderId="0" xfId="42" applyNumberFormat="1" applyFont="1" applyFill="1"/>
    <xf numFmtId="170" fontId="21" fillId="3" borderId="0" xfId="42" applyNumberFormat="1" applyFont="1" applyFill="1"/>
    <xf numFmtId="167" fontId="21" fillId="3" borderId="10" xfId="42" applyNumberFormat="1" applyFont="1" applyFill="1" applyBorder="1" applyAlignment="1">
      <alignment horizontal="right"/>
    </xf>
    <xf numFmtId="172" fontId="21" fillId="3" borderId="0" xfId="42" applyNumberFormat="1" applyFont="1" applyFill="1"/>
    <xf numFmtId="0" fontId="20" fillId="3" borderId="10" xfId="0" applyFont="1" applyFill="1" applyBorder="1" applyAlignment="1">
      <alignment horizontal="center"/>
    </xf>
    <xf numFmtId="0" fontId="21" fillId="3" borderId="10" xfId="0" applyFont="1" applyFill="1" applyBorder="1" applyAlignment="1">
      <alignment horizontal="left"/>
    </xf>
    <xf numFmtId="178" fontId="21" fillId="3" borderId="10" xfId="1" applyNumberFormat="1" applyFont="1" applyFill="1" applyBorder="1" applyAlignment="1">
      <alignment horizontal="right"/>
    </xf>
    <xf numFmtId="178" fontId="20" fillId="3" borderId="10" xfId="1" applyNumberFormat="1" applyFont="1" applyFill="1" applyBorder="1" applyAlignment="1">
      <alignment horizontal="right"/>
    </xf>
    <xf numFmtId="178" fontId="20" fillId="3" borderId="0" xfId="1" applyNumberFormat="1" applyFont="1" applyFill="1" applyAlignment="1">
      <alignment horizontal="right"/>
    </xf>
    <xf numFmtId="167" fontId="21" fillId="3" borderId="10" xfId="1" applyNumberFormat="1" applyFont="1" applyFill="1" applyBorder="1" applyAlignment="1">
      <alignment horizontal="right"/>
    </xf>
    <xf numFmtId="167" fontId="20" fillId="3" borderId="10" xfId="1" applyNumberFormat="1" applyFont="1" applyFill="1" applyBorder="1" applyAlignment="1">
      <alignment horizontal="right"/>
    </xf>
    <xf numFmtId="0" fontId="20" fillId="3" borderId="10" xfId="0" applyFont="1" applyFill="1" applyBorder="1" applyAlignment="1">
      <alignment horizontal="left"/>
    </xf>
    <xf numFmtId="167" fontId="20" fillId="3" borderId="10" xfId="44" applyNumberFormat="1" applyFont="1" applyFill="1" applyBorder="1" applyAlignment="1">
      <alignment horizontal="right"/>
    </xf>
    <xf numFmtId="167" fontId="21" fillId="3" borderId="10" xfId="44" applyNumberFormat="1" applyFont="1" applyFill="1" applyBorder="1" applyAlignment="1">
      <alignment horizontal="right"/>
    </xf>
    <xf numFmtId="167" fontId="21" fillId="3" borderId="0" xfId="44" applyNumberFormat="1" applyFont="1" applyFill="1" applyAlignment="1">
      <alignment horizontal="right"/>
    </xf>
    <xf numFmtId="167" fontId="20" fillId="3" borderId="0" xfId="44" applyNumberFormat="1" applyFont="1" applyFill="1" applyAlignment="1">
      <alignment horizontal="right"/>
    </xf>
    <xf numFmtId="167" fontId="21" fillId="3" borderId="10" xfId="0" applyNumberFormat="1" applyFont="1" applyFill="1" applyBorder="1" applyAlignment="1">
      <alignment horizontal="right"/>
    </xf>
    <xf numFmtId="169" fontId="20" fillId="3" borderId="10" xfId="44" applyNumberFormat="1" applyFont="1" applyFill="1" applyBorder="1"/>
    <xf numFmtId="167" fontId="21" fillId="3" borderId="0" xfId="0" applyNumberFormat="1" applyFont="1" applyFill="1" applyAlignment="1">
      <alignment horizontal="right"/>
    </xf>
    <xf numFmtId="164" fontId="21" fillId="3" borderId="0" xfId="0" applyNumberFormat="1" applyFont="1" applyFill="1"/>
    <xf numFmtId="172" fontId="21" fillId="3" borderId="0" xfId="0" applyNumberFormat="1" applyFont="1" applyFill="1"/>
    <xf numFmtId="169" fontId="20" fillId="3" borderId="10" xfId="44" applyNumberFormat="1" applyFont="1" applyFill="1" applyBorder="1" applyAlignment="1">
      <alignment horizontal="left"/>
    </xf>
    <xf numFmtId="166" fontId="20" fillId="3" borderId="10" xfId="0" applyNumberFormat="1" applyFont="1" applyFill="1" applyBorder="1" applyAlignment="1"/>
    <xf numFmtId="167" fontId="20" fillId="3" borderId="10" xfId="42" applyNumberFormat="1" applyFont="1" applyFill="1" applyBorder="1"/>
    <xf numFmtId="0" fontId="20" fillId="3" borderId="10" xfId="0" applyFont="1" applyFill="1" applyBorder="1" applyAlignment="1">
      <alignment horizontal="center"/>
    </xf>
    <xf numFmtId="0" fontId="20" fillId="3" borderId="20" xfId="0" applyFont="1" applyFill="1" applyBorder="1" applyAlignment="1">
      <alignment horizontal="center"/>
    </xf>
    <xf numFmtId="167" fontId="21" fillId="3" borderId="10" xfId="1" applyNumberFormat="1" applyFont="1" applyFill="1" applyBorder="1" applyAlignment="1">
      <alignment horizontal="left"/>
    </xf>
    <xf numFmtId="167" fontId="21" fillId="3" borderId="23" xfId="1" applyNumberFormat="1" applyFont="1" applyFill="1" applyBorder="1" applyAlignment="1">
      <alignment horizontal="right"/>
    </xf>
    <xf numFmtId="167" fontId="21" fillId="3" borderId="24" xfId="1" applyNumberFormat="1" applyFont="1" applyFill="1" applyBorder="1" applyAlignment="1">
      <alignment horizontal="right"/>
    </xf>
    <xf numFmtId="167" fontId="21" fillId="3" borderId="22" xfId="1" applyNumberFormat="1" applyFont="1" applyFill="1" applyBorder="1" applyAlignment="1">
      <alignment horizontal="right"/>
    </xf>
    <xf numFmtId="167" fontId="20" fillId="3" borderId="22" xfId="1" applyNumberFormat="1" applyFont="1" applyFill="1" applyBorder="1" applyAlignment="1">
      <alignment horizontal="right"/>
    </xf>
    <xf numFmtId="167" fontId="21" fillId="3" borderId="25" xfId="1" applyNumberFormat="1" applyFont="1" applyFill="1" applyBorder="1" applyAlignment="1">
      <alignment horizontal="right"/>
    </xf>
    <xf numFmtId="167" fontId="20" fillId="3" borderId="23" xfId="1" applyNumberFormat="1" applyFont="1" applyFill="1" applyBorder="1" applyAlignment="1">
      <alignment horizontal="right"/>
    </xf>
    <xf numFmtId="167" fontId="20" fillId="3" borderId="24" xfId="1" applyNumberFormat="1" applyFont="1" applyFill="1" applyBorder="1" applyAlignment="1">
      <alignment horizontal="right"/>
    </xf>
    <xf numFmtId="0" fontId="20" fillId="3" borderId="0" xfId="0" applyFont="1" applyFill="1" applyBorder="1" applyAlignment="1">
      <alignment horizontal="center"/>
    </xf>
    <xf numFmtId="170" fontId="20" fillId="3" borderId="0" xfId="44" applyNumberFormat="1" applyFont="1" applyFill="1" applyBorder="1" applyAlignment="1"/>
    <xf numFmtId="170" fontId="21" fillId="3" borderId="0" xfId="44" applyNumberFormat="1" applyFont="1" applyFill="1" applyBorder="1" applyAlignment="1"/>
    <xf numFmtId="170" fontId="20" fillId="3" borderId="0" xfId="44" applyNumberFormat="1" applyFont="1" applyFill="1" applyBorder="1" applyAlignment="1">
      <alignment horizontal="center"/>
    </xf>
    <xf numFmtId="169" fontId="20" fillId="3" borderId="0" xfId="44" applyNumberFormat="1" applyFont="1" applyFill="1" applyBorder="1"/>
    <xf numFmtId="0" fontId="21" fillId="3" borderId="0" xfId="42" applyFont="1" applyFill="1" applyBorder="1" applyAlignment="1"/>
    <xf numFmtId="0" fontId="20" fillId="3" borderId="0" xfId="42" applyFont="1" applyFill="1" applyBorder="1"/>
    <xf numFmtId="167" fontId="20" fillId="3" borderId="0" xfId="1" applyNumberFormat="1" applyFont="1" applyFill="1" applyBorder="1" applyAlignment="1">
      <alignment horizontal="right"/>
    </xf>
    <xf numFmtId="167" fontId="21" fillId="3" borderId="0" xfId="1" applyNumberFormat="1" applyFont="1" applyFill="1" applyBorder="1" applyAlignment="1">
      <alignment horizontal="right"/>
    </xf>
    <xf numFmtId="167" fontId="21" fillId="3" borderId="0" xfId="1" applyNumberFormat="1" applyFont="1" applyFill="1" applyBorder="1" applyAlignment="1" applyProtection="1">
      <alignment horizontal="right" vertical="center" wrapText="1"/>
      <protection locked="0"/>
    </xf>
    <xf numFmtId="167" fontId="21" fillId="3" borderId="1" xfId="1" applyNumberFormat="1" applyFont="1" applyFill="1" applyBorder="1" applyAlignment="1">
      <alignment horizontal="right"/>
    </xf>
    <xf numFmtId="167" fontId="20" fillId="3" borderId="10" xfId="1" applyNumberFormat="1" applyFont="1" applyFill="1" applyBorder="1" applyAlignment="1">
      <alignment horizontal="left"/>
    </xf>
    <xf numFmtId="167" fontId="21" fillId="3" borderId="0" xfId="1" applyNumberFormat="1" applyFont="1" applyFill="1" applyBorder="1" applyAlignment="1">
      <alignment horizontal="right" wrapText="1"/>
    </xf>
    <xf numFmtId="167" fontId="21" fillId="3" borderId="1" xfId="1" applyNumberFormat="1" applyFont="1" applyFill="1" applyBorder="1" applyAlignment="1">
      <alignment horizontal="right" wrapText="1"/>
    </xf>
    <xf numFmtId="167" fontId="20" fillId="3" borderId="0" xfId="1" applyNumberFormat="1" applyFont="1" applyFill="1" applyBorder="1" applyAlignment="1">
      <alignment horizontal="right" wrapText="1"/>
    </xf>
    <xf numFmtId="0" fontId="20" fillId="3" borderId="0" xfId="0" applyFont="1" applyFill="1" applyBorder="1" applyAlignment="1">
      <alignment horizontal="center" wrapText="1"/>
    </xf>
    <xf numFmtId="170" fontId="20" fillId="3" borderId="0" xfId="44" applyNumberFormat="1" applyFont="1" applyFill="1" applyBorder="1" applyAlignment="1">
      <alignment wrapText="1"/>
    </xf>
    <xf numFmtId="170" fontId="21" fillId="3" borderId="0" xfId="44" applyNumberFormat="1" applyFont="1" applyFill="1" applyBorder="1" applyAlignment="1">
      <alignment wrapText="1"/>
    </xf>
    <xf numFmtId="170" fontId="20" fillId="3" borderId="0" xfId="44" applyNumberFormat="1" applyFont="1" applyFill="1" applyBorder="1" applyAlignment="1">
      <alignment horizontal="center" wrapText="1"/>
    </xf>
    <xf numFmtId="0" fontId="20" fillId="3" borderId="26" xfId="0" applyFont="1" applyFill="1" applyBorder="1" applyAlignment="1">
      <alignment wrapText="1"/>
    </xf>
    <xf numFmtId="167" fontId="20" fillId="3" borderId="27" xfId="0" applyNumberFormat="1" applyFont="1" applyFill="1" applyBorder="1" applyAlignment="1">
      <alignment wrapText="1"/>
    </xf>
    <xf numFmtId="170" fontId="20" fillId="3" borderId="27" xfId="0" applyNumberFormat="1" applyFont="1" applyFill="1" applyBorder="1" applyAlignment="1">
      <alignment wrapText="1"/>
    </xf>
    <xf numFmtId="0" fontId="20" fillId="3" borderId="17" xfId="0" applyFont="1" applyFill="1" applyBorder="1" applyAlignment="1">
      <alignment wrapText="1"/>
    </xf>
    <xf numFmtId="167" fontId="20" fillId="3" borderId="18" xfId="0" applyNumberFormat="1" applyFont="1" applyFill="1" applyBorder="1" applyAlignment="1">
      <alignment wrapText="1"/>
    </xf>
    <xf numFmtId="170" fontId="20" fillId="3" borderId="29" xfId="44" applyNumberFormat="1" applyFont="1" applyFill="1" applyBorder="1"/>
    <xf numFmtId="0" fontId="20" fillId="3" borderId="19" xfId="0" applyFont="1" applyFill="1" applyBorder="1" applyAlignment="1"/>
    <xf numFmtId="0" fontId="20" fillId="3" borderId="10" xfId="0" applyFont="1" applyFill="1" applyBorder="1" applyAlignment="1"/>
    <xf numFmtId="178" fontId="20" fillId="3" borderId="10" xfId="1" applyNumberFormat="1" applyFont="1" applyFill="1" applyBorder="1" applyAlignment="1"/>
    <xf numFmtId="178" fontId="21" fillId="3" borderId="1" xfId="1" applyNumberFormat="1" applyFont="1" applyFill="1" applyBorder="1"/>
    <xf numFmtId="178" fontId="20" fillId="3" borderId="0" xfId="1" applyNumberFormat="1" applyFont="1" applyFill="1" applyBorder="1" applyAlignment="1">
      <alignment horizontal="right" wrapText="1"/>
    </xf>
    <xf numFmtId="178" fontId="21" fillId="3" borderId="1" xfId="1" applyNumberFormat="1" applyFont="1" applyFill="1" applyBorder="1" applyAlignment="1">
      <alignment horizontal="right" wrapText="1"/>
    </xf>
    <xf numFmtId="178" fontId="20" fillId="3" borderId="29" xfId="1" applyNumberFormat="1" applyFont="1" applyFill="1" applyBorder="1"/>
    <xf numFmtId="178" fontId="20" fillId="3" borderId="27" xfId="1" applyNumberFormat="1" applyFont="1" applyFill="1" applyBorder="1" applyAlignment="1">
      <alignment wrapText="1"/>
    </xf>
    <xf numFmtId="178" fontId="20" fillId="3" borderId="0" xfId="1" applyNumberFormat="1" applyFont="1" applyFill="1"/>
    <xf numFmtId="0" fontId="21" fillId="3" borderId="20" xfId="0" applyFont="1" applyFill="1" applyBorder="1"/>
    <xf numFmtId="167" fontId="24" fillId="3" borderId="0" xfId="1" applyNumberFormat="1" applyFont="1" applyFill="1" applyBorder="1" applyAlignment="1">
      <alignment horizontal="right"/>
    </xf>
    <xf numFmtId="0" fontId="20" fillId="3" borderId="20" xfId="0" applyFont="1" applyFill="1" applyBorder="1" applyAlignment="1">
      <alignment horizontal="left" wrapText="1"/>
    </xf>
    <xf numFmtId="49" fontId="20" fillId="3" borderId="10" xfId="1" applyNumberFormat="1" applyFont="1" applyFill="1" applyBorder="1" applyAlignment="1">
      <alignment horizontal="center"/>
    </xf>
    <xf numFmtId="49" fontId="20" fillId="3" borderId="0" xfId="1" applyNumberFormat="1" applyFont="1" applyFill="1" applyBorder="1" applyAlignment="1">
      <alignment horizontal="center"/>
    </xf>
    <xf numFmtId="167" fontId="21" fillId="3" borderId="30" xfId="1" applyNumberFormat="1" applyFont="1" applyFill="1" applyBorder="1" applyAlignment="1">
      <alignment horizontal="right"/>
    </xf>
    <xf numFmtId="167" fontId="21" fillId="3" borderId="23" xfId="0" applyNumberFormat="1" applyFont="1" applyFill="1" applyBorder="1" applyAlignment="1">
      <alignment horizontal="left"/>
    </xf>
    <xf numFmtId="167" fontId="21" fillId="3" borderId="24" xfId="0" applyNumberFormat="1" applyFont="1" applyFill="1" applyBorder="1"/>
    <xf numFmtId="167" fontId="20" fillId="3" borderId="22" xfId="0" applyNumberFormat="1" applyFont="1" applyFill="1" applyBorder="1"/>
    <xf numFmtId="167" fontId="20" fillId="3" borderId="22" xfId="0" applyNumberFormat="1" applyFont="1" applyFill="1" applyBorder="1" applyAlignment="1">
      <alignment horizontal="left"/>
    </xf>
    <xf numFmtId="167" fontId="21" fillId="3" borderId="25" xfId="0" applyNumberFormat="1" applyFont="1" applyFill="1" applyBorder="1"/>
    <xf numFmtId="167" fontId="20" fillId="3" borderId="24" xfId="0" applyNumberFormat="1" applyFont="1" applyFill="1" applyBorder="1" applyAlignment="1">
      <alignment horizontal="left"/>
    </xf>
    <xf numFmtId="167" fontId="21" fillId="3" borderId="23" xfId="0" applyNumberFormat="1" applyFont="1" applyFill="1" applyBorder="1"/>
    <xf numFmtId="167" fontId="20" fillId="3" borderId="23" xfId="0" applyNumberFormat="1" applyFont="1" applyFill="1" applyBorder="1" applyAlignment="1">
      <alignment horizontal="left"/>
    </xf>
    <xf numFmtId="167" fontId="21" fillId="3" borderId="24" xfId="44" applyNumberFormat="1" applyFont="1" applyFill="1" applyBorder="1" applyAlignment="1">
      <alignment horizontal="right"/>
    </xf>
    <xf numFmtId="167" fontId="21" fillId="3" borderId="30" xfId="44" applyNumberFormat="1" applyFont="1" applyFill="1" applyBorder="1" applyAlignment="1">
      <alignment horizontal="right"/>
    </xf>
    <xf numFmtId="0" fontId="21" fillId="3" borderId="23" xfId="0" applyFont="1" applyFill="1" applyBorder="1"/>
    <xf numFmtId="167" fontId="21" fillId="3" borderId="23" xfId="44" applyNumberFormat="1" applyFont="1" applyFill="1" applyBorder="1" applyAlignment="1">
      <alignment horizontal="right"/>
    </xf>
    <xf numFmtId="0" fontId="21" fillId="3" borderId="24" xfId="0" applyFont="1" applyFill="1" applyBorder="1"/>
    <xf numFmtId="167" fontId="20" fillId="3" borderId="22" xfId="44" applyNumberFormat="1" applyFont="1" applyFill="1" applyBorder="1" applyAlignment="1">
      <alignment horizontal="right"/>
    </xf>
    <xf numFmtId="0" fontId="21" fillId="3" borderId="25" xfId="0" applyFont="1" applyFill="1" applyBorder="1"/>
    <xf numFmtId="167" fontId="21" fillId="3" borderId="25" xfId="44" applyNumberFormat="1" applyFont="1" applyFill="1" applyBorder="1" applyAlignment="1">
      <alignment horizontal="right"/>
    </xf>
    <xf numFmtId="0" fontId="20" fillId="3" borderId="22" xfId="0" applyFont="1" applyFill="1" applyBorder="1"/>
    <xf numFmtId="167" fontId="21" fillId="3" borderId="22" xfId="44" applyNumberFormat="1" applyFont="1" applyFill="1" applyBorder="1" applyAlignment="1">
      <alignment horizontal="right"/>
    </xf>
    <xf numFmtId="0" fontId="20" fillId="3" borderId="23" xfId="0" applyFont="1" applyFill="1" applyBorder="1"/>
    <xf numFmtId="167" fontId="21" fillId="3" borderId="30" xfId="2" applyNumberFormat="1" applyFont="1" applyFill="1" applyBorder="1" applyAlignment="1">
      <alignment horizontal="right"/>
    </xf>
    <xf numFmtId="0" fontId="20" fillId="3" borderId="24" xfId="0" applyFont="1" applyFill="1" applyBorder="1"/>
    <xf numFmtId="167" fontId="20" fillId="3" borderId="24" xfId="44" applyNumberFormat="1" applyFont="1" applyFill="1" applyBorder="1" applyAlignment="1">
      <alignment horizontal="right"/>
    </xf>
    <xf numFmtId="0" fontId="20" fillId="3" borderId="24" xfId="0" applyFont="1" applyFill="1" applyBorder="1" applyAlignment="1">
      <alignment horizontal="center"/>
    </xf>
    <xf numFmtId="0" fontId="20" fillId="3" borderId="29" xfId="0" applyFont="1" applyFill="1" applyBorder="1" applyAlignment="1">
      <alignment wrapText="1"/>
    </xf>
    <xf numFmtId="167" fontId="20" fillId="3" borderId="29" xfId="1" applyNumberFormat="1" applyFont="1" applyFill="1" applyBorder="1" applyAlignment="1">
      <alignment horizontal="right" wrapText="1"/>
    </xf>
    <xf numFmtId="0" fontId="21" fillId="3" borderId="23" xfId="0" applyFont="1" applyFill="1" applyBorder="1" applyAlignment="1">
      <alignment horizontal="left"/>
    </xf>
    <xf numFmtId="0" fontId="20" fillId="3" borderId="10" xfId="0" applyFont="1" applyFill="1" applyBorder="1" applyAlignment="1">
      <alignment horizontal="center"/>
    </xf>
    <xf numFmtId="0" fontId="20" fillId="3" borderId="15" xfId="0" applyFont="1" applyFill="1" applyBorder="1" applyAlignment="1">
      <alignment horizontal="center" wrapText="1"/>
    </xf>
    <xf numFmtId="0" fontId="20" fillId="3" borderId="0" xfId="0" applyFont="1" applyFill="1" applyBorder="1" applyAlignment="1">
      <alignment horizontal="center" wrapText="1"/>
    </xf>
    <xf numFmtId="170" fontId="20" fillId="3" borderId="15" xfId="44" applyNumberFormat="1" applyFont="1" applyFill="1" applyBorder="1" applyAlignment="1">
      <alignment horizontal="center" wrapText="1"/>
    </xf>
    <xf numFmtId="170" fontId="20" fillId="3" borderId="0" xfId="44" applyNumberFormat="1" applyFont="1" applyFill="1" applyBorder="1" applyAlignment="1">
      <alignment horizontal="center" wrapText="1"/>
    </xf>
    <xf numFmtId="0" fontId="20" fillId="3" borderId="10" xfId="0" applyFont="1" applyFill="1" applyBorder="1" applyAlignment="1">
      <alignment horizontal="left" wrapText="1"/>
    </xf>
    <xf numFmtId="0" fontId="20" fillId="3" borderId="10" xfId="0" applyFont="1" applyFill="1" applyBorder="1" applyAlignment="1">
      <alignment horizontal="center" wrapText="1"/>
    </xf>
    <xf numFmtId="0" fontId="20" fillId="3" borderId="20" xfId="0" applyFont="1" applyFill="1" applyBorder="1" applyAlignment="1">
      <alignment horizontal="left" wrapText="1"/>
    </xf>
    <xf numFmtId="0" fontId="20" fillId="3" borderId="10" xfId="0" applyFont="1" applyFill="1" applyBorder="1" applyAlignment="1">
      <alignment horizontal="left"/>
    </xf>
    <xf numFmtId="0" fontId="20" fillId="3" borderId="20" xfId="0" applyFont="1" applyFill="1" applyBorder="1" applyAlignment="1">
      <alignment horizontal="center"/>
    </xf>
    <xf numFmtId="170" fontId="20" fillId="3" borderId="15" xfId="44" applyNumberFormat="1" applyFont="1" applyFill="1" applyBorder="1" applyAlignment="1">
      <alignment wrapText="1"/>
    </xf>
    <xf numFmtId="0" fontId="20" fillId="3" borderId="15" xfId="0" applyFont="1" applyFill="1" applyBorder="1" applyAlignment="1">
      <alignment wrapText="1"/>
    </xf>
    <xf numFmtId="178" fontId="20" fillId="3" borderId="0" xfId="1" applyNumberFormat="1" applyFont="1" applyFill="1" applyBorder="1" applyAlignment="1">
      <alignment wrapText="1"/>
    </xf>
    <xf numFmtId="169" fontId="20" fillId="3" borderId="0" xfId="1" applyNumberFormat="1" applyFont="1" applyFill="1" applyBorder="1" applyAlignment="1">
      <alignment horizontal="center" wrapText="1"/>
    </xf>
    <xf numFmtId="179" fontId="20" fillId="3" borderId="0" xfId="1" applyNumberFormat="1" applyFont="1" applyFill="1" applyBorder="1" applyAlignment="1">
      <alignment horizontal="center" vertical="top" wrapText="1"/>
    </xf>
    <xf numFmtId="43" fontId="20" fillId="3" borderId="0" xfId="1" applyFont="1" applyFill="1" applyBorder="1" applyAlignment="1">
      <alignment horizontal="center" vertical="top" wrapText="1"/>
    </xf>
    <xf numFmtId="169" fontId="20" fillId="3" borderId="0" xfId="55" applyNumberFormat="1" applyFont="1" applyFill="1" applyBorder="1" applyProtection="1">
      <protection hidden="1"/>
    </xf>
    <xf numFmtId="43" fontId="21" fillId="3" borderId="0" xfId="1" applyFont="1" applyFill="1" applyBorder="1" applyAlignment="1" applyProtection="1">
      <alignment horizontal="center"/>
      <protection hidden="1"/>
    </xf>
    <xf numFmtId="169" fontId="21" fillId="3" borderId="0" xfId="55" applyNumberFormat="1" applyFont="1" applyFill="1" applyBorder="1" applyProtection="1">
      <protection hidden="1"/>
    </xf>
    <xf numFmtId="169" fontId="21" fillId="3" borderId="0" xfId="55" applyNumberFormat="1" applyFont="1" applyFill="1" applyBorder="1" applyAlignment="1" applyProtection="1">
      <alignment horizontal="left" indent="1"/>
      <protection hidden="1"/>
    </xf>
    <xf numFmtId="0" fontId="23" fillId="3" borderId="0" xfId="0" applyFont="1" applyFill="1" applyAlignment="1" applyProtection="1">
      <alignment wrapText="1"/>
      <protection locked="0"/>
    </xf>
    <xf numFmtId="0" fontId="23" fillId="3" borderId="0" xfId="0" applyFont="1" applyFill="1" applyProtection="1">
      <protection locked="0"/>
    </xf>
    <xf numFmtId="43" fontId="20" fillId="3" borderId="0" xfId="1" applyFont="1" applyFill="1" applyBorder="1" applyAlignment="1" applyProtection="1">
      <alignment horizontal="center"/>
      <protection hidden="1"/>
    </xf>
    <xf numFmtId="169" fontId="26" fillId="3" borderId="0" xfId="55" applyNumberFormat="1" applyFont="1" applyFill="1" applyBorder="1" applyProtection="1">
      <protection hidden="1"/>
    </xf>
    <xf numFmtId="43" fontId="20" fillId="3" borderId="1" xfId="1" applyFont="1" applyFill="1" applyBorder="1" applyAlignment="1" applyProtection="1">
      <alignment horizontal="center"/>
      <protection hidden="1"/>
    </xf>
    <xf numFmtId="43" fontId="21" fillId="3" borderId="0" xfId="1" applyFont="1" applyFill="1" applyProtection="1">
      <protection hidden="1"/>
    </xf>
    <xf numFmtId="43" fontId="20" fillId="3" borderId="1" xfId="1" applyFont="1" applyFill="1" applyBorder="1" applyAlignment="1">
      <alignment horizontal="center"/>
    </xf>
    <xf numFmtId="167" fontId="21" fillId="3" borderId="23" xfId="1" applyNumberFormat="1" applyFont="1" applyFill="1" applyBorder="1"/>
    <xf numFmtId="167" fontId="21" fillId="3" borderId="24" xfId="1" applyNumberFormat="1" applyFont="1" applyFill="1" applyBorder="1"/>
    <xf numFmtId="167" fontId="21" fillId="3" borderId="22" xfId="1" applyNumberFormat="1" applyFont="1" applyFill="1" applyBorder="1"/>
    <xf numFmtId="167" fontId="20" fillId="3" borderId="22" xfId="1" applyNumberFormat="1" applyFont="1" applyFill="1" applyBorder="1"/>
    <xf numFmtId="0" fontId="20" fillId="3" borderId="24" xfId="0" applyFont="1" applyFill="1" applyBorder="1" applyAlignment="1">
      <alignment horizontal="left"/>
    </xf>
    <xf numFmtId="167" fontId="21" fillId="3" borderId="0" xfId="1" applyNumberFormat="1" applyFont="1" applyFill="1" applyBorder="1"/>
    <xf numFmtId="167" fontId="20" fillId="3" borderId="0" xfId="1" applyNumberFormat="1" applyFont="1" applyFill="1" applyBorder="1"/>
    <xf numFmtId="166" fontId="21" fillId="3" borderId="31" xfId="0" applyNumberFormat="1" applyFont="1" applyFill="1" applyBorder="1" applyAlignment="1">
      <alignment horizontal="left"/>
    </xf>
    <xf numFmtId="167" fontId="21" fillId="3" borderId="28" xfId="1" applyNumberFormat="1" applyFont="1" applyFill="1" applyBorder="1"/>
    <xf numFmtId="167" fontId="21" fillId="3" borderId="1" xfId="1" applyNumberFormat="1" applyFont="1" applyFill="1" applyBorder="1"/>
    <xf numFmtId="167" fontId="21" fillId="3" borderId="30" xfId="1" applyNumberFormat="1" applyFont="1" applyFill="1" applyBorder="1"/>
    <xf numFmtId="167" fontId="20" fillId="3" borderId="24" xfId="1" applyNumberFormat="1" applyFont="1" applyFill="1" applyBorder="1"/>
    <xf numFmtId="167" fontId="21" fillId="3" borderId="25" xfId="1" applyNumberFormat="1" applyFont="1" applyFill="1" applyBorder="1"/>
    <xf numFmtId="0" fontId="20" fillId="3" borderId="22" xfId="0" applyFont="1" applyFill="1" applyBorder="1" applyAlignment="1">
      <alignment horizontal="left"/>
    </xf>
    <xf numFmtId="167" fontId="20" fillId="3" borderId="24" xfId="44" applyNumberFormat="1" applyFont="1" applyFill="1" applyBorder="1"/>
    <xf numFmtId="167" fontId="21" fillId="3" borderId="30" xfId="44" applyNumberFormat="1" applyFont="1" applyFill="1" applyBorder="1"/>
    <xf numFmtId="0" fontId="20" fillId="3" borderId="23" xfId="0" applyFont="1" applyFill="1" applyBorder="1" applyAlignment="1">
      <alignment horizontal="left"/>
    </xf>
    <xf numFmtId="167" fontId="20" fillId="3" borderId="23" xfId="1" applyNumberFormat="1" applyFont="1" applyFill="1" applyBorder="1"/>
    <xf numFmtId="167" fontId="21" fillId="3" borderId="24" xfId="2" applyNumberFormat="1" applyFont="1" applyFill="1" applyBorder="1"/>
    <xf numFmtId="167" fontId="20" fillId="3" borderId="24" xfId="2" applyNumberFormat="1" applyFont="1" applyFill="1" applyBorder="1"/>
    <xf numFmtId="167" fontId="20" fillId="3" borderId="22" xfId="2" applyNumberFormat="1" applyFont="1" applyFill="1" applyBorder="1"/>
    <xf numFmtId="0" fontId="21" fillId="3" borderId="15" xfId="0" applyFont="1" applyFill="1" applyBorder="1" applyAlignment="1">
      <alignment horizontal="left"/>
    </xf>
    <xf numFmtId="167" fontId="21" fillId="3" borderId="16" xfId="44" applyNumberFormat="1" applyFont="1" applyFill="1" applyBorder="1" applyAlignment="1">
      <alignment horizontal="right"/>
    </xf>
    <xf numFmtId="0" fontId="21" fillId="3" borderId="23" xfId="42" applyFont="1" applyFill="1" applyBorder="1"/>
    <xf numFmtId="167" fontId="21" fillId="3" borderId="23" xfId="42" applyNumberFormat="1" applyFont="1" applyFill="1" applyBorder="1" applyAlignment="1">
      <alignment horizontal="right"/>
    </xf>
    <xf numFmtId="167" fontId="21" fillId="3" borderId="24" xfId="0" applyNumberFormat="1" applyFont="1" applyFill="1" applyBorder="1" applyAlignment="1">
      <alignment horizontal="right"/>
    </xf>
    <xf numFmtId="0" fontId="20" fillId="3" borderId="24" xfId="42" applyFont="1" applyFill="1" applyBorder="1" applyAlignment="1">
      <alignment horizontal="left"/>
    </xf>
    <xf numFmtId="0" fontId="21" fillId="3" borderId="23" xfId="42" applyFont="1" applyFill="1" applyBorder="1" applyAlignment="1">
      <alignment horizontal="left"/>
    </xf>
    <xf numFmtId="0" fontId="21" fillId="3" borderId="25" xfId="42" applyFont="1" applyFill="1" applyBorder="1"/>
    <xf numFmtId="167" fontId="21" fillId="3" borderId="25" xfId="42" applyNumberFormat="1" applyFont="1" applyFill="1" applyBorder="1" applyAlignment="1">
      <alignment horizontal="right"/>
    </xf>
    <xf numFmtId="0" fontId="20" fillId="3" borderId="22" xfId="42" applyFont="1" applyFill="1" applyBorder="1" applyAlignment="1">
      <alignment horizontal="left"/>
    </xf>
    <xf numFmtId="0" fontId="21" fillId="3" borderId="25" xfId="0" applyFont="1" applyFill="1" applyBorder="1" applyAlignment="1">
      <alignment horizontal="left"/>
    </xf>
    <xf numFmtId="0" fontId="21" fillId="3" borderId="24" xfId="42" applyFont="1" applyFill="1" applyBorder="1"/>
    <xf numFmtId="167" fontId="21" fillId="3" borderId="24" xfId="42" applyNumberFormat="1" applyFont="1" applyFill="1" applyBorder="1" applyAlignment="1">
      <alignment horizontal="right"/>
    </xf>
    <xf numFmtId="167" fontId="21" fillId="3" borderId="0" xfId="44" applyNumberFormat="1" applyFont="1" applyFill="1" applyBorder="1" applyAlignment="1">
      <alignment horizontal="right"/>
    </xf>
    <xf numFmtId="0" fontId="20" fillId="3" borderId="23" xfId="42" applyFont="1" applyFill="1" applyBorder="1"/>
    <xf numFmtId="0" fontId="20" fillId="3" borderId="24" xfId="42" applyFont="1" applyFill="1" applyBorder="1"/>
    <xf numFmtId="0" fontId="20" fillId="3" borderId="23" xfId="42" applyFont="1" applyFill="1" applyBorder="1" applyAlignment="1">
      <alignment horizontal="left"/>
    </xf>
    <xf numFmtId="0" fontId="20" fillId="3" borderId="22" xfId="42" applyFont="1" applyFill="1" applyBorder="1"/>
    <xf numFmtId="167" fontId="20" fillId="3" borderId="20" xfId="44" applyNumberFormat="1" applyFont="1" applyFill="1" applyBorder="1" applyAlignment="1">
      <alignment horizontal="right"/>
    </xf>
    <xf numFmtId="167" fontId="21" fillId="3" borderId="20" xfId="44" applyNumberFormat="1" applyFont="1" applyFill="1" applyBorder="1" applyAlignment="1">
      <alignment horizontal="right"/>
    </xf>
    <xf numFmtId="167" fontId="21" fillId="3" borderId="32" xfId="44" applyNumberFormat="1" applyFont="1" applyFill="1" applyBorder="1" applyAlignment="1">
      <alignment horizontal="right"/>
    </xf>
    <xf numFmtId="167" fontId="21" fillId="3" borderId="17" xfId="44" applyNumberFormat="1" applyFont="1" applyFill="1" applyBorder="1" applyAlignment="1">
      <alignment horizontal="right"/>
    </xf>
    <xf numFmtId="167" fontId="21" fillId="3" borderId="31" xfId="44" applyNumberFormat="1" applyFont="1" applyFill="1" applyBorder="1" applyAlignment="1">
      <alignment horizontal="right"/>
    </xf>
    <xf numFmtId="167" fontId="21" fillId="3" borderId="26" xfId="44" applyNumberFormat="1" applyFont="1" applyFill="1" applyBorder="1" applyAlignment="1">
      <alignment horizontal="right"/>
    </xf>
    <xf numFmtId="167" fontId="21" fillId="3" borderId="17" xfId="42" applyNumberFormat="1" applyFont="1" applyFill="1" applyBorder="1" applyAlignment="1">
      <alignment horizontal="right"/>
    </xf>
    <xf numFmtId="167" fontId="21" fillId="3" borderId="20" xfId="44" applyNumberFormat="1" applyFont="1" applyFill="1" applyBorder="1" applyAlignment="1" applyProtection="1">
      <alignment horizontal="right" vertical="center" wrapText="1"/>
      <protection locked="0"/>
    </xf>
    <xf numFmtId="167" fontId="20" fillId="3" borderId="31" xfId="44" applyNumberFormat="1" applyFont="1" applyFill="1" applyBorder="1" applyAlignment="1">
      <alignment horizontal="right"/>
    </xf>
    <xf numFmtId="167" fontId="21" fillId="3" borderId="15" xfId="0" applyNumberFormat="1" applyFont="1" applyFill="1" applyBorder="1" applyAlignment="1">
      <alignment horizontal="right"/>
    </xf>
    <xf numFmtId="167" fontId="21" fillId="3" borderId="17" xfId="0" applyNumberFormat="1" applyFont="1" applyFill="1" applyBorder="1" applyAlignment="1">
      <alignment horizontal="right"/>
    </xf>
    <xf numFmtId="167" fontId="21" fillId="3" borderId="20" xfId="2" applyNumberFormat="1" applyFont="1" applyFill="1" applyBorder="1" applyAlignment="1">
      <alignment horizontal="right"/>
    </xf>
    <xf numFmtId="167" fontId="21" fillId="3" borderId="32" xfId="2" applyNumberFormat="1" applyFont="1" applyFill="1" applyBorder="1" applyAlignment="1">
      <alignment horizontal="right"/>
    </xf>
    <xf numFmtId="167" fontId="21" fillId="3" borderId="17" xfId="2" applyNumberFormat="1" applyFont="1" applyFill="1" applyBorder="1" applyAlignment="1">
      <alignment horizontal="right"/>
    </xf>
    <xf numFmtId="167" fontId="21" fillId="3" borderId="20" xfId="42" applyNumberFormat="1" applyFont="1" applyFill="1" applyBorder="1" applyAlignment="1">
      <alignment horizontal="right"/>
    </xf>
    <xf numFmtId="167" fontId="20" fillId="3" borderId="17" xfId="44" applyNumberFormat="1" applyFont="1" applyFill="1" applyBorder="1" applyAlignment="1">
      <alignment horizontal="right"/>
    </xf>
    <xf numFmtId="167" fontId="21" fillId="3" borderId="20" xfId="0" applyNumberFormat="1" applyFont="1" applyFill="1" applyBorder="1" applyAlignment="1">
      <alignment horizontal="right"/>
    </xf>
    <xf numFmtId="167" fontId="20" fillId="3" borderId="0" xfId="44" applyNumberFormat="1" applyFont="1" applyFill="1" applyBorder="1" applyAlignment="1">
      <alignment horizontal="right"/>
    </xf>
    <xf numFmtId="167" fontId="21" fillId="3" borderId="0" xfId="42" applyNumberFormat="1" applyFont="1" applyFill="1" applyBorder="1" applyAlignment="1">
      <alignment horizontal="right"/>
    </xf>
    <xf numFmtId="167" fontId="21" fillId="3" borderId="0" xfId="0" applyNumberFormat="1" applyFont="1" applyFill="1" applyBorder="1" applyAlignment="1">
      <alignment horizontal="right"/>
    </xf>
    <xf numFmtId="167" fontId="21" fillId="3" borderId="0" xfId="2" applyNumberFormat="1" applyFont="1" applyFill="1" applyBorder="1" applyAlignment="1">
      <alignment horizontal="right"/>
    </xf>
    <xf numFmtId="167" fontId="20" fillId="3" borderId="0" xfId="2" applyNumberFormat="1" applyFont="1" applyFill="1" applyBorder="1" applyAlignment="1">
      <alignment horizontal="right"/>
    </xf>
    <xf numFmtId="167" fontId="20" fillId="3" borderId="29" xfId="44" applyNumberFormat="1" applyFont="1" applyFill="1" applyBorder="1" applyAlignment="1">
      <alignment horizontal="right"/>
    </xf>
    <xf numFmtId="167" fontId="20" fillId="3" borderId="26" xfId="44" applyNumberFormat="1" applyFont="1" applyFill="1" applyBorder="1" applyAlignment="1">
      <alignment horizontal="right"/>
    </xf>
    <xf numFmtId="167" fontId="20" fillId="3" borderId="20" xfId="0" applyNumberFormat="1" applyFont="1" applyFill="1" applyBorder="1" applyAlignment="1">
      <alignment horizontal="right"/>
    </xf>
    <xf numFmtId="167" fontId="21" fillId="3" borderId="15" xfId="44" applyNumberFormat="1" applyFont="1" applyFill="1" applyBorder="1" applyAlignment="1">
      <alignment horizontal="right"/>
    </xf>
    <xf numFmtId="167" fontId="20" fillId="3" borderId="0" xfId="0" applyNumberFormat="1" applyFont="1" applyFill="1" applyBorder="1" applyAlignment="1">
      <alignment horizontal="right"/>
    </xf>
    <xf numFmtId="167" fontId="20" fillId="3" borderId="26" xfId="1" applyNumberFormat="1" applyFont="1" applyFill="1" applyBorder="1" applyAlignment="1">
      <alignment horizontal="right"/>
    </xf>
    <xf numFmtId="0" fontId="20" fillId="3" borderId="29" xfId="0" applyFont="1" applyFill="1" applyBorder="1"/>
    <xf numFmtId="167" fontId="20" fillId="3" borderId="29" xfId="1" applyNumberFormat="1" applyFont="1" applyFill="1" applyBorder="1" applyAlignment="1">
      <alignment horizontal="right"/>
    </xf>
    <xf numFmtId="178" fontId="20" fillId="3" borderId="0" xfId="1" applyNumberFormat="1" applyFont="1" applyFill="1" applyBorder="1" applyAlignment="1">
      <alignment horizontal="center" vertical="top" wrapText="1"/>
    </xf>
    <xf numFmtId="178" fontId="21" fillId="3" borderId="0" xfId="1" applyNumberFormat="1" applyFont="1" applyFill="1" applyBorder="1" applyAlignment="1" applyProtection="1">
      <alignment horizontal="center"/>
      <protection hidden="1"/>
    </xf>
    <xf numFmtId="178" fontId="20" fillId="3" borderId="0" xfId="1" applyNumberFormat="1" applyFont="1" applyFill="1" applyBorder="1" applyProtection="1">
      <protection hidden="1"/>
    </xf>
    <xf numFmtId="178" fontId="21" fillId="3" borderId="0" xfId="1" applyNumberFormat="1" applyFont="1" applyFill="1" applyBorder="1" applyProtection="1">
      <protection hidden="1"/>
    </xf>
    <xf numFmtId="178" fontId="21" fillId="3" borderId="0" xfId="1" applyNumberFormat="1" applyFont="1" applyFill="1" applyBorder="1" applyAlignment="1" applyProtection="1">
      <alignment horizontal="left" indent="1"/>
      <protection hidden="1"/>
    </xf>
    <xf numFmtId="178" fontId="23" fillId="3" borderId="0" xfId="1" applyNumberFormat="1" applyFont="1" applyFill="1" applyAlignment="1" applyProtection="1">
      <alignment wrapText="1"/>
      <protection locked="0"/>
    </xf>
    <xf numFmtId="178" fontId="23" fillId="3" borderId="0" xfId="1" applyNumberFormat="1" applyFont="1" applyFill="1" applyProtection="1">
      <protection locked="0"/>
    </xf>
    <xf numFmtId="178" fontId="20" fillId="3" borderId="0" xfId="1" applyNumberFormat="1" applyFont="1" applyFill="1" applyBorder="1" applyAlignment="1" applyProtection="1">
      <alignment horizontal="center"/>
      <protection hidden="1"/>
    </xf>
    <xf numFmtId="178" fontId="20" fillId="3" borderId="1" xfId="1" applyNumberFormat="1" applyFont="1" applyFill="1" applyBorder="1" applyAlignment="1" applyProtection="1">
      <alignment horizontal="center"/>
      <protection hidden="1"/>
    </xf>
    <xf numFmtId="178" fontId="26" fillId="3" borderId="0" xfId="1" applyNumberFormat="1" applyFont="1" applyFill="1" applyBorder="1" applyProtection="1">
      <protection hidden="1"/>
    </xf>
    <xf numFmtId="178" fontId="21" fillId="3" borderId="0" xfId="1" applyNumberFormat="1" applyFont="1" applyFill="1" applyProtection="1">
      <protection hidden="1"/>
    </xf>
    <xf numFmtId="178" fontId="20" fillId="3" borderId="1" xfId="1" applyNumberFormat="1" applyFont="1" applyFill="1" applyBorder="1" applyAlignment="1">
      <alignment horizontal="center"/>
    </xf>
    <xf numFmtId="0" fontId="21" fillId="0" borderId="0" xfId="0" applyFont="1" applyFill="1" applyBorder="1"/>
    <xf numFmtId="0" fontId="21" fillId="0" borderId="0" xfId="0" applyNumberFormat="1" applyFont="1" applyFill="1" applyBorder="1"/>
    <xf numFmtId="0" fontId="21" fillId="0" borderId="0" xfId="0" applyFont="1" applyBorder="1"/>
    <xf numFmtId="0" fontId="21" fillId="0" borderId="0" xfId="0" applyFont="1"/>
    <xf numFmtId="167" fontId="20" fillId="3" borderId="0" xfId="0" applyNumberFormat="1" applyFont="1" applyFill="1" applyBorder="1" applyAlignment="1">
      <alignment wrapText="1"/>
    </xf>
    <xf numFmtId="0" fontId="24" fillId="38" borderId="10" xfId="0" applyFont="1" applyFill="1" applyBorder="1" applyAlignment="1">
      <alignment horizontal="center" vertical="center" wrapText="1"/>
    </xf>
    <xf numFmtId="0" fontId="24" fillId="38" borderId="10" xfId="0" applyFont="1" applyFill="1" applyBorder="1" applyAlignment="1">
      <alignment horizontal="center"/>
    </xf>
    <xf numFmtId="14" fontId="24" fillId="38" borderId="10" xfId="0" applyNumberFormat="1" applyFont="1" applyFill="1" applyBorder="1" applyAlignment="1">
      <alignment horizontal="center"/>
    </xf>
    <xf numFmtId="0" fontId="24" fillId="38" borderId="10" xfId="0" applyFont="1" applyFill="1" applyBorder="1" applyAlignment="1">
      <alignment horizontal="center" vertical="center"/>
    </xf>
    <xf numFmtId="9" fontId="20" fillId="3" borderId="0" xfId="53" applyFont="1" applyFill="1"/>
    <xf numFmtId="0" fontId="22" fillId="3" borderId="0" xfId="0" applyFont="1" applyFill="1"/>
    <xf numFmtId="0" fontId="22" fillId="37" borderId="10" xfId="0" applyFont="1" applyFill="1" applyBorder="1"/>
    <xf numFmtId="5" fontId="22" fillId="37" borderId="10" xfId="1" applyNumberFormat="1" applyFont="1" applyFill="1" applyBorder="1" applyAlignment="1">
      <alignment horizontal="right"/>
    </xf>
    <xf numFmtId="167" fontId="22" fillId="37" borderId="10" xfId="0" applyNumberFormat="1" applyFont="1" applyFill="1" applyBorder="1"/>
    <xf numFmtId="167" fontId="22" fillId="2" borderId="10" xfId="0" applyNumberFormat="1" applyFont="1" applyFill="1" applyBorder="1"/>
    <xf numFmtId="166" fontId="22" fillId="2" borderId="10" xfId="0" applyNumberFormat="1" applyFont="1" applyFill="1" applyBorder="1"/>
    <xf numFmtId="5" fontId="22" fillId="0" borderId="10" xfId="1" applyNumberFormat="1" applyFont="1" applyBorder="1" applyAlignment="1">
      <alignment horizontal="right"/>
    </xf>
    <xf numFmtId="167" fontId="22" fillId="0" borderId="10" xfId="0" applyNumberFormat="1" applyFont="1" applyBorder="1"/>
    <xf numFmtId="166" fontId="22" fillId="3" borderId="10" xfId="0" applyNumberFormat="1" applyFont="1" applyFill="1" applyBorder="1"/>
    <xf numFmtId="5" fontId="22" fillId="2" borderId="10" xfId="1" applyNumberFormat="1" applyFont="1" applyFill="1" applyBorder="1" applyAlignment="1">
      <alignment horizontal="right"/>
    </xf>
    <xf numFmtId="166" fontId="22" fillId="0" borderId="10" xfId="0" applyNumberFormat="1" applyFont="1" applyBorder="1"/>
    <xf numFmtId="167" fontId="21" fillId="0" borderId="0" xfId="0" applyNumberFormat="1" applyFont="1" applyFill="1" applyBorder="1"/>
    <xf numFmtId="166" fontId="23" fillId="0" borderId="0" xfId="0" applyNumberFormat="1" applyFont="1" applyBorder="1"/>
    <xf numFmtId="0" fontId="0" fillId="3" borderId="0" xfId="0" applyFill="1"/>
    <xf numFmtId="0" fontId="24" fillId="3" borderId="0" xfId="0" applyFont="1" applyFill="1" applyAlignment="1"/>
    <xf numFmtId="0" fontId="24" fillId="3" borderId="0" xfId="0" applyFont="1" applyFill="1" applyAlignment="1">
      <alignment horizontal="center"/>
    </xf>
    <xf numFmtId="0" fontId="23" fillId="3" borderId="0" xfId="0" applyFont="1" applyFill="1" applyAlignment="1">
      <alignment vertical="top" wrapText="1"/>
    </xf>
    <xf numFmtId="0" fontId="24" fillId="38" borderId="10" xfId="0" applyFont="1" applyFill="1" applyBorder="1" applyAlignment="1">
      <alignment horizontal="center"/>
    </xf>
    <xf numFmtId="0" fontId="24" fillId="38" borderId="10" xfId="0" applyFont="1" applyFill="1" applyBorder="1" applyAlignment="1">
      <alignment horizontal="center" vertical="center"/>
    </xf>
    <xf numFmtId="0" fontId="25" fillId="0" borderId="0" xfId="0" applyFont="1"/>
    <xf numFmtId="0" fontId="25" fillId="0" borderId="0" xfId="0" applyFont="1" applyFill="1" applyBorder="1"/>
    <xf numFmtId="10" fontId="25" fillId="0" borderId="0" xfId="0" applyNumberFormat="1" applyFont="1" applyFill="1" applyBorder="1"/>
    <xf numFmtId="167" fontId="25" fillId="0" borderId="0" xfId="0" applyNumberFormat="1" applyFont="1"/>
    <xf numFmtId="0" fontId="25" fillId="0" borderId="10" xfId="0" applyFont="1" applyBorder="1"/>
    <xf numFmtId="2" fontId="25" fillId="0" borderId="10" xfId="0" applyNumberFormat="1" applyFont="1" applyBorder="1"/>
    <xf numFmtId="0" fontId="25" fillId="0" borderId="0" xfId="0" applyFont="1" applyFill="1"/>
    <xf numFmtId="0" fontId="25" fillId="36" borderId="0" xfId="0" applyFont="1" applyFill="1"/>
    <xf numFmtId="0" fontId="25" fillId="3" borderId="0" xfId="0" applyFont="1" applyFill="1"/>
    <xf numFmtId="42" fontId="21" fillId="2" borderId="10" xfId="54" applyFont="1" applyFill="1" applyBorder="1" applyAlignment="1">
      <alignment horizontal="right"/>
    </xf>
    <xf numFmtId="2" fontId="21" fillId="2" borderId="10" xfId="0" applyNumberFormat="1" applyFont="1" applyFill="1" applyBorder="1"/>
    <xf numFmtId="2" fontId="21" fillId="0" borderId="10" xfId="0" applyNumberFormat="1" applyFont="1" applyBorder="1"/>
    <xf numFmtId="10" fontId="21" fillId="0" borderId="10" xfId="0" applyNumberFormat="1" applyFont="1" applyFill="1" applyBorder="1"/>
    <xf numFmtId="10" fontId="21" fillId="2" borderId="10" xfId="0" applyNumberFormat="1" applyFont="1" applyFill="1" applyBorder="1" applyAlignment="1">
      <alignment horizontal="right"/>
    </xf>
    <xf numFmtId="0" fontId="23" fillId="39" borderId="0" xfId="0" applyFont="1" applyFill="1" applyAlignment="1">
      <alignment horizontal="left" vertical="top" wrapText="1"/>
    </xf>
    <xf numFmtId="0" fontId="23" fillId="4" borderId="10" xfId="0" applyFont="1" applyFill="1" applyBorder="1" applyAlignment="1">
      <alignment horizontal="left"/>
    </xf>
    <xf numFmtId="0" fontId="24" fillId="38" borderId="0" xfId="0" applyFont="1" applyFill="1" applyAlignment="1">
      <alignment horizontal="center"/>
    </xf>
    <xf numFmtId="0" fontId="25" fillId="38" borderId="0" xfId="0" applyFont="1" applyFill="1" applyAlignment="1">
      <alignment horizontal="center"/>
    </xf>
    <xf numFmtId="0" fontId="24" fillId="38" borderId="13" xfId="0" applyFont="1" applyFill="1" applyBorder="1" applyAlignment="1">
      <alignment horizontal="center"/>
    </xf>
    <xf numFmtId="0" fontId="24" fillId="38" borderId="11" xfId="0" applyFont="1" applyFill="1" applyBorder="1" applyAlignment="1">
      <alignment horizontal="center"/>
    </xf>
    <xf numFmtId="0" fontId="24" fillId="38" borderId="12" xfId="0" applyFont="1" applyFill="1" applyBorder="1" applyAlignment="1">
      <alignment horizontal="center"/>
    </xf>
    <xf numFmtId="0" fontId="24" fillId="38" borderId="10" xfId="0" applyFont="1" applyFill="1" applyBorder="1" applyAlignment="1">
      <alignment horizontal="center"/>
    </xf>
    <xf numFmtId="0" fontId="23" fillId="3" borderId="10" xfId="0" applyFont="1" applyFill="1" applyBorder="1" applyAlignment="1">
      <alignment horizontal="left" wrapText="1"/>
    </xf>
    <xf numFmtId="0" fontId="23" fillId="0" borderId="10" xfId="0" applyFont="1" applyBorder="1" applyAlignment="1">
      <alignment horizontal="left"/>
    </xf>
    <xf numFmtId="0" fontId="23" fillId="0" borderId="20" xfId="0" applyFont="1" applyBorder="1" applyAlignment="1">
      <alignment horizontal="left" wrapText="1"/>
    </xf>
    <xf numFmtId="0" fontId="23" fillId="0" borderId="19" xfId="0" applyFont="1" applyBorder="1" applyAlignment="1">
      <alignment horizontal="left" wrapText="1"/>
    </xf>
    <xf numFmtId="0" fontId="23" fillId="0" borderId="21" xfId="0" applyFont="1" applyBorder="1" applyAlignment="1">
      <alignment horizontal="left" wrapText="1"/>
    </xf>
    <xf numFmtId="0" fontId="23" fillId="2" borderId="10" xfId="0" applyFont="1" applyFill="1" applyBorder="1" applyAlignment="1">
      <alignment horizontal="left"/>
    </xf>
    <xf numFmtId="0" fontId="23" fillId="0" borderId="20" xfId="0" applyFont="1" applyBorder="1" applyAlignment="1">
      <alignment horizontal="center"/>
    </xf>
    <xf numFmtId="0" fontId="23" fillId="0" borderId="19" xfId="0" applyFont="1" applyBorder="1" applyAlignment="1">
      <alignment horizontal="center"/>
    </xf>
    <xf numFmtId="0" fontId="23" fillId="0" borderId="21" xfId="0" applyFont="1" applyBorder="1" applyAlignment="1">
      <alignment horizontal="center"/>
    </xf>
    <xf numFmtId="0" fontId="21" fillId="3" borderId="10" xfId="0" applyFont="1" applyFill="1" applyBorder="1" applyAlignment="1">
      <alignment horizontal="left"/>
    </xf>
    <xf numFmtId="0" fontId="23" fillId="0" borderId="10" xfId="0" applyFont="1" applyBorder="1" applyAlignment="1">
      <alignment horizontal="center"/>
    </xf>
    <xf numFmtId="0" fontId="23" fillId="3" borderId="0" xfId="0" applyFont="1" applyFill="1" applyBorder="1" applyAlignment="1">
      <alignment horizontal="left"/>
    </xf>
    <xf numFmtId="0" fontId="24" fillId="38" borderId="0" xfId="0" applyFont="1" applyFill="1" applyAlignment="1">
      <alignment horizontal="center" vertical="center"/>
    </xf>
    <xf numFmtId="0" fontId="24" fillId="38" borderId="10" xfId="0" applyFont="1" applyFill="1" applyBorder="1" applyAlignment="1">
      <alignment horizontal="center" vertical="center"/>
    </xf>
    <xf numFmtId="0" fontId="23" fillId="0" borderId="0" xfId="0" applyFont="1" applyAlignment="1">
      <alignment horizontal="left" vertical="center" wrapText="1"/>
    </xf>
    <xf numFmtId="0" fontId="23" fillId="0" borderId="0" xfId="0" applyFont="1" applyAlignment="1">
      <alignment horizontal="left" wrapText="1"/>
    </xf>
    <xf numFmtId="0" fontId="24" fillId="38" borderId="0" xfId="0" applyFont="1" applyFill="1" applyBorder="1" applyAlignment="1">
      <alignment horizontal="center" vertical="center"/>
    </xf>
    <xf numFmtId="0" fontId="24" fillId="38" borderId="0" xfId="0" applyFont="1" applyFill="1" applyBorder="1" applyAlignment="1">
      <alignment horizontal="center"/>
    </xf>
    <xf numFmtId="179" fontId="20" fillId="3" borderId="0" xfId="1" applyNumberFormat="1" applyFont="1" applyFill="1" applyBorder="1" applyAlignment="1">
      <alignment horizontal="center" vertical="top" wrapText="1"/>
    </xf>
    <xf numFmtId="178" fontId="20" fillId="3" borderId="0" xfId="1" applyNumberFormat="1" applyFont="1" applyFill="1" applyBorder="1" applyAlignment="1">
      <alignment horizontal="center" vertical="top" wrapText="1"/>
    </xf>
    <xf numFmtId="178" fontId="20" fillId="3" borderId="0" xfId="1" applyNumberFormat="1" applyFont="1" applyFill="1" applyBorder="1" applyAlignment="1">
      <alignment horizontal="center" wrapText="1"/>
    </xf>
    <xf numFmtId="178" fontId="20" fillId="3" borderId="0" xfId="1" applyNumberFormat="1" applyFont="1" applyFill="1" applyBorder="1" applyAlignment="1">
      <alignment horizontal="center"/>
    </xf>
    <xf numFmtId="169" fontId="20" fillId="3" borderId="0" xfId="1" applyNumberFormat="1" applyFont="1" applyFill="1" applyBorder="1" applyAlignment="1">
      <alignment horizontal="center" wrapText="1"/>
    </xf>
    <xf numFmtId="169" fontId="20" fillId="3" borderId="0" xfId="1" applyNumberFormat="1" applyFont="1" applyFill="1" applyBorder="1" applyAlignment="1">
      <alignment horizontal="center"/>
    </xf>
    <xf numFmtId="0" fontId="23" fillId="3" borderId="0" xfId="0" applyFont="1" applyFill="1" applyAlignment="1">
      <alignment horizontal="left" vertical="top" wrapText="1"/>
    </xf>
    <xf numFmtId="169" fontId="20" fillId="3" borderId="0" xfId="44" applyNumberFormat="1" applyFont="1" applyFill="1" applyAlignment="1">
      <alignment horizontal="center" vertical="center" wrapText="1"/>
    </xf>
    <xf numFmtId="169" fontId="20" fillId="3" borderId="0" xfId="44" applyNumberFormat="1" applyFont="1" applyFill="1" applyAlignment="1">
      <alignment horizontal="center"/>
    </xf>
    <xf numFmtId="0" fontId="20" fillId="3" borderId="15"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15" xfId="0" applyFont="1" applyFill="1" applyBorder="1" applyAlignment="1">
      <alignment horizontal="center" wrapText="1"/>
    </xf>
    <xf numFmtId="0" fontId="20" fillId="3" borderId="0" xfId="0" applyFont="1" applyFill="1" applyBorder="1" applyAlignment="1">
      <alignment horizontal="center" wrapText="1"/>
    </xf>
    <xf numFmtId="0" fontId="20" fillId="3" borderId="10" xfId="0" applyFont="1" applyFill="1" applyBorder="1" applyAlignment="1">
      <alignment horizontal="left" wrapText="1"/>
    </xf>
    <xf numFmtId="0" fontId="20" fillId="3" borderId="10" xfId="0" applyFont="1" applyFill="1" applyBorder="1" applyAlignment="1">
      <alignment horizontal="center" wrapText="1"/>
    </xf>
    <xf numFmtId="0" fontId="20" fillId="3" borderId="20" xfId="0" applyFont="1" applyFill="1" applyBorder="1" applyAlignment="1">
      <alignment horizontal="left" wrapText="1"/>
    </xf>
    <xf numFmtId="0" fontId="20" fillId="3" borderId="19" xfId="0" applyFont="1" applyFill="1" applyBorder="1" applyAlignment="1">
      <alignment horizontal="left" wrapText="1"/>
    </xf>
    <xf numFmtId="178" fontId="21" fillId="3" borderId="10" xfId="1" applyNumberFormat="1" applyFont="1" applyFill="1" applyBorder="1" applyAlignment="1">
      <alignment horizontal="left"/>
    </xf>
    <xf numFmtId="178" fontId="20" fillId="3" borderId="10" xfId="1" applyNumberFormat="1" applyFont="1" applyFill="1" applyBorder="1" applyAlignment="1">
      <alignment horizontal="left"/>
    </xf>
    <xf numFmtId="178" fontId="21" fillId="3" borderId="10" xfId="1" applyNumberFormat="1" applyFont="1" applyFill="1" applyBorder="1" applyAlignment="1">
      <alignment horizontal="right"/>
    </xf>
    <xf numFmtId="178" fontId="20" fillId="3" borderId="0" xfId="1" applyNumberFormat="1" applyFont="1" applyFill="1" applyAlignment="1">
      <alignment horizontal="right"/>
    </xf>
    <xf numFmtId="169" fontId="20" fillId="3" borderId="10" xfId="44" applyNumberFormat="1" applyFont="1" applyFill="1" applyBorder="1" applyAlignment="1">
      <alignment horizontal="center" wrapText="1"/>
    </xf>
    <xf numFmtId="169" fontId="20" fillId="3" borderId="10" xfId="44" applyNumberFormat="1" applyFont="1" applyFill="1" applyBorder="1" applyAlignment="1">
      <alignment horizontal="center"/>
    </xf>
    <xf numFmtId="0" fontId="20" fillId="3" borderId="10" xfId="0" applyFont="1" applyFill="1" applyBorder="1" applyAlignment="1">
      <alignment horizontal="center"/>
    </xf>
    <xf numFmtId="167" fontId="20" fillId="3" borderId="10" xfId="44" applyNumberFormat="1" applyFont="1" applyFill="1" applyBorder="1" applyAlignment="1">
      <alignment horizontal="center" wrapText="1"/>
    </xf>
    <xf numFmtId="167" fontId="20" fillId="3" borderId="10" xfId="44" applyNumberFormat="1" applyFont="1" applyFill="1" applyBorder="1" applyAlignment="1">
      <alignment horizontal="center"/>
    </xf>
    <xf numFmtId="167" fontId="20" fillId="3" borderId="10" xfId="0" applyNumberFormat="1" applyFont="1" applyFill="1" applyBorder="1" applyAlignment="1">
      <alignment horizontal="center"/>
    </xf>
    <xf numFmtId="166" fontId="20" fillId="3" borderId="20" xfId="0" applyNumberFormat="1" applyFont="1" applyFill="1" applyBorder="1" applyAlignment="1">
      <alignment horizontal="left"/>
    </xf>
    <xf numFmtId="166" fontId="20" fillId="3" borderId="19" xfId="0" applyNumberFormat="1" applyFont="1" applyFill="1" applyBorder="1" applyAlignment="1">
      <alignment horizontal="left"/>
    </xf>
    <xf numFmtId="166" fontId="20" fillId="3" borderId="21" xfId="0" applyNumberFormat="1" applyFont="1" applyFill="1" applyBorder="1" applyAlignment="1">
      <alignment horizontal="left"/>
    </xf>
    <xf numFmtId="167" fontId="20" fillId="3" borderId="20" xfId="0" applyNumberFormat="1" applyFont="1" applyFill="1" applyBorder="1" applyAlignment="1">
      <alignment horizontal="left"/>
    </xf>
    <xf numFmtId="167" fontId="20" fillId="3" borderId="19" xfId="0" applyNumberFormat="1" applyFont="1" applyFill="1" applyBorder="1" applyAlignment="1">
      <alignment horizontal="left"/>
    </xf>
    <xf numFmtId="167" fontId="20" fillId="3" borderId="21" xfId="0" applyNumberFormat="1" applyFont="1" applyFill="1" applyBorder="1" applyAlignment="1">
      <alignment horizontal="left"/>
    </xf>
    <xf numFmtId="167" fontId="20" fillId="3" borderId="20" xfId="0" applyNumberFormat="1" applyFont="1" applyFill="1" applyBorder="1" applyAlignment="1">
      <alignment horizontal="left" wrapText="1"/>
    </xf>
    <xf numFmtId="167" fontId="20" fillId="3" borderId="19" xfId="0" applyNumberFormat="1" applyFont="1" applyFill="1" applyBorder="1" applyAlignment="1">
      <alignment horizontal="left" wrapText="1"/>
    </xf>
    <xf numFmtId="167" fontId="20" fillId="3" borderId="21" xfId="0" applyNumberFormat="1" applyFont="1" applyFill="1" applyBorder="1" applyAlignment="1">
      <alignment horizontal="left" wrapText="1"/>
    </xf>
    <xf numFmtId="167" fontId="20" fillId="3" borderId="0" xfId="0" applyNumberFormat="1" applyFont="1" applyFill="1" applyBorder="1" applyAlignment="1">
      <alignment horizontal="left"/>
    </xf>
    <xf numFmtId="167" fontId="20" fillId="3" borderId="26" xfId="0" applyNumberFormat="1" applyFont="1" applyFill="1" applyBorder="1" applyAlignment="1">
      <alignment horizontal="left"/>
    </xf>
    <xf numFmtId="167" fontId="20" fillId="3" borderId="27" xfId="0" applyNumberFormat="1" applyFont="1" applyFill="1" applyBorder="1" applyAlignment="1">
      <alignment horizontal="left"/>
    </xf>
    <xf numFmtId="167" fontId="20" fillId="3" borderId="20" xfId="42" applyNumberFormat="1" applyFont="1" applyFill="1" applyBorder="1" applyAlignment="1">
      <alignment horizontal="left"/>
    </xf>
    <xf numFmtId="167" fontId="20" fillId="3" borderId="19" xfId="42" applyNumberFormat="1" applyFont="1" applyFill="1" applyBorder="1" applyAlignment="1">
      <alignment horizontal="left"/>
    </xf>
    <xf numFmtId="167" fontId="20" fillId="3" borderId="21" xfId="42" applyNumberFormat="1" applyFont="1" applyFill="1" applyBorder="1" applyAlignment="1">
      <alignment horizontal="left"/>
    </xf>
    <xf numFmtId="0" fontId="20" fillId="3" borderId="20" xfId="0" applyFont="1" applyFill="1" applyBorder="1" applyAlignment="1">
      <alignment horizontal="center"/>
    </xf>
    <xf numFmtId="0" fontId="20" fillId="3" borderId="19" xfId="0" applyFont="1" applyFill="1" applyBorder="1" applyAlignment="1">
      <alignment horizontal="center"/>
    </xf>
    <xf numFmtId="0" fontId="20" fillId="3" borderId="21" xfId="0" applyFont="1" applyFill="1" applyBorder="1" applyAlignment="1">
      <alignment horizontal="center"/>
    </xf>
    <xf numFmtId="0" fontId="20" fillId="3" borderId="10" xfId="0" applyFont="1" applyFill="1" applyBorder="1" applyAlignment="1">
      <alignment horizontal="center" vertical="center"/>
    </xf>
    <xf numFmtId="167" fontId="20" fillId="3" borderId="10" xfId="1" applyNumberFormat="1" applyFont="1" applyFill="1" applyBorder="1" applyAlignment="1">
      <alignment horizontal="left"/>
    </xf>
    <xf numFmtId="170" fontId="20" fillId="3" borderId="10" xfId="44" applyNumberFormat="1" applyFont="1" applyFill="1" applyBorder="1" applyAlignment="1">
      <alignment horizontal="center"/>
    </xf>
    <xf numFmtId="0" fontId="20" fillId="3" borderId="17" xfId="0" applyFont="1" applyFill="1" applyBorder="1" applyAlignment="1">
      <alignment horizontal="left" vertical="top" wrapText="1"/>
    </xf>
    <xf numFmtId="0" fontId="20" fillId="3" borderId="18" xfId="0" applyFont="1" applyFill="1" applyBorder="1" applyAlignment="1">
      <alignment horizontal="left" vertical="top" wrapText="1"/>
    </xf>
    <xf numFmtId="0" fontId="20" fillId="3" borderId="26" xfId="0" applyFont="1" applyFill="1" applyBorder="1" applyAlignment="1">
      <alignment horizontal="left"/>
    </xf>
    <xf numFmtId="0" fontId="20" fillId="3" borderId="27" xfId="0" applyFont="1" applyFill="1" applyBorder="1" applyAlignment="1">
      <alignment horizontal="left"/>
    </xf>
    <xf numFmtId="0" fontId="20" fillId="3" borderId="10" xfId="0" applyFont="1" applyFill="1" applyBorder="1" applyAlignment="1">
      <alignment horizontal="left"/>
    </xf>
    <xf numFmtId="0" fontId="20" fillId="3" borderId="20" xfId="0" applyFont="1" applyFill="1" applyBorder="1" applyAlignment="1">
      <alignment horizontal="left"/>
    </xf>
    <xf numFmtId="0" fontId="20" fillId="3" borderId="19" xfId="0" applyFont="1" applyFill="1" applyBorder="1" applyAlignment="1">
      <alignment horizontal="left"/>
    </xf>
    <xf numFmtId="0" fontId="20" fillId="3" borderId="21" xfId="0" applyFont="1" applyFill="1" applyBorder="1" applyAlignment="1">
      <alignment horizontal="left"/>
    </xf>
    <xf numFmtId="167" fontId="21" fillId="3" borderId="10" xfId="1" applyNumberFormat="1" applyFont="1" applyFill="1" applyBorder="1" applyAlignment="1">
      <alignment horizontal="left"/>
    </xf>
    <xf numFmtId="167" fontId="21" fillId="3" borderId="10" xfId="44" applyNumberFormat="1" applyFont="1" applyFill="1" applyBorder="1" applyAlignment="1">
      <alignment horizontal="left"/>
    </xf>
    <xf numFmtId="167" fontId="20" fillId="3" borderId="10" xfId="44" applyNumberFormat="1" applyFont="1" applyFill="1" applyBorder="1" applyAlignment="1">
      <alignment horizontal="left"/>
    </xf>
    <xf numFmtId="167" fontId="20" fillId="3" borderId="0" xfId="1" applyNumberFormat="1" applyFont="1" applyFill="1" applyAlignment="1">
      <alignment horizontal="left"/>
    </xf>
    <xf numFmtId="169" fontId="20" fillId="3" borderId="10" xfId="1" applyNumberFormat="1" applyFont="1" applyFill="1" applyBorder="1" applyAlignment="1">
      <alignment horizontal="center" wrapText="1"/>
    </xf>
    <xf numFmtId="169" fontId="20" fillId="3" borderId="10" xfId="1" applyNumberFormat="1" applyFont="1" applyFill="1" applyBorder="1" applyAlignment="1">
      <alignment horizontal="center"/>
    </xf>
    <xf numFmtId="0" fontId="20" fillId="3" borderId="18" xfId="0" applyFont="1" applyFill="1" applyBorder="1" applyAlignment="1">
      <alignment horizontal="left"/>
    </xf>
    <xf numFmtId="0" fontId="20" fillId="3" borderId="20" xfId="42" applyFont="1" applyFill="1" applyBorder="1" applyAlignment="1">
      <alignment horizontal="left"/>
    </xf>
    <xf numFmtId="0" fontId="20" fillId="3" borderId="19" xfId="42" applyFont="1" applyFill="1" applyBorder="1" applyAlignment="1">
      <alignment horizontal="left"/>
    </xf>
    <xf numFmtId="0" fontId="20" fillId="3" borderId="21" xfId="42" applyFont="1" applyFill="1" applyBorder="1" applyAlignment="1">
      <alignment horizontal="left"/>
    </xf>
    <xf numFmtId="170" fontId="20" fillId="3" borderId="10" xfId="1" applyNumberFormat="1" applyFont="1" applyFill="1" applyBorder="1" applyAlignment="1">
      <alignment horizontal="center"/>
    </xf>
    <xf numFmtId="167" fontId="21" fillId="3" borderId="10" xfId="44" applyNumberFormat="1" applyFont="1" applyFill="1" applyBorder="1" applyAlignment="1"/>
    <xf numFmtId="167" fontId="21" fillId="3" borderId="0" xfId="44" applyNumberFormat="1" applyFont="1" applyFill="1" applyAlignment="1">
      <alignment horizontal="right"/>
    </xf>
    <xf numFmtId="167" fontId="20" fillId="3" borderId="0" xfId="44" applyNumberFormat="1" applyFont="1" applyFill="1" applyAlignment="1">
      <alignment horizontal="right"/>
    </xf>
    <xf numFmtId="169" fontId="20" fillId="3" borderId="20" xfId="44" applyNumberFormat="1" applyFont="1" applyFill="1" applyBorder="1" applyAlignment="1">
      <alignment horizontal="center" vertical="center" wrapText="1"/>
    </xf>
    <xf numFmtId="169" fontId="20" fillId="3" borderId="19" xfId="44" applyNumberFormat="1" applyFont="1" applyFill="1" applyBorder="1" applyAlignment="1">
      <alignment horizontal="center" vertical="center" wrapText="1"/>
    </xf>
    <xf numFmtId="169" fontId="20" fillId="3" borderId="21" xfId="44" applyNumberFormat="1" applyFont="1" applyFill="1" applyBorder="1" applyAlignment="1">
      <alignment horizontal="center" vertical="center" wrapText="1"/>
    </xf>
    <xf numFmtId="167" fontId="20" fillId="3" borderId="10" xfId="44" applyNumberFormat="1" applyFont="1" applyFill="1" applyBorder="1" applyAlignment="1"/>
    <xf numFmtId="0" fontId="20" fillId="3" borderId="22" xfId="0" applyFont="1" applyFill="1" applyBorder="1" applyAlignment="1">
      <alignment horizontal="left"/>
    </xf>
    <xf numFmtId="167" fontId="20" fillId="3" borderId="20" xfId="44" applyNumberFormat="1" applyFont="1" applyFill="1" applyBorder="1" applyAlignment="1">
      <alignment horizontal="left"/>
    </xf>
    <xf numFmtId="167" fontId="20" fillId="3" borderId="21" xfId="44" applyNumberFormat="1" applyFont="1" applyFill="1" applyBorder="1" applyAlignment="1">
      <alignment horizontal="left"/>
    </xf>
    <xf numFmtId="167" fontId="21" fillId="3" borderId="10" xfId="44" applyNumberFormat="1" applyFont="1" applyFill="1" applyBorder="1" applyAlignment="1">
      <alignment horizontal="right"/>
    </xf>
    <xf numFmtId="167" fontId="20" fillId="3" borderId="10" xfId="44" applyNumberFormat="1" applyFont="1" applyFill="1" applyBorder="1" applyAlignment="1">
      <alignment horizontal="right"/>
    </xf>
    <xf numFmtId="0" fontId="20" fillId="3" borderId="10" xfId="42" applyFont="1" applyFill="1" applyBorder="1" applyAlignment="1">
      <alignment horizontal="center"/>
    </xf>
    <xf numFmtId="166" fontId="20" fillId="3" borderId="20" xfId="42" applyNumberFormat="1" applyFont="1" applyFill="1" applyBorder="1" applyAlignment="1">
      <alignment horizontal="left"/>
    </xf>
    <xf numFmtId="166" fontId="20" fillId="3" borderId="19" xfId="42" applyNumberFormat="1" applyFont="1" applyFill="1" applyBorder="1" applyAlignment="1">
      <alignment horizontal="left"/>
    </xf>
    <xf numFmtId="166" fontId="20" fillId="3" borderId="21" xfId="42" applyNumberFormat="1" applyFont="1" applyFill="1" applyBorder="1" applyAlignment="1">
      <alignment horizontal="left"/>
    </xf>
    <xf numFmtId="0" fontId="20" fillId="3" borderId="18" xfId="42" applyFont="1" applyFill="1" applyBorder="1" applyAlignment="1">
      <alignment horizontal="left"/>
    </xf>
    <xf numFmtId="0" fontId="20" fillId="3" borderId="26" xfId="42" applyFont="1" applyFill="1" applyBorder="1" applyAlignment="1">
      <alignment horizontal="left"/>
    </xf>
    <xf numFmtId="0" fontId="20" fillId="3" borderId="27" xfId="42" applyFont="1" applyFill="1" applyBorder="1" applyAlignment="1">
      <alignment horizontal="left"/>
    </xf>
    <xf numFmtId="169" fontId="20" fillId="3" borderId="24" xfId="44" applyNumberFormat="1" applyFont="1" applyFill="1" applyBorder="1" applyAlignment="1">
      <alignment horizontal="center" wrapText="1"/>
    </xf>
    <xf numFmtId="0" fontId="20" fillId="3" borderId="22" xfId="42" applyFont="1" applyFill="1" applyBorder="1" applyAlignment="1">
      <alignment horizontal="left"/>
    </xf>
    <xf numFmtId="0" fontId="20" fillId="3" borderId="10" xfId="42" applyFont="1" applyFill="1" applyBorder="1" applyAlignment="1">
      <alignment horizontal="left"/>
    </xf>
  </cellXfs>
  <cellStyles count="60">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4" xfId="6"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43"/>
    <cellStyle name="Incorrecto" xfId="8" builtinId="27" customBuiltin="1"/>
    <cellStyle name="Millares" xfId="1" builtinId="3"/>
    <cellStyle name="Millares [0]" xfId="52" builtinId="6"/>
    <cellStyle name="Millares 2" xfId="2"/>
    <cellStyle name="Millares 2 2" xfId="45"/>
    <cellStyle name="Millares 3" xfId="44"/>
    <cellStyle name="Millares 4" xfId="56"/>
    <cellStyle name="Millares 5" xfId="57"/>
    <cellStyle name="Millares 6" xfId="59"/>
    <cellStyle name="Millares 7" xfId="58"/>
    <cellStyle name="Millares_Modelo Financiero ACME Final" xfId="55"/>
    <cellStyle name="Moneda [0]" xfId="54" builtinId="7"/>
    <cellStyle name="Moneda 2" xfId="47"/>
    <cellStyle name="Moneda 2 2" xfId="48"/>
    <cellStyle name="Moneda 3" xfId="46"/>
    <cellStyle name="Neutral" xfId="9" builtinId="28" customBuiltin="1"/>
    <cellStyle name="Normal" xfId="0" builtinId="0"/>
    <cellStyle name="Normal 2" xfId="49"/>
    <cellStyle name="Normal 3" xfId="50"/>
    <cellStyle name="Normal 4" xfId="42"/>
    <cellStyle name="Notas 2" xfId="51"/>
    <cellStyle name="Porcentaje" xfId="53" builtinId="5"/>
    <cellStyle name="Salida" xfId="11" builtinId="21" customBuiltin="1"/>
    <cellStyle name="Texto de advertencia" xfId="15" builtinId="11" customBuiltin="1"/>
    <cellStyle name="Texto explicativo" xfId="16" builtinId="53" customBuiltin="1"/>
    <cellStyle name="Título" xfId="3" builtinId="15" customBuiltin="1"/>
    <cellStyle name="Título 2" xfId="4" builtinId="17" customBuiltin="1"/>
    <cellStyle name="Título 3" xfId="5" builtinId="18" customBuiltin="1"/>
    <cellStyle name="Total" xfId="17" builtinId="25" customBuiltin="1"/>
  </cellStyles>
  <dxfs count="0"/>
  <tableStyles count="0" defaultTableStyle="TableStyleMedium2" defaultPivotStyle="PivotStyleLight16"/>
  <colors>
    <mruColors>
      <color rgb="FFB5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4.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8.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9.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10.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11.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17.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8.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26.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27.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28.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29.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33.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37.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41.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44.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45.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46.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47.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48.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49.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50.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51.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52.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53.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sz="1200"/>
              <a:t>GRÁFICO COMPARATIVO DEL EST. DE RESULTADOS 2017</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strRef>
              <c:f>'INDICADORES FINANCIEROS'!$B$144</c:f>
              <c:strCache>
                <c:ptCount val="1"/>
                <c:pt idx="0">
                  <c:v>INGRESOS OPERACIONALES</c:v>
                </c:pt>
              </c:strCache>
            </c:strRef>
          </c:tx>
          <c:invertIfNegative val="0"/>
          <c:cat>
            <c:numRef>
              <c:f>'INDICADORES FINANCIEROS'!$C$143</c:f>
              <c:numCache>
                <c:formatCode>m/d/yyyy</c:formatCode>
                <c:ptCount val="1"/>
                <c:pt idx="0">
                  <c:v>43100</c:v>
                </c:pt>
              </c:numCache>
            </c:numRef>
          </c:cat>
          <c:val>
            <c:numRef>
              <c:f>'INDICADORES FINANCIEROS'!$C$144</c:f>
              <c:numCache>
                <c:formatCode>"$"\ #,##0</c:formatCode>
                <c:ptCount val="1"/>
                <c:pt idx="0">
                  <c:v>1148878000</c:v>
                </c:pt>
              </c:numCache>
            </c:numRef>
          </c:val>
          <c:extLst>
            <c:ext xmlns:c16="http://schemas.microsoft.com/office/drawing/2014/chart" uri="{C3380CC4-5D6E-409C-BE32-E72D297353CC}">
              <c16:uniqueId val="{00000000-8618-4F3E-BFC1-4ABFEF2799C8}"/>
            </c:ext>
          </c:extLst>
        </c:ser>
        <c:ser>
          <c:idx val="1"/>
          <c:order val="1"/>
          <c:tx>
            <c:strRef>
              <c:f>'INDICADORES FINANCIEROS'!$B$145</c:f>
              <c:strCache>
                <c:ptCount val="1"/>
                <c:pt idx="0">
                  <c:v>COSTOS DE VENTAS</c:v>
                </c:pt>
              </c:strCache>
            </c:strRef>
          </c:tx>
          <c:invertIfNegative val="0"/>
          <c:cat>
            <c:numRef>
              <c:f>'INDICADORES FINANCIEROS'!$C$143</c:f>
              <c:numCache>
                <c:formatCode>m/d/yyyy</c:formatCode>
                <c:ptCount val="1"/>
                <c:pt idx="0">
                  <c:v>43100</c:v>
                </c:pt>
              </c:numCache>
            </c:numRef>
          </c:cat>
          <c:val>
            <c:numRef>
              <c:f>'INDICADORES FINANCIEROS'!$C$145</c:f>
              <c:numCache>
                <c:formatCode>"$"\ #,##0</c:formatCode>
                <c:ptCount val="1"/>
                <c:pt idx="0">
                  <c:v>1010660000</c:v>
                </c:pt>
              </c:numCache>
            </c:numRef>
          </c:val>
          <c:extLst>
            <c:ext xmlns:c16="http://schemas.microsoft.com/office/drawing/2014/chart" uri="{C3380CC4-5D6E-409C-BE32-E72D297353CC}">
              <c16:uniqueId val="{00000001-8618-4F3E-BFC1-4ABFEF2799C8}"/>
            </c:ext>
          </c:extLst>
        </c:ser>
        <c:ser>
          <c:idx val="2"/>
          <c:order val="2"/>
          <c:tx>
            <c:strRef>
              <c:f>'INDICADORES FINANCIEROS'!$B$146</c:f>
              <c:strCache>
                <c:ptCount val="1"/>
                <c:pt idx="0">
                  <c:v>UTILIDAD BRUTA</c:v>
                </c:pt>
              </c:strCache>
            </c:strRef>
          </c:tx>
          <c:invertIfNegative val="0"/>
          <c:cat>
            <c:numRef>
              <c:f>'INDICADORES FINANCIEROS'!$C$143</c:f>
              <c:numCache>
                <c:formatCode>m/d/yyyy</c:formatCode>
                <c:ptCount val="1"/>
                <c:pt idx="0">
                  <c:v>43100</c:v>
                </c:pt>
              </c:numCache>
            </c:numRef>
          </c:cat>
          <c:val>
            <c:numRef>
              <c:f>'INDICADORES FINANCIEROS'!$C$146</c:f>
              <c:numCache>
                <c:formatCode>"$"\ #,##0</c:formatCode>
                <c:ptCount val="1"/>
                <c:pt idx="0">
                  <c:v>138218000</c:v>
                </c:pt>
              </c:numCache>
            </c:numRef>
          </c:val>
          <c:extLst>
            <c:ext xmlns:c16="http://schemas.microsoft.com/office/drawing/2014/chart" uri="{C3380CC4-5D6E-409C-BE32-E72D297353CC}">
              <c16:uniqueId val="{00000002-8618-4F3E-BFC1-4ABFEF2799C8}"/>
            </c:ext>
          </c:extLst>
        </c:ser>
        <c:ser>
          <c:idx val="3"/>
          <c:order val="3"/>
          <c:tx>
            <c:strRef>
              <c:f>'INDICADORES FINANCIEROS'!$B$149</c:f>
              <c:strCache>
                <c:ptCount val="1"/>
                <c:pt idx="0">
                  <c:v>UTILIDAD OPERACIONAL</c:v>
                </c:pt>
              </c:strCache>
            </c:strRef>
          </c:tx>
          <c:invertIfNegative val="0"/>
          <c:cat>
            <c:numRef>
              <c:f>'INDICADORES FINANCIEROS'!$C$143</c:f>
              <c:numCache>
                <c:formatCode>m/d/yyyy</c:formatCode>
                <c:ptCount val="1"/>
                <c:pt idx="0">
                  <c:v>43100</c:v>
                </c:pt>
              </c:numCache>
            </c:numRef>
          </c:cat>
          <c:val>
            <c:numRef>
              <c:f>'INDICADORES FINANCIEROS'!$C$149</c:f>
              <c:numCache>
                <c:formatCode>"$"\ #,##0</c:formatCode>
                <c:ptCount val="1"/>
                <c:pt idx="0">
                  <c:v>60171000</c:v>
                </c:pt>
              </c:numCache>
            </c:numRef>
          </c:val>
          <c:extLst>
            <c:ext xmlns:c16="http://schemas.microsoft.com/office/drawing/2014/chart" uri="{C3380CC4-5D6E-409C-BE32-E72D297353CC}">
              <c16:uniqueId val="{00000003-8618-4F3E-BFC1-4ABFEF2799C8}"/>
            </c:ext>
          </c:extLst>
        </c:ser>
        <c:ser>
          <c:idx val="4"/>
          <c:order val="4"/>
          <c:tx>
            <c:strRef>
              <c:f>'INDICADORES FINANCIEROS'!$B$152</c:f>
              <c:strCache>
                <c:ptCount val="1"/>
                <c:pt idx="0">
                  <c:v>UTILIDAD ANTES DE IMPUESTO</c:v>
                </c:pt>
              </c:strCache>
            </c:strRef>
          </c:tx>
          <c:invertIfNegative val="0"/>
          <c:cat>
            <c:numRef>
              <c:f>'INDICADORES FINANCIEROS'!$C$143</c:f>
              <c:numCache>
                <c:formatCode>m/d/yyyy</c:formatCode>
                <c:ptCount val="1"/>
                <c:pt idx="0">
                  <c:v>43100</c:v>
                </c:pt>
              </c:numCache>
            </c:numRef>
          </c:cat>
          <c:val>
            <c:numRef>
              <c:f>'INDICADORES FINANCIEROS'!$C$152</c:f>
              <c:numCache>
                <c:formatCode>"$"\ #,##0</c:formatCode>
                <c:ptCount val="1"/>
                <c:pt idx="0">
                  <c:v>47844000</c:v>
                </c:pt>
              </c:numCache>
            </c:numRef>
          </c:val>
          <c:extLst>
            <c:ext xmlns:c16="http://schemas.microsoft.com/office/drawing/2014/chart" uri="{C3380CC4-5D6E-409C-BE32-E72D297353CC}">
              <c16:uniqueId val="{00000004-8618-4F3E-BFC1-4ABFEF2799C8}"/>
            </c:ext>
          </c:extLst>
        </c:ser>
        <c:ser>
          <c:idx val="5"/>
          <c:order val="5"/>
          <c:tx>
            <c:strRef>
              <c:f>'INDICADORES FINANCIEROS'!$B$154</c:f>
              <c:strCache>
                <c:ptCount val="1"/>
                <c:pt idx="0">
                  <c:v>IMPUESTO DE RENTA</c:v>
                </c:pt>
              </c:strCache>
            </c:strRef>
          </c:tx>
          <c:invertIfNegative val="0"/>
          <c:cat>
            <c:numRef>
              <c:f>'INDICADORES FINANCIEROS'!$C$143</c:f>
              <c:numCache>
                <c:formatCode>m/d/yyyy</c:formatCode>
                <c:ptCount val="1"/>
                <c:pt idx="0">
                  <c:v>43100</c:v>
                </c:pt>
              </c:numCache>
            </c:numRef>
          </c:cat>
          <c:val>
            <c:numRef>
              <c:f>'INDICADORES FINANCIEROS'!$C$154</c:f>
              <c:numCache>
                <c:formatCode>"$"\ #,##0</c:formatCode>
                <c:ptCount val="1"/>
                <c:pt idx="0">
                  <c:v>16267000.000000002</c:v>
                </c:pt>
              </c:numCache>
            </c:numRef>
          </c:val>
          <c:extLst>
            <c:ext xmlns:c16="http://schemas.microsoft.com/office/drawing/2014/chart" uri="{C3380CC4-5D6E-409C-BE32-E72D297353CC}">
              <c16:uniqueId val="{00000005-8618-4F3E-BFC1-4ABFEF2799C8}"/>
            </c:ext>
          </c:extLst>
        </c:ser>
        <c:ser>
          <c:idx val="6"/>
          <c:order val="6"/>
          <c:tx>
            <c:strRef>
              <c:f>'INDICADORES FINANCIEROS'!$B$155</c:f>
              <c:strCache>
                <c:ptCount val="1"/>
                <c:pt idx="0">
                  <c:v>UTILIDAD NETA</c:v>
                </c:pt>
              </c:strCache>
            </c:strRef>
          </c:tx>
          <c:invertIfNegative val="0"/>
          <c:cat>
            <c:numRef>
              <c:f>'INDICADORES FINANCIEROS'!$C$143</c:f>
              <c:numCache>
                <c:formatCode>m/d/yyyy</c:formatCode>
                <c:ptCount val="1"/>
                <c:pt idx="0">
                  <c:v>43100</c:v>
                </c:pt>
              </c:numCache>
            </c:numRef>
          </c:cat>
          <c:val>
            <c:numRef>
              <c:f>'INDICADORES FINANCIEROS'!$C$155</c:f>
              <c:numCache>
                <c:formatCode>"$"\ #,##0</c:formatCode>
                <c:ptCount val="1"/>
                <c:pt idx="0">
                  <c:v>31577000</c:v>
                </c:pt>
              </c:numCache>
            </c:numRef>
          </c:val>
          <c:extLst>
            <c:ext xmlns:c16="http://schemas.microsoft.com/office/drawing/2014/chart" uri="{C3380CC4-5D6E-409C-BE32-E72D297353CC}">
              <c16:uniqueId val="{00000006-8618-4F3E-BFC1-4ABFEF2799C8}"/>
            </c:ext>
          </c:extLst>
        </c:ser>
        <c:dLbls>
          <c:showLegendKey val="0"/>
          <c:showVal val="0"/>
          <c:showCatName val="0"/>
          <c:showSerName val="0"/>
          <c:showPercent val="0"/>
          <c:showBubbleSize val="0"/>
        </c:dLbls>
        <c:gapWidth val="150"/>
        <c:shape val="box"/>
        <c:axId val="-740681984"/>
        <c:axId val="-740666208"/>
        <c:axId val="0"/>
      </c:bar3DChart>
      <c:dateAx>
        <c:axId val="-740681984"/>
        <c:scaling>
          <c:orientation val="minMax"/>
        </c:scaling>
        <c:delete val="0"/>
        <c:axPos val="b"/>
        <c:numFmt formatCode="m/d/yyyy" sourceLinked="1"/>
        <c:majorTickMark val="none"/>
        <c:minorTickMark val="none"/>
        <c:tickLblPos val="nextTo"/>
        <c:crossAx val="-740666208"/>
        <c:crosses val="autoZero"/>
        <c:auto val="1"/>
        <c:lblOffset val="100"/>
        <c:baseTimeUnit val="days"/>
      </c:dateAx>
      <c:valAx>
        <c:axId val="-740666208"/>
        <c:scaling>
          <c:orientation val="minMax"/>
        </c:scaling>
        <c:delete val="0"/>
        <c:axPos val="l"/>
        <c:majorGridlines/>
        <c:numFmt formatCode="&quot;$&quot;\ #,##0" sourceLinked="1"/>
        <c:majorTickMark val="none"/>
        <c:minorTickMark val="none"/>
        <c:tickLblPos val="nextTo"/>
        <c:crossAx val="-740681984"/>
        <c:crosses val="autoZero"/>
        <c:crossBetween val="between"/>
      </c:valAx>
    </c:plotArea>
    <c:legend>
      <c:legendPos val="r"/>
      <c:layout>
        <c:manualLayout>
          <c:xMode val="edge"/>
          <c:yMode val="edge"/>
          <c:x val="0.64703784807964093"/>
          <c:y val="0.27025874984511056"/>
          <c:w val="0.32929351286710462"/>
          <c:h val="0.71298705687540131"/>
        </c:manualLayout>
      </c:layout>
      <c:overlay val="0"/>
      <c:txPr>
        <a:bodyPr/>
        <a:lstStyle/>
        <a:p>
          <a:pPr>
            <a:defRPr sz="800"/>
          </a:pPr>
          <a:endParaRPr lang="es-CO"/>
        </a:p>
      </c:txPr>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sz="1100"/>
              <a:t>GRÁFICO</a:t>
            </a:r>
            <a:r>
              <a:rPr lang="es-CO" sz="1100" baseline="0"/>
              <a:t> COMPARATIVO BALANCE GENERAL 2017</a:t>
            </a:r>
            <a:endParaRPr lang="es-CO" sz="1100"/>
          </a:p>
        </c:rich>
      </c:tx>
      <c:layout>
        <c:manualLayout>
          <c:xMode val="edge"/>
          <c:yMode val="edge"/>
          <c:x val="0.13607017543859651"/>
          <c:y val="3.5087719298245612E-2"/>
        </c:manualLayout>
      </c:layout>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strRef>
              <c:f>'INDICADORES FINANCIEROS'!$B$162</c:f>
              <c:strCache>
                <c:ptCount val="1"/>
                <c:pt idx="0">
                  <c:v>TOTAL ACTIVOS CORRIENTES</c:v>
                </c:pt>
              </c:strCache>
            </c:strRef>
          </c:tx>
          <c:invertIfNegative val="0"/>
          <c:val>
            <c:numRef>
              <c:f>'INDICADORES FINANCIEROS'!$C$162</c:f>
              <c:numCache>
                <c:formatCode>"$"\ #,##0</c:formatCode>
                <c:ptCount val="1"/>
                <c:pt idx="0">
                  <c:v>436704000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0-EE91-4760-AFC2-57F48CB24872}"/>
            </c:ext>
          </c:extLst>
        </c:ser>
        <c:ser>
          <c:idx val="1"/>
          <c:order val="1"/>
          <c:tx>
            <c:strRef>
              <c:f>'INDICADORES FINANCIEROS'!$B$176</c:f>
              <c:strCache>
                <c:ptCount val="1"/>
                <c:pt idx="0">
                  <c:v>TOTAL PASIVO CORRIENTE</c:v>
                </c:pt>
              </c:strCache>
            </c:strRef>
          </c:tx>
          <c:invertIfNegative val="0"/>
          <c:val>
            <c:numRef>
              <c:f>'INDICADORES FINANCIEROS'!$C$176</c:f>
              <c:numCache>
                <c:formatCode>"$"\ #,##0</c:formatCode>
                <c:ptCount val="1"/>
                <c:pt idx="0">
                  <c:v>281788000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1-EE91-4760-AFC2-57F48CB24872}"/>
            </c:ext>
          </c:extLst>
        </c:ser>
        <c:ser>
          <c:idx val="2"/>
          <c:order val="2"/>
          <c:tx>
            <c:strRef>
              <c:f>'INDICADORES FINANCIEROS'!$B$168</c:f>
              <c:strCache>
                <c:ptCount val="1"/>
                <c:pt idx="0">
                  <c:v>TOTAL ACTIVO</c:v>
                </c:pt>
              </c:strCache>
            </c:strRef>
          </c:tx>
          <c:invertIfNegative val="0"/>
          <c:val>
            <c:numRef>
              <c:f>'INDICADORES FINANCIEROS'!$C$168</c:f>
              <c:numCache>
                <c:formatCode>"$"\ #,##0</c:formatCode>
                <c:ptCount val="1"/>
                <c:pt idx="0">
                  <c:v>1010330000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2-EE91-4760-AFC2-57F48CB24872}"/>
            </c:ext>
          </c:extLst>
        </c:ser>
        <c:ser>
          <c:idx val="3"/>
          <c:order val="3"/>
          <c:tx>
            <c:strRef>
              <c:f>'INDICADORES FINANCIEROS'!$B$177</c:f>
              <c:strCache>
                <c:ptCount val="1"/>
                <c:pt idx="0">
                  <c:v>TOTAL PASIVO</c:v>
                </c:pt>
              </c:strCache>
            </c:strRef>
          </c:tx>
          <c:invertIfNegative val="0"/>
          <c:val>
            <c:numRef>
              <c:f>'INDICADORES FINANCIEROS'!$C$177</c:f>
              <c:numCache>
                <c:formatCode>"$"\ #,##0</c:formatCode>
                <c:ptCount val="1"/>
                <c:pt idx="0">
                  <c:v>281788000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3-EE91-4760-AFC2-57F48CB24872}"/>
            </c:ext>
          </c:extLst>
        </c:ser>
        <c:ser>
          <c:idx val="4"/>
          <c:order val="4"/>
          <c:tx>
            <c:strRef>
              <c:f>'INDICADORES FINANCIEROS'!$B$184</c:f>
              <c:strCache>
                <c:ptCount val="1"/>
                <c:pt idx="0">
                  <c:v>TOTAL PATRIMONIO</c:v>
                </c:pt>
              </c:strCache>
            </c:strRef>
          </c:tx>
          <c:invertIfNegative val="0"/>
          <c:val>
            <c:numRef>
              <c:f>'INDICADORES FINANCIEROS'!$C$184</c:f>
              <c:numCache>
                <c:formatCode>"$"\ #,##0</c:formatCode>
                <c:ptCount val="1"/>
                <c:pt idx="0">
                  <c:v>728542000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4-EE91-4760-AFC2-57F48CB24872}"/>
            </c:ext>
          </c:extLst>
        </c:ser>
        <c:dLbls>
          <c:showLegendKey val="0"/>
          <c:showVal val="0"/>
          <c:showCatName val="0"/>
          <c:showSerName val="0"/>
          <c:showPercent val="0"/>
          <c:showBubbleSize val="0"/>
        </c:dLbls>
        <c:gapWidth val="150"/>
        <c:shape val="box"/>
        <c:axId val="-344800880"/>
        <c:axId val="-344799248"/>
        <c:axId val="0"/>
      </c:bar3DChart>
      <c:catAx>
        <c:axId val="-344800880"/>
        <c:scaling>
          <c:orientation val="minMax"/>
        </c:scaling>
        <c:delete val="1"/>
        <c:axPos val="b"/>
        <c:title>
          <c:tx>
            <c:rich>
              <a:bodyPr/>
              <a:lstStyle/>
              <a:p>
                <a:pPr>
                  <a:defRPr/>
                </a:pPr>
                <a:r>
                  <a:rPr lang="es-CO"/>
                  <a:t>31/10/2017</a:t>
                </a:r>
              </a:p>
            </c:rich>
          </c:tx>
          <c:overlay val="0"/>
        </c:title>
        <c:numFmt formatCode="General" sourceLinked="1"/>
        <c:majorTickMark val="none"/>
        <c:minorTickMark val="none"/>
        <c:tickLblPos val="nextTo"/>
        <c:crossAx val="-344799248"/>
        <c:crosses val="autoZero"/>
        <c:auto val="1"/>
        <c:lblAlgn val="ctr"/>
        <c:lblOffset val="100"/>
        <c:noMultiLvlLbl val="0"/>
      </c:catAx>
      <c:valAx>
        <c:axId val="-344799248"/>
        <c:scaling>
          <c:orientation val="minMax"/>
        </c:scaling>
        <c:delete val="0"/>
        <c:axPos val="l"/>
        <c:majorGridlines/>
        <c:numFmt formatCode="&quot;$&quot;\ #,##0" sourceLinked="1"/>
        <c:majorTickMark val="out"/>
        <c:minorTickMark val="none"/>
        <c:tickLblPos val="nextTo"/>
        <c:crossAx val="-344800880"/>
        <c:crosses val="autoZero"/>
        <c:crossBetween val="between"/>
      </c:valAx>
    </c:plotArea>
    <c:legend>
      <c:legendPos val="r"/>
      <c:overlay val="0"/>
      <c:txPr>
        <a:bodyPr/>
        <a:lstStyle/>
        <a:p>
          <a:pPr>
            <a:defRPr sz="800"/>
          </a:pPr>
          <a:endParaRPr lang="es-CO"/>
        </a:p>
      </c:txPr>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2016</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FINANCIEROS'!$D$24</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FINANCIEROS'!$B$25</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FINANCIEROS'!$D$25</c:f>
              <c:numCache>
                <c:formatCode>0.00%</c:formatCode>
                <c:ptCount val="1"/>
                <c:pt idx="0">
                  <c:v>0.85894589842041602</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FINANCIEROS'!$D$495</c:f>
              <c:numCache>
                <c:formatCode>0.00%</c:formatCode>
                <c:ptCount val="1"/>
                <c:pt idx="0">
                  <c:v>0.14105410157958395</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FINANCIEROS'!$D$496</c:f>
              <c:numCache>
                <c:formatCode>0.00%</c:formatCode>
                <c:ptCount val="1"/>
                <c:pt idx="0">
                  <c:v>5.7885402496810366E-2</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FINANCIEROS'!$D$497</c:f>
              <c:numCache>
                <c:formatCode>0.00%</c:formatCode>
                <c:ptCount val="1"/>
                <c:pt idx="0">
                  <c:v>3.5821899421794458E-2</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321571088"/>
        <c:axId val="-90707728"/>
        <c:axId val="0"/>
      </c:bar3DChart>
      <c:catAx>
        <c:axId val="-321571088"/>
        <c:scaling>
          <c:orientation val="minMax"/>
        </c:scaling>
        <c:delete val="0"/>
        <c:axPos val="l"/>
        <c:majorTickMark val="none"/>
        <c:minorTickMark val="none"/>
        <c:tickLblPos val="nextTo"/>
        <c:crossAx val="-90707728"/>
        <c:crosses val="autoZero"/>
        <c:auto val="1"/>
        <c:lblAlgn val="ctr"/>
        <c:lblOffset val="100"/>
        <c:noMultiLvlLbl val="0"/>
      </c:catAx>
      <c:valAx>
        <c:axId val="-90707728"/>
        <c:scaling>
          <c:orientation val="minMax"/>
        </c:scaling>
        <c:delete val="0"/>
        <c:axPos val="b"/>
        <c:majorGridlines/>
        <c:numFmt formatCode="0.00%" sourceLinked="1"/>
        <c:majorTickMark val="none"/>
        <c:minorTickMark val="none"/>
        <c:tickLblPos val="nextTo"/>
        <c:crossAx val="-32157108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HORIZONTAL-ESTADO DE RESULTADOS 2016-2015</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4"/>
          <c:order val="0"/>
          <c:tx>
            <c:v>INGRESOS OPERACIONALES</c:v>
          </c:tx>
          <c:spPr>
            <a:solidFill>
              <a:schemeClr val="accent5"/>
            </a:solidFill>
            <a:ln>
              <a:noFill/>
            </a:ln>
            <a:effectLst/>
            <a:sp3d/>
          </c:spPr>
          <c:invertIfNegative val="0"/>
          <c:val>
            <c:numRef>
              <c:f>'INDICADORES FINANCIEROS'!$E$24</c:f>
              <c:numCache>
                <c:formatCode>0.00%</c:formatCode>
                <c:ptCount val="1"/>
                <c:pt idx="0">
                  <c:v>0.92678022444223607</c:v>
                </c:pt>
              </c:numCache>
            </c:numRef>
          </c:val>
          <c:extLst>
            <c:ext xmlns:c16="http://schemas.microsoft.com/office/drawing/2014/chart" uri="{C3380CC4-5D6E-409C-BE32-E72D297353CC}">
              <c16:uniqueId val="{00000000-899C-4AA2-81DD-FC1BE7131882}"/>
            </c:ext>
          </c:extLst>
        </c:ser>
        <c:ser>
          <c:idx val="3"/>
          <c:order val="1"/>
          <c:tx>
            <c:v>COSTOS DE VENTAS</c:v>
          </c:tx>
          <c:spPr>
            <a:solidFill>
              <a:schemeClr val="accent4"/>
            </a:solidFill>
            <a:ln>
              <a:noFill/>
            </a:ln>
            <a:effectLst/>
            <a:sp3d/>
          </c:spPr>
          <c:invertIfNegative val="0"/>
          <c:val>
            <c:numRef>
              <c:f>'INDICADORES FINANCIEROS'!$E$25</c:f>
              <c:numCache>
                <c:formatCode>0.00%</c:formatCode>
                <c:ptCount val="1"/>
                <c:pt idx="0">
                  <c:v>1.3401208774503157</c:v>
                </c:pt>
              </c:numCache>
            </c:numRef>
          </c:val>
          <c:extLst>
            <c:ext xmlns:c16="http://schemas.microsoft.com/office/drawing/2014/chart" uri="{C3380CC4-5D6E-409C-BE32-E72D297353CC}">
              <c16:uniqueId val="{00000001-899C-4AA2-81DD-FC1BE7131882}"/>
            </c:ext>
          </c:extLst>
        </c:ser>
        <c:ser>
          <c:idx val="2"/>
          <c:order val="2"/>
          <c:tx>
            <c:v>UTILIDAD BRUTA</c:v>
          </c:tx>
          <c:spPr>
            <a:solidFill>
              <a:schemeClr val="accent3"/>
            </a:solidFill>
            <a:ln>
              <a:noFill/>
            </a:ln>
            <a:effectLst/>
            <a:sp3d/>
          </c:spPr>
          <c:invertIfNegative val="0"/>
          <c:val>
            <c:numRef>
              <c:f>'INDICADORES FINANCIEROS'!$E$26</c:f>
              <c:numCache>
                <c:formatCode>0.00%</c:formatCode>
                <c:ptCount val="1"/>
                <c:pt idx="0">
                  <c:v>-7.1698675003721846E-2</c:v>
                </c:pt>
              </c:numCache>
            </c:numRef>
          </c:val>
          <c:extLst>
            <c:ext xmlns:c16="http://schemas.microsoft.com/office/drawing/2014/chart" uri="{C3380CC4-5D6E-409C-BE32-E72D297353CC}">
              <c16:uniqueId val="{00000002-899C-4AA2-81DD-FC1BE7131882}"/>
            </c:ext>
          </c:extLst>
        </c:ser>
        <c:ser>
          <c:idx val="1"/>
          <c:order val="3"/>
          <c:tx>
            <c:v>UTILIDAD OPERACIONAL</c:v>
          </c:tx>
          <c:spPr>
            <a:solidFill>
              <a:schemeClr val="accent2"/>
            </a:solidFill>
            <a:ln>
              <a:noFill/>
            </a:ln>
            <a:effectLst/>
            <a:sp3d/>
          </c:spPr>
          <c:invertIfNegative val="0"/>
          <c:val>
            <c:numRef>
              <c:f>'INDICADORES FINANCIEROS'!$E$29</c:f>
              <c:numCache>
                <c:formatCode>0.00%</c:formatCode>
                <c:ptCount val="1"/>
                <c:pt idx="0">
                  <c:v>-0.4684678446795546</c:v>
                </c:pt>
              </c:numCache>
            </c:numRef>
          </c:val>
          <c:extLst>
            <c:ext xmlns:c16="http://schemas.microsoft.com/office/drawing/2014/chart" uri="{C3380CC4-5D6E-409C-BE32-E72D297353CC}">
              <c16:uniqueId val="{00000003-899C-4AA2-81DD-FC1BE7131882}"/>
            </c:ext>
          </c:extLst>
        </c:ser>
        <c:ser>
          <c:idx val="0"/>
          <c:order val="4"/>
          <c:tx>
            <c:v>UTILIDAD NETA</c:v>
          </c:tx>
          <c:spPr>
            <a:solidFill>
              <a:schemeClr val="accent1"/>
            </a:solidFill>
            <a:ln>
              <a:noFill/>
            </a:ln>
            <a:effectLst/>
            <a:sp3d/>
          </c:spPr>
          <c:invertIfNegative val="0"/>
          <c:val>
            <c:numRef>
              <c:f>'INDICADORES FINANCIEROS'!$E$35</c:f>
              <c:numCache>
                <c:formatCode>0.00%</c:formatCode>
                <c:ptCount val="1"/>
                <c:pt idx="0">
                  <c:v>-0.50326236981889672</c:v>
                </c:pt>
              </c:numCache>
            </c:numRef>
          </c:val>
          <c:extLst>
            <c:ext xmlns:c16="http://schemas.microsoft.com/office/drawing/2014/chart" uri="{C3380CC4-5D6E-409C-BE32-E72D297353CC}">
              <c16:uniqueId val="{00000004-899C-4AA2-81DD-FC1BE7131882}"/>
            </c:ext>
          </c:extLst>
        </c:ser>
        <c:dLbls>
          <c:showLegendKey val="0"/>
          <c:showVal val="0"/>
          <c:showCatName val="0"/>
          <c:showSerName val="0"/>
          <c:showPercent val="0"/>
          <c:showBubbleSize val="0"/>
        </c:dLbls>
        <c:gapWidth val="150"/>
        <c:shape val="box"/>
        <c:axId val="-87066144"/>
        <c:axId val="-87061248"/>
        <c:axId val="0"/>
      </c:bar3DChart>
      <c:catAx>
        <c:axId val="-87066144"/>
        <c:scaling>
          <c:orientation val="minMax"/>
        </c:scaling>
        <c:delete val="1"/>
        <c:axPos val="l"/>
        <c:majorTickMark val="none"/>
        <c:minorTickMark val="none"/>
        <c:tickLblPos val="nextTo"/>
        <c:crossAx val="-87061248"/>
        <c:crosses val="autoZero"/>
        <c:auto val="1"/>
        <c:lblAlgn val="ctr"/>
        <c:lblOffset val="100"/>
        <c:noMultiLvlLbl val="0"/>
      </c:catAx>
      <c:valAx>
        <c:axId val="-870612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70661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2016</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FINANCIEROS'!$D$93</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FINANCIEROS'!$D$89</c:f>
              <c:numCache>
                <c:formatCode>0.00%</c:formatCode>
                <c:ptCount val="1"/>
                <c:pt idx="0">
                  <c:v>0.1595446105850101</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FINANCIEROS'!$D$92</c:f>
              <c:numCache>
                <c:formatCode>0.00%</c:formatCode>
                <c:ptCount val="1"/>
                <c:pt idx="0">
                  <c:v>0.84045538941498987</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FINANCIEROS'!$D$103</c:f>
              <c:numCache>
                <c:formatCode>0.00%</c:formatCode>
                <c:ptCount val="1"/>
                <c:pt idx="0">
                  <c:v>0.18867463287720668</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FINANCIEROS'!$D$102</c:f>
              <c:numCache>
                <c:formatCode>0.00%</c:formatCode>
                <c:ptCount val="1"/>
                <c:pt idx="0">
                  <c:v>0.18867463287720668</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TABLAS!#REF!</c:f>
              <c:numCache>
                <c:formatCode>General</c:formatCode>
                <c:ptCount val="1"/>
                <c:pt idx="0">
                  <c:v>1</c:v>
                </c:pt>
              </c:numCache>
            </c:numRef>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FINANCIEROS'!$D$110</c:f>
              <c:numCache>
                <c:formatCode>0.00%</c:formatCode>
                <c:ptCount val="1"/>
                <c:pt idx="0">
                  <c:v>0.81132536712279335</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87059616"/>
        <c:axId val="-87059072"/>
        <c:axId val="0"/>
      </c:bar3DChart>
      <c:catAx>
        <c:axId val="-87059616"/>
        <c:scaling>
          <c:orientation val="minMax"/>
        </c:scaling>
        <c:delete val="1"/>
        <c:axPos val="l"/>
        <c:majorTickMark val="none"/>
        <c:minorTickMark val="none"/>
        <c:tickLblPos val="nextTo"/>
        <c:crossAx val="-87059072"/>
        <c:crosses val="autoZero"/>
        <c:auto val="1"/>
        <c:lblAlgn val="ctr"/>
        <c:lblOffset val="100"/>
        <c:noMultiLvlLbl val="0"/>
      </c:catAx>
      <c:valAx>
        <c:axId val="-87059072"/>
        <c:scaling>
          <c:orientation val="minMax"/>
        </c:scaling>
        <c:delete val="0"/>
        <c:axPos val="b"/>
        <c:majorGridlines/>
        <c:numFmt formatCode="0.00%" sourceLinked="1"/>
        <c:majorTickMark val="none"/>
        <c:minorTickMark val="none"/>
        <c:tickLblPos val="nextTo"/>
        <c:crossAx val="-87059616"/>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GRÁFICO COMPARATIVO DEL EST. DE RESULTADOS 2016</a:t>
            </a:r>
          </a:p>
        </c:rich>
      </c:tx>
      <c:overlay val="0"/>
    </c:title>
    <c:autoTitleDeleted val="0"/>
    <c:plotArea>
      <c:layout/>
      <c:barChart>
        <c:barDir val="col"/>
        <c:grouping val="clustered"/>
        <c:varyColors val="0"/>
        <c:ser>
          <c:idx val="0"/>
          <c:order val="0"/>
          <c:tx>
            <c:strRef>
              <c:f>'INDICADORES FINANCIEROS'!$B$226</c:f>
              <c:strCache>
                <c:ptCount val="1"/>
                <c:pt idx="0">
                  <c:v>INGRESOS OPERACIONALES</c:v>
                </c:pt>
              </c:strCache>
            </c:strRef>
          </c:tx>
          <c:invertIfNegative val="0"/>
          <c:cat>
            <c:numRef>
              <c:f>'INDICADORES FINANCIEROS'!$C$225</c:f>
              <c:numCache>
                <c:formatCode>m/d/yyyy</c:formatCode>
                <c:ptCount val="1"/>
                <c:pt idx="0">
                  <c:v>42735</c:v>
                </c:pt>
              </c:numCache>
            </c:numRef>
          </c:cat>
          <c:val>
            <c:numRef>
              <c:f>'INDICADORES FINANCIEROS'!$C$226</c:f>
              <c:numCache>
                <c:formatCode>"$"\ #,##0</c:formatCode>
                <c:ptCount val="1"/>
                <c:pt idx="0">
                  <c:v>663086000</c:v>
                </c:pt>
              </c:numCache>
            </c:numRef>
          </c:val>
          <c:extLst>
            <c:ext xmlns:c16="http://schemas.microsoft.com/office/drawing/2014/chart" uri="{C3380CC4-5D6E-409C-BE32-E72D297353CC}">
              <c16:uniqueId val="{00000000-3727-514C-95B3-905E412CE888}"/>
            </c:ext>
          </c:extLst>
        </c:ser>
        <c:ser>
          <c:idx val="1"/>
          <c:order val="1"/>
          <c:tx>
            <c:strRef>
              <c:f>'INDICADORES FINANCIEROS'!$B$227</c:f>
              <c:strCache>
                <c:ptCount val="1"/>
                <c:pt idx="0">
                  <c:v>COSTOS DE VENTAS</c:v>
                </c:pt>
              </c:strCache>
            </c:strRef>
          </c:tx>
          <c:invertIfNegative val="0"/>
          <c:cat>
            <c:numRef>
              <c:f>'INDICADORES FINANCIEROS'!$C$225</c:f>
              <c:numCache>
                <c:formatCode>m/d/yyyy</c:formatCode>
                <c:ptCount val="1"/>
                <c:pt idx="0">
                  <c:v>42735</c:v>
                </c:pt>
              </c:numCache>
            </c:numRef>
          </c:cat>
          <c:val>
            <c:numRef>
              <c:f>'INDICADORES FINANCIEROS'!$C$227</c:f>
              <c:numCache>
                <c:formatCode>"$"\ #,##0</c:formatCode>
                <c:ptCount val="1"/>
                <c:pt idx="0">
                  <c:v>569555000</c:v>
                </c:pt>
              </c:numCache>
            </c:numRef>
          </c:val>
          <c:extLst>
            <c:ext xmlns:c16="http://schemas.microsoft.com/office/drawing/2014/chart" uri="{C3380CC4-5D6E-409C-BE32-E72D297353CC}">
              <c16:uniqueId val="{00000001-3727-514C-95B3-905E412CE888}"/>
            </c:ext>
          </c:extLst>
        </c:ser>
        <c:ser>
          <c:idx val="2"/>
          <c:order val="2"/>
          <c:tx>
            <c:strRef>
              <c:f>'INDICADORES FINANCIEROS'!$B$228</c:f>
              <c:strCache>
                <c:ptCount val="1"/>
                <c:pt idx="0">
                  <c:v>UTILIDAD BRUTA</c:v>
                </c:pt>
              </c:strCache>
            </c:strRef>
          </c:tx>
          <c:invertIfNegative val="0"/>
          <c:cat>
            <c:numRef>
              <c:f>'INDICADORES FINANCIEROS'!$C$225</c:f>
              <c:numCache>
                <c:formatCode>m/d/yyyy</c:formatCode>
                <c:ptCount val="1"/>
                <c:pt idx="0">
                  <c:v>42735</c:v>
                </c:pt>
              </c:numCache>
            </c:numRef>
          </c:cat>
          <c:val>
            <c:numRef>
              <c:f>'INDICADORES FINANCIEROS'!$C$228</c:f>
              <c:numCache>
                <c:formatCode>"$"\ #,##0</c:formatCode>
                <c:ptCount val="1"/>
                <c:pt idx="0">
                  <c:v>93531000</c:v>
                </c:pt>
              </c:numCache>
            </c:numRef>
          </c:val>
          <c:extLst>
            <c:ext xmlns:c16="http://schemas.microsoft.com/office/drawing/2014/chart" uri="{C3380CC4-5D6E-409C-BE32-E72D297353CC}">
              <c16:uniqueId val="{00000002-3727-514C-95B3-905E412CE888}"/>
            </c:ext>
          </c:extLst>
        </c:ser>
        <c:ser>
          <c:idx val="3"/>
          <c:order val="3"/>
          <c:tx>
            <c:strRef>
              <c:f>'INDICADORES FINANCIEROS'!$B$231</c:f>
              <c:strCache>
                <c:ptCount val="1"/>
                <c:pt idx="0">
                  <c:v>UTILIDAD OPERACIONAL</c:v>
                </c:pt>
              </c:strCache>
            </c:strRef>
          </c:tx>
          <c:invertIfNegative val="0"/>
          <c:cat>
            <c:numRef>
              <c:f>'INDICADORES FINANCIEROS'!$C$225</c:f>
              <c:numCache>
                <c:formatCode>m/d/yyyy</c:formatCode>
                <c:ptCount val="1"/>
                <c:pt idx="0">
                  <c:v>42735</c:v>
                </c:pt>
              </c:numCache>
            </c:numRef>
          </c:cat>
          <c:val>
            <c:numRef>
              <c:f>'INDICADORES FINANCIEROS'!$C$231</c:f>
              <c:numCache>
                <c:formatCode>"$"\ #,##0</c:formatCode>
                <c:ptCount val="1"/>
                <c:pt idx="0">
                  <c:v>38383000</c:v>
                </c:pt>
              </c:numCache>
            </c:numRef>
          </c:val>
          <c:extLst>
            <c:ext xmlns:c16="http://schemas.microsoft.com/office/drawing/2014/chart" uri="{C3380CC4-5D6E-409C-BE32-E72D297353CC}">
              <c16:uniqueId val="{00000003-3727-514C-95B3-905E412CE888}"/>
            </c:ext>
          </c:extLst>
        </c:ser>
        <c:ser>
          <c:idx val="4"/>
          <c:order val="4"/>
          <c:tx>
            <c:strRef>
              <c:f>'INDICADORES FINANCIEROS'!$B$234</c:f>
              <c:strCache>
                <c:ptCount val="1"/>
                <c:pt idx="0">
                  <c:v>UTILIDAD ANTES DE IMPUESTO</c:v>
                </c:pt>
              </c:strCache>
            </c:strRef>
          </c:tx>
          <c:invertIfNegative val="0"/>
          <c:cat>
            <c:numRef>
              <c:f>'INDICADORES FINANCIEROS'!$C$225</c:f>
              <c:numCache>
                <c:formatCode>m/d/yyyy</c:formatCode>
                <c:ptCount val="1"/>
                <c:pt idx="0">
                  <c:v>42735</c:v>
                </c:pt>
              </c:numCache>
            </c:numRef>
          </c:cat>
          <c:val>
            <c:numRef>
              <c:f>'INDICADORES FINANCIEROS'!$C$234</c:f>
              <c:numCache>
                <c:formatCode>"$"\ #,##0</c:formatCode>
                <c:ptCount val="1"/>
                <c:pt idx="0">
                  <c:v>35989000</c:v>
                </c:pt>
              </c:numCache>
            </c:numRef>
          </c:val>
          <c:extLst>
            <c:ext xmlns:c16="http://schemas.microsoft.com/office/drawing/2014/chart" uri="{C3380CC4-5D6E-409C-BE32-E72D297353CC}">
              <c16:uniqueId val="{00000004-3727-514C-95B3-905E412CE888}"/>
            </c:ext>
          </c:extLst>
        </c:ser>
        <c:ser>
          <c:idx val="5"/>
          <c:order val="5"/>
          <c:tx>
            <c:strRef>
              <c:f>'INDICADORES FINANCIEROS'!$B$236</c:f>
              <c:strCache>
                <c:ptCount val="1"/>
                <c:pt idx="0">
                  <c:v>IMPUESTO DE RENTA</c:v>
                </c:pt>
              </c:strCache>
            </c:strRef>
          </c:tx>
          <c:invertIfNegative val="0"/>
          <c:cat>
            <c:numRef>
              <c:f>'INDICADORES FINANCIEROS'!$C$225</c:f>
              <c:numCache>
                <c:formatCode>m/d/yyyy</c:formatCode>
                <c:ptCount val="1"/>
                <c:pt idx="0">
                  <c:v>42735</c:v>
                </c:pt>
              </c:numCache>
            </c:numRef>
          </c:cat>
          <c:val>
            <c:numRef>
              <c:f>'INDICADORES FINANCIEROS'!$C$236</c:f>
              <c:numCache>
                <c:formatCode>"$"\ #,##0</c:formatCode>
                <c:ptCount val="1"/>
                <c:pt idx="0">
                  <c:v>8997000</c:v>
                </c:pt>
              </c:numCache>
            </c:numRef>
          </c:val>
          <c:extLst>
            <c:ext xmlns:c16="http://schemas.microsoft.com/office/drawing/2014/chart" uri="{C3380CC4-5D6E-409C-BE32-E72D297353CC}">
              <c16:uniqueId val="{00000005-3727-514C-95B3-905E412CE888}"/>
            </c:ext>
          </c:extLst>
        </c:ser>
        <c:ser>
          <c:idx val="6"/>
          <c:order val="6"/>
          <c:tx>
            <c:strRef>
              <c:f>'INDICADORES FINANCIEROS'!$B$237</c:f>
              <c:strCache>
                <c:ptCount val="1"/>
                <c:pt idx="0">
                  <c:v>UTILIDAD NETA</c:v>
                </c:pt>
              </c:strCache>
            </c:strRef>
          </c:tx>
          <c:invertIfNegative val="0"/>
          <c:cat>
            <c:numRef>
              <c:f>'INDICADORES FINANCIEROS'!$C$225</c:f>
              <c:numCache>
                <c:formatCode>m/d/yyyy</c:formatCode>
                <c:ptCount val="1"/>
                <c:pt idx="0">
                  <c:v>42735</c:v>
                </c:pt>
              </c:numCache>
            </c:numRef>
          </c:cat>
          <c:val>
            <c:numRef>
              <c:f>'INDICADORES FINANCIEROS'!$C$237</c:f>
              <c:numCache>
                <c:formatCode>"$"\ #,##0</c:formatCode>
                <c:ptCount val="1"/>
                <c:pt idx="0">
                  <c:v>23753000</c:v>
                </c:pt>
              </c:numCache>
            </c:numRef>
          </c:val>
          <c:extLst>
            <c:ext xmlns:c16="http://schemas.microsoft.com/office/drawing/2014/chart" uri="{C3380CC4-5D6E-409C-BE32-E72D297353CC}">
              <c16:uniqueId val="{00000006-3727-514C-95B3-905E412CE888}"/>
            </c:ext>
          </c:extLst>
        </c:ser>
        <c:dLbls>
          <c:showLegendKey val="0"/>
          <c:showVal val="0"/>
          <c:showCatName val="0"/>
          <c:showSerName val="0"/>
          <c:showPercent val="0"/>
          <c:showBubbleSize val="0"/>
        </c:dLbls>
        <c:gapWidth val="150"/>
        <c:axId val="-87065056"/>
        <c:axId val="-87064512"/>
      </c:barChart>
      <c:dateAx>
        <c:axId val="-87065056"/>
        <c:scaling>
          <c:orientation val="minMax"/>
        </c:scaling>
        <c:delete val="0"/>
        <c:axPos val="b"/>
        <c:numFmt formatCode="m/d/yyyy" sourceLinked="1"/>
        <c:majorTickMark val="none"/>
        <c:minorTickMark val="none"/>
        <c:tickLblPos val="nextTo"/>
        <c:txPr>
          <a:bodyPr rot="-60000000" vert="horz"/>
          <a:lstStyle/>
          <a:p>
            <a:pPr>
              <a:defRPr/>
            </a:pPr>
            <a:endParaRPr lang="es-CO"/>
          </a:p>
        </c:txPr>
        <c:crossAx val="-87064512"/>
        <c:crosses val="autoZero"/>
        <c:auto val="0"/>
        <c:lblOffset val="100"/>
        <c:baseTimeUnit val="days"/>
      </c:dateAx>
      <c:valAx>
        <c:axId val="-87064512"/>
        <c:scaling>
          <c:orientation val="minMax"/>
        </c:scaling>
        <c:delete val="0"/>
        <c:axPos val="l"/>
        <c:majorGridlines/>
        <c:numFmt formatCode="&quot;$&quot;\ #,##0" sourceLinked="1"/>
        <c:majorTickMark val="none"/>
        <c:minorTickMark val="none"/>
        <c:tickLblPos val="nextTo"/>
        <c:txPr>
          <a:bodyPr rot="-60000000" vert="horz"/>
          <a:lstStyle/>
          <a:p>
            <a:pPr>
              <a:defRPr/>
            </a:pPr>
            <a:endParaRPr lang="es-CO"/>
          </a:p>
        </c:txPr>
        <c:crossAx val="-87065056"/>
        <c:crosses val="autoZero"/>
        <c:crossBetween val="between"/>
      </c:valAx>
    </c:plotArea>
    <c:legend>
      <c:legendPos val="r"/>
      <c:layout>
        <c:manualLayout>
          <c:xMode val="edge"/>
          <c:yMode val="edge"/>
          <c:x val="0.66743595501449093"/>
          <c:y val="0.27593498291137081"/>
          <c:w val="0.31146514680762871"/>
          <c:h val="0.66087677635446884"/>
        </c:manualLayout>
      </c:layout>
      <c:overlay val="0"/>
      <c:txPr>
        <a:bodyPr rot="0" vert="horz"/>
        <a:lstStyle/>
        <a:p>
          <a:pPr>
            <a:defRPr/>
          </a:pPr>
          <a:endParaRPr lang="es-CO"/>
        </a:p>
      </c:txPr>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GRÁFICO COMPARATIVO BALANCE GENERAL 2016</a:t>
            </a:r>
          </a:p>
        </c:rich>
      </c:tx>
      <c:overlay val="0"/>
    </c:title>
    <c:autoTitleDeleted val="0"/>
    <c:plotArea>
      <c:layout/>
      <c:barChart>
        <c:barDir val="col"/>
        <c:grouping val="clustered"/>
        <c:varyColors val="0"/>
        <c:ser>
          <c:idx val="0"/>
          <c:order val="0"/>
          <c:tx>
            <c:strRef>
              <c:f>'INDICADORES FINANCIEROS'!$B$245</c:f>
              <c:strCache>
                <c:ptCount val="1"/>
                <c:pt idx="0">
                  <c:v>TOTAL ACTIVOS CORRIENTES</c:v>
                </c:pt>
              </c:strCache>
            </c:strRef>
          </c:tx>
          <c:invertIfNegative val="0"/>
          <c:cat>
            <c:numRef>
              <c:f>'INDICADORES FINANCIEROS'!$C$262</c:f>
              <c:numCache>
                <c:formatCode>m/d/yyyy</c:formatCode>
                <c:ptCount val="1"/>
                <c:pt idx="0">
                  <c:v>42735</c:v>
                </c:pt>
              </c:numCache>
            </c:numRef>
          </c:cat>
          <c:val>
            <c:numRef>
              <c:f>'INDICADORES FINANCIEROS'!$C$245</c:f>
              <c:numCache>
                <c:formatCode>"$"\ #,##0</c:formatCode>
                <c:ptCount val="1"/>
                <c:pt idx="0">
                  <c:v>137056000</c:v>
                </c:pt>
              </c:numCache>
            </c:numRef>
          </c:val>
          <c:extLst>
            <c:ext xmlns:c16="http://schemas.microsoft.com/office/drawing/2014/chart" uri="{C3380CC4-5D6E-409C-BE32-E72D297353CC}">
              <c16:uniqueId val="{00000000-FE0C-EB44-81EA-028C4EEB4C10}"/>
            </c:ext>
          </c:extLst>
        </c:ser>
        <c:ser>
          <c:idx val="1"/>
          <c:order val="1"/>
          <c:tx>
            <c:strRef>
              <c:f>'INDICADORES FINANCIEROS'!$B$251</c:f>
              <c:strCache>
                <c:ptCount val="1"/>
                <c:pt idx="0">
                  <c:v>TOTAL ACTIVO</c:v>
                </c:pt>
              </c:strCache>
            </c:strRef>
          </c:tx>
          <c:invertIfNegative val="0"/>
          <c:cat>
            <c:numRef>
              <c:f>'INDICADORES FINANCIEROS'!$C$262</c:f>
              <c:numCache>
                <c:formatCode>m/d/yyyy</c:formatCode>
                <c:ptCount val="1"/>
                <c:pt idx="0">
                  <c:v>42735</c:v>
                </c:pt>
              </c:numCache>
            </c:numRef>
          </c:cat>
          <c:val>
            <c:numRef>
              <c:f>'INDICADORES FINANCIEROS'!$C$251</c:f>
              <c:numCache>
                <c:formatCode>"$"\ #,##0</c:formatCode>
                <c:ptCount val="1"/>
                <c:pt idx="0">
                  <c:v>859045000</c:v>
                </c:pt>
              </c:numCache>
            </c:numRef>
          </c:val>
          <c:extLst>
            <c:ext xmlns:c16="http://schemas.microsoft.com/office/drawing/2014/chart" uri="{C3380CC4-5D6E-409C-BE32-E72D297353CC}">
              <c16:uniqueId val="{00000001-FE0C-EB44-81EA-028C4EEB4C10}"/>
            </c:ext>
          </c:extLst>
        </c:ser>
        <c:ser>
          <c:idx val="2"/>
          <c:order val="2"/>
          <c:tx>
            <c:strRef>
              <c:f>'INDICADORES FINANCIEROS'!$B$259</c:f>
              <c:strCache>
                <c:ptCount val="1"/>
                <c:pt idx="0">
                  <c:v>TOTAL PASIVO CORRIENTE</c:v>
                </c:pt>
              </c:strCache>
            </c:strRef>
          </c:tx>
          <c:invertIfNegative val="0"/>
          <c:cat>
            <c:numRef>
              <c:f>'INDICADORES FINANCIEROS'!$C$262</c:f>
              <c:numCache>
                <c:formatCode>m/d/yyyy</c:formatCode>
                <c:ptCount val="1"/>
                <c:pt idx="0">
                  <c:v>42735</c:v>
                </c:pt>
              </c:numCache>
            </c:numRef>
          </c:cat>
          <c:val>
            <c:numRef>
              <c:f>'INDICADORES FINANCIEROS'!$C$259</c:f>
              <c:numCache>
                <c:formatCode>"$"\ #,##0</c:formatCode>
                <c:ptCount val="1"/>
                <c:pt idx="0">
                  <c:v>162080000</c:v>
                </c:pt>
              </c:numCache>
            </c:numRef>
          </c:val>
          <c:extLst>
            <c:ext xmlns:c16="http://schemas.microsoft.com/office/drawing/2014/chart" uri="{C3380CC4-5D6E-409C-BE32-E72D297353CC}">
              <c16:uniqueId val="{00000002-FE0C-EB44-81EA-028C4EEB4C10}"/>
            </c:ext>
          </c:extLst>
        </c:ser>
        <c:ser>
          <c:idx val="3"/>
          <c:order val="3"/>
          <c:tx>
            <c:strRef>
              <c:f>'INDICADORES FINANCIEROS'!$B$260</c:f>
              <c:strCache>
                <c:ptCount val="1"/>
                <c:pt idx="0">
                  <c:v>TOTAL PASIVO</c:v>
                </c:pt>
              </c:strCache>
            </c:strRef>
          </c:tx>
          <c:invertIfNegative val="0"/>
          <c:cat>
            <c:numRef>
              <c:f>'INDICADORES FINANCIEROS'!$C$262</c:f>
              <c:numCache>
                <c:formatCode>m/d/yyyy</c:formatCode>
                <c:ptCount val="1"/>
                <c:pt idx="0">
                  <c:v>42735</c:v>
                </c:pt>
              </c:numCache>
            </c:numRef>
          </c:cat>
          <c:val>
            <c:numRef>
              <c:f>'INDICADORES FINANCIEROS'!$C$260</c:f>
              <c:numCache>
                <c:formatCode>"$"\ #,##0</c:formatCode>
                <c:ptCount val="1"/>
                <c:pt idx="0">
                  <c:v>162080000</c:v>
                </c:pt>
              </c:numCache>
            </c:numRef>
          </c:val>
          <c:extLst>
            <c:ext xmlns:c16="http://schemas.microsoft.com/office/drawing/2014/chart" uri="{C3380CC4-5D6E-409C-BE32-E72D297353CC}">
              <c16:uniqueId val="{00000003-FE0C-EB44-81EA-028C4EEB4C10}"/>
            </c:ext>
          </c:extLst>
        </c:ser>
        <c:ser>
          <c:idx val="4"/>
          <c:order val="4"/>
          <c:tx>
            <c:strRef>
              <c:f>'INDICADORES FINANCIEROS'!$B$267</c:f>
              <c:strCache>
                <c:ptCount val="1"/>
                <c:pt idx="0">
                  <c:v>TOTAL PATRIMONIO</c:v>
                </c:pt>
              </c:strCache>
            </c:strRef>
          </c:tx>
          <c:invertIfNegative val="0"/>
          <c:cat>
            <c:numRef>
              <c:f>'INDICADORES FINANCIEROS'!$C$262</c:f>
              <c:numCache>
                <c:formatCode>m/d/yyyy</c:formatCode>
                <c:ptCount val="1"/>
                <c:pt idx="0">
                  <c:v>42735</c:v>
                </c:pt>
              </c:numCache>
            </c:numRef>
          </c:cat>
          <c:val>
            <c:numRef>
              <c:f>'INDICADORES FINANCIEROS'!$C$267</c:f>
              <c:numCache>
                <c:formatCode>"$"\ #,##0</c:formatCode>
                <c:ptCount val="1"/>
                <c:pt idx="0">
                  <c:v>696965000</c:v>
                </c:pt>
              </c:numCache>
            </c:numRef>
          </c:val>
          <c:extLst>
            <c:ext xmlns:c16="http://schemas.microsoft.com/office/drawing/2014/chart" uri="{C3380CC4-5D6E-409C-BE32-E72D297353CC}">
              <c16:uniqueId val="{00000004-FE0C-EB44-81EA-028C4EEB4C10}"/>
            </c:ext>
          </c:extLst>
        </c:ser>
        <c:dLbls>
          <c:showLegendKey val="0"/>
          <c:showVal val="0"/>
          <c:showCatName val="0"/>
          <c:showSerName val="0"/>
          <c:showPercent val="0"/>
          <c:showBubbleSize val="0"/>
        </c:dLbls>
        <c:gapWidth val="150"/>
        <c:axId val="-87061792"/>
        <c:axId val="-89495520"/>
      </c:barChart>
      <c:dateAx>
        <c:axId val="-87061792"/>
        <c:scaling>
          <c:orientation val="minMax"/>
        </c:scaling>
        <c:delete val="0"/>
        <c:axPos val="b"/>
        <c:numFmt formatCode="m/d/yyyy" sourceLinked="1"/>
        <c:majorTickMark val="none"/>
        <c:minorTickMark val="none"/>
        <c:tickLblPos val="nextTo"/>
        <c:txPr>
          <a:bodyPr rot="-60000000" vert="horz"/>
          <a:lstStyle/>
          <a:p>
            <a:pPr>
              <a:defRPr/>
            </a:pPr>
            <a:endParaRPr lang="es-CO"/>
          </a:p>
        </c:txPr>
        <c:crossAx val="-89495520"/>
        <c:crosses val="autoZero"/>
        <c:auto val="1"/>
        <c:lblOffset val="100"/>
        <c:baseTimeUnit val="days"/>
      </c:dateAx>
      <c:valAx>
        <c:axId val="-89495520"/>
        <c:scaling>
          <c:orientation val="minMax"/>
        </c:scaling>
        <c:delete val="0"/>
        <c:axPos val="l"/>
        <c:majorGridlines/>
        <c:numFmt formatCode="&quot;$&quot;\ #,##0" sourceLinked="1"/>
        <c:majorTickMark val="none"/>
        <c:minorTickMark val="none"/>
        <c:tickLblPos val="nextTo"/>
        <c:txPr>
          <a:bodyPr rot="-60000000" vert="horz"/>
          <a:lstStyle/>
          <a:p>
            <a:pPr>
              <a:defRPr/>
            </a:pPr>
            <a:endParaRPr lang="es-CO"/>
          </a:p>
        </c:txPr>
        <c:crossAx val="-87061792"/>
        <c:crosses val="autoZero"/>
        <c:crossBetween val="between"/>
      </c:valAx>
    </c:plotArea>
    <c:legend>
      <c:legendPos val="r"/>
      <c:overlay val="0"/>
      <c:txPr>
        <a:bodyPr rot="0" vert="horz"/>
        <a:lstStyle/>
        <a:p>
          <a:pPr>
            <a:defRPr/>
          </a:pPr>
          <a:endParaRPr lang="es-CO"/>
        </a:p>
      </c:txPr>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GRÁFICO COMPARATIVO DEL EST. DE RESULTADOS 2015</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FINANCIEROS'!$B$308</c:f>
              <c:strCache>
                <c:ptCount val="1"/>
                <c:pt idx="0">
                  <c:v>INGRESOS OPERACIONALES</c:v>
                </c:pt>
              </c:strCache>
            </c:strRef>
          </c:tx>
          <c:spPr>
            <a:solidFill>
              <a:schemeClr val="accent1"/>
            </a:solidFill>
            <a:ln>
              <a:noFill/>
            </a:ln>
            <a:effectLst/>
            <a:sp3d/>
          </c:spPr>
          <c:invertIfNegative val="0"/>
          <c:cat>
            <c:numRef>
              <c:f>'INDICADORES FINANCIEROS'!$C$323</c:f>
              <c:numCache>
                <c:formatCode>m/d/yyyy</c:formatCode>
                <c:ptCount val="1"/>
                <c:pt idx="0">
                  <c:v>42369</c:v>
                </c:pt>
              </c:numCache>
            </c:numRef>
          </c:cat>
          <c:val>
            <c:numRef>
              <c:f>'INDICADORES FINANCIEROS'!$C$308</c:f>
              <c:numCache>
                <c:formatCode>"$"\ #,##0</c:formatCode>
                <c:ptCount val="1"/>
                <c:pt idx="0">
                  <c:v>344142000</c:v>
                </c:pt>
              </c:numCache>
            </c:numRef>
          </c:val>
          <c:extLst>
            <c:ext xmlns:c16="http://schemas.microsoft.com/office/drawing/2014/chart" uri="{C3380CC4-5D6E-409C-BE32-E72D297353CC}">
              <c16:uniqueId val="{00000000-74D7-FC4C-A54C-531E031A0A4A}"/>
            </c:ext>
          </c:extLst>
        </c:ser>
        <c:ser>
          <c:idx val="1"/>
          <c:order val="1"/>
          <c:tx>
            <c:strRef>
              <c:f>'INDICADORES FINANCIEROS'!$B$309</c:f>
              <c:strCache>
                <c:ptCount val="1"/>
                <c:pt idx="0">
                  <c:v>COSTOS DE VENTAS</c:v>
                </c:pt>
              </c:strCache>
            </c:strRef>
          </c:tx>
          <c:spPr>
            <a:solidFill>
              <a:schemeClr val="accent2"/>
            </a:solidFill>
            <a:ln>
              <a:noFill/>
            </a:ln>
            <a:effectLst/>
            <a:sp3d/>
          </c:spPr>
          <c:invertIfNegative val="0"/>
          <c:cat>
            <c:numRef>
              <c:f>'INDICADORES FINANCIEROS'!$C$323</c:f>
              <c:numCache>
                <c:formatCode>m/d/yyyy</c:formatCode>
                <c:ptCount val="1"/>
                <c:pt idx="0">
                  <c:v>42369</c:v>
                </c:pt>
              </c:numCache>
            </c:numRef>
          </c:cat>
          <c:val>
            <c:numRef>
              <c:f>'INDICADORES FINANCIEROS'!$C$309</c:f>
              <c:numCache>
                <c:formatCode>"$"\ #,##0</c:formatCode>
                <c:ptCount val="1"/>
                <c:pt idx="0">
                  <c:v>243387000</c:v>
                </c:pt>
              </c:numCache>
            </c:numRef>
          </c:val>
          <c:extLst>
            <c:ext xmlns:c16="http://schemas.microsoft.com/office/drawing/2014/chart" uri="{C3380CC4-5D6E-409C-BE32-E72D297353CC}">
              <c16:uniqueId val="{00000001-74D7-FC4C-A54C-531E031A0A4A}"/>
            </c:ext>
          </c:extLst>
        </c:ser>
        <c:ser>
          <c:idx val="2"/>
          <c:order val="2"/>
          <c:tx>
            <c:strRef>
              <c:f>'INDICADORES FINANCIEROS'!$B$310</c:f>
              <c:strCache>
                <c:ptCount val="1"/>
                <c:pt idx="0">
                  <c:v>UTILIDAD BRUTA</c:v>
                </c:pt>
              </c:strCache>
            </c:strRef>
          </c:tx>
          <c:spPr>
            <a:solidFill>
              <a:schemeClr val="accent3"/>
            </a:solidFill>
            <a:ln>
              <a:noFill/>
            </a:ln>
            <a:effectLst/>
            <a:sp3d/>
          </c:spPr>
          <c:invertIfNegative val="0"/>
          <c:cat>
            <c:numRef>
              <c:f>'INDICADORES FINANCIEROS'!$C$323</c:f>
              <c:numCache>
                <c:formatCode>m/d/yyyy</c:formatCode>
                <c:ptCount val="1"/>
                <c:pt idx="0">
                  <c:v>42369</c:v>
                </c:pt>
              </c:numCache>
            </c:numRef>
          </c:cat>
          <c:val>
            <c:numRef>
              <c:f>'INDICADORES FINANCIEROS'!$C$310</c:f>
              <c:numCache>
                <c:formatCode>"$"\ #,##0</c:formatCode>
                <c:ptCount val="1"/>
                <c:pt idx="0">
                  <c:v>100755000</c:v>
                </c:pt>
              </c:numCache>
            </c:numRef>
          </c:val>
          <c:extLst>
            <c:ext xmlns:c16="http://schemas.microsoft.com/office/drawing/2014/chart" uri="{C3380CC4-5D6E-409C-BE32-E72D297353CC}">
              <c16:uniqueId val="{00000002-74D7-FC4C-A54C-531E031A0A4A}"/>
            </c:ext>
          </c:extLst>
        </c:ser>
        <c:ser>
          <c:idx val="3"/>
          <c:order val="3"/>
          <c:tx>
            <c:strRef>
              <c:f>'INDICADORES FINANCIEROS'!$B$313</c:f>
              <c:strCache>
                <c:ptCount val="1"/>
                <c:pt idx="0">
                  <c:v>UTILIDAD OPERACIONAL</c:v>
                </c:pt>
              </c:strCache>
            </c:strRef>
          </c:tx>
          <c:spPr>
            <a:solidFill>
              <a:schemeClr val="accent4"/>
            </a:solidFill>
            <a:ln>
              <a:noFill/>
            </a:ln>
            <a:effectLst/>
            <a:sp3d/>
          </c:spPr>
          <c:invertIfNegative val="0"/>
          <c:cat>
            <c:numRef>
              <c:f>'INDICADORES FINANCIEROS'!$C$323</c:f>
              <c:numCache>
                <c:formatCode>m/d/yyyy</c:formatCode>
                <c:ptCount val="1"/>
                <c:pt idx="0">
                  <c:v>42369</c:v>
                </c:pt>
              </c:numCache>
            </c:numRef>
          </c:cat>
          <c:val>
            <c:numRef>
              <c:f>'INDICADORES FINANCIEROS'!$C$313</c:f>
              <c:numCache>
                <c:formatCode>"$"\ #,##0</c:formatCode>
                <c:ptCount val="1"/>
                <c:pt idx="0">
                  <c:v>72212000</c:v>
                </c:pt>
              </c:numCache>
            </c:numRef>
          </c:val>
          <c:extLst>
            <c:ext xmlns:c16="http://schemas.microsoft.com/office/drawing/2014/chart" uri="{C3380CC4-5D6E-409C-BE32-E72D297353CC}">
              <c16:uniqueId val="{00000003-74D7-FC4C-A54C-531E031A0A4A}"/>
            </c:ext>
          </c:extLst>
        </c:ser>
        <c:ser>
          <c:idx val="4"/>
          <c:order val="4"/>
          <c:tx>
            <c:strRef>
              <c:f>'INDICADORES FINANCIEROS'!$B$316</c:f>
              <c:strCache>
                <c:ptCount val="1"/>
                <c:pt idx="0">
                  <c:v>UTILIDAD ANTES DE IMPUESTO</c:v>
                </c:pt>
              </c:strCache>
            </c:strRef>
          </c:tx>
          <c:spPr>
            <a:solidFill>
              <a:schemeClr val="accent5"/>
            </a:solidFill>
            <a:ln>
              <a:noFill/>
            </a:ln>
            <a:effectLst/>
            <a:sp3d/>
          </c:spPr>
          <c:invertIfNegative val="0"/>
          <c:cat>
            <c:numRef>
              <c:f>'INDICADORES FINANCIEROS'!$C$323</c:f>
              <c:numCache>
                <c:formatCode>m/d/yyyy</c:formatCode>
                <c:ptCount val="1"/>
                <c:pt idx="0">
                  <c:v>42369</c:v>
                </c:pt>
              </c:numCache>
            </c:numRef>
          </c:cat>
          <c:val>
            <c:numRef>
              <c:f>'INDICADORES FINANCIEROS'!$C$316</c:f>
              <c:numCache>
                <c:formatCode>"$"\ #,##0</c:formatCode>
                <c:ptCount val="1"/>
                <c:pt idx="0">
                  <c:v>68781000</c:v>
                </c:pt>
              </c:numCache>
            </c:numRef>
          </c:val>
          <c:extLst>
            <c:ext xmlns:c16="http://schemas.microsoft.com/office/drawing/2014/chart" uri="{C3380CC4-5D6E-409C-BE32-E72D297353CC}">
              <c16:uniqueId val="{00000004-74D7-FC4C-A54C-531E031A0A4A}"/>
            </c:ext>
          </c:extLst>
        </c:ser>
        <c:ser>
          <c:idx val="5"/>
          <c:order val="5"/>
          <c:tx>
            <c:strRef>
              <c:f>'INDICADORES FINANCIEROS'!$B$318</c:f>
              <c:strCache>
                <c:ptCount val="1"/>
                <c:pt idx="0">
                  <c:v>IMPUESTO DE RENTA</c:v>
                </c:pt>
              </c:strCache>
            </c:strRef>
          </c:tx>
          <c:spPr>
            <a:solidFill>
              <a:schemeClr val="accent6"/>
            </a:solidFill>
            <a:ln>
              <a:noFill/>
            </a:ln>
            <a:effectLst/>
            <a:sp3d/>
          </c:spPr>
          <c:invertIfNegative val="0"/>
          <c:cat>
            <c:numRef>
              <c:f>'INDICADORES FINANCIEROS'!$C$323</c:f>
              <c:numCache>
                <c:formatCode>m/d/yyyy</c:formatCode>
                <c:ptCount val="1"/>
                <c:pt idx="0">
                  <c:v>42369</c:v>
                </c:pt>
              </c:numCache>
            </c:numRef>
          </c:cat>
          <c:val>
            <c:numRef>
              <c:f>'INDICADORES FINANCIEROS'!$C$318</c:f>
              <c:numCache>
                <c:formatCode>"$"\ #,##0</c:formatCode>
                <c:ptCount val="1"/>
                <c:pt idx="0">
                  <c:v>17195000</c:v>
                </c:pt>
              </c:numCache>
            </c:numRef>
          </c:val>
          <c:extLst>
            <c:ext xmlns:c16="http://schemas.microsoft.com/office/drawing/2014/chart" uri="{C3380CC4-5D6E-409C-BE32-E72D297353CC}">
              <c16:uniqueId val="{00000005-74D7-FC4C-A54C-531E031A0A4A}"/>
            </c:ext>
          </c:extLst>
        </c:ser>
        <c:ser>
          <c:idx val="6"/>
          <c:order val="6"/>
          <c:tx>
            <c:strRef>
              <c:f>'INDICADORES FINANCIEROS'!$B$319</c:f>
              <c:strCache>
                <c:ptCount val="1"/>
                <c:pt idx="0">
                  <c:v>UTILIDAD NETA</c:v>
                </c:pt>
              </c:strCache>
            </c:strRef>
          </c:tx>
          <c:spPr>
            <a:solidFill>
              <a:schemeClr val="accent1">
                <a:lumMod val="60000"/>
              </a:schemeClr>
            </a:solidFill>
            <a:ln>
              <a:noFill/>
            </a:ln>
            <a:effectLst/>
            <a:sp3d/>
          </c:spPr>
          <c:invertIfNegative val="0"/>
          <c:cat>
            <c:numRef>
              <c:f>'INDICADORES FINANCIEROS'!$C$323</c:f>
              <c:numCache>
                <c:formatCode>m/d/yyyy</c:formatCode>
                <c:ptCount val="1"/>
                <c:pt idx="0">
                  <c:v>42369</c:v>
                </c:pt>
              </c:numCache>
            </c:numRef>
          </c:cat>
          <c:val>
            <c:numRef>
              <c:f>'INDICADORES FINANCIEROS'!$C$319</c:f>
              <c:numCache>
                <c:formatCode>"$"\ #,##0</c:formatCode>
                <c:ptCount val="1"/>
                <c:pt idx="0">
                  <c:v>47818000</c:v>
                </c:pt>
              </c:numCache>
            </c:numRef>
          </c:val>
          <c:extLst>
            <c:ext xmlns:c16="http://schemas.microsoft.com/office/drawing/2014/chart" uri="{C3380CC4-5D6E-409C-BE32-E72D297353CC}">
              <c16:uniqueId val="{00000006-74D7-FC4C-A54C-531E031A0A4A}"/>
            </c:ext>
          </c:extLst>
        </c:ser>
        <c:dLbls>
          <c:showLegendKey val="0"/>
          <c:showVal val="0"/>
          <c:showCatName val="0"/>
          <c:showSerName val="0"/>
          <c:showPercent val="0"/>
          <c:showBubbleSize val="0"/>
        </c:dLbls>
        <c:gapWidth val="150"/>
        <c:shape val="box"/>
        <c:axId val="-89492800"/>
        <c:axId val="-89494432"/>
        <c:axId val="0"/>
      </c:bar3DChart>
      <c:dateAx>
        <c:axId val="-89492800"/>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494432"/>
        <c:crosses val="autoZero"/>
        <c:auto val="1"/>
        <c:lblOffset val="100"/>
        <c:baseTimeUnit val="days"/>
      </c:dateAx>
      <c:valAx>
        <c:axId val="-89494432"/>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4928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GRÁFICO COMPARATIVO BALANCE GENERAL 2015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FINANCIEROS'!$B$327</c:f>
              <c:strCache>
                <c:ptCount val="1"/>
                <c:pt idx="0">
                  <c:v>TOTAL ACTIVOS CORRIENTES</c:v>
                </c:pt>
              </c:strCache>
            </c:strRef>
          </c:tx>
          <c:spPr>
            <a:solidFill>
              <a:schemeClr val="accent1"/>
            </a:solidFill>
            <a:ln>
              <a:noFill/>
            </a:ln>
            <a:effectLst/>
            <a:sp3d/>
          </c:spPr>
          <c:invertIfNegative val="0"/>
          <c:cat>
            <c:numRef>
              <c:f>'INDICADORES FINANCIEROS'!$C$344</c:f>
              <c:numCache>
                <c:formatCode>m/d/yyyy</c:formatCode>
                <c:ptCount val="1"/>
                <c:pt idx="0">
                  <c:v>42369</c:v>
                </c:pt>
              </c:numCache>
            </c:numRef>
          </c:cat>
          <c:val>
            <c:numRef>
              <c:f>'INDICADORES FINANCIEROS'!$C$327</c:f>
              <c:numCache>
                <c:formatCode>"$"\ #,##0</c:formatCode>
                <c:ptCount val="1"/>
                <c:pt idx="0">
                  <c:v>47151000</c:v>
                </c:pt>
              </c:numCache>
            </c:numRef>
          </c:val>
          <c:extLst>
            <c:ext xmlns:c16="http://schemas.microsoft.com/office/drawing/2014/chart" uri="{C3380CC4-5D6E-409C-BE32-E72D297353CC}">
              <c16:uniqueId val="{00000000-CE13-0C40-83FE-DEB059B04291}"/>
            </c:ext>
          </c:extLst>
        </c:ser>
        <c:ser>
          <c:idx val="1"/>
          <c:order val="1"/>
          <c:tx>
            <c:strRef>
              <c:f>'INDICADORES FINANCIEROS'!$B$333</c:f>
              <c:strCache>
                <c:ptCount val="1"/>
                <c:pt idx="0">
                  <c:v>TOTAL ACTIVO</c:v>
                </c:pt>
              </c:strCache>
            </c:strRef>
          </c:tx>
          <c:spPr>
            <a:solidFill>
              <a:schemeClr val="accent2"/>
            </a:solidFill>
            <a:ln>
              <a:noFill/>
            </a:ln>
            <a:effectLst/>
            <a:sp3d/>
          </c:spPr>
          <c:invertIfNegative val="0"/>
          <c:cat>
            <c:numRef>
              <c:f>'INDICADORES FINANCIEROS'!$C$344</c:f>
              <c:numCache>
                <c:formatCode>m/d/yyyy</c:formatCode>
                <c:ptCount val="1"/>
                <c:pt idx="0">
                  <c:v>42369</c:v>
                </c:pt>
              </c:numCache>
            </c:numRef>
          </c:cat>
          <c:val>
            <c:numRef>
              <c:f>'INDICADORES FINANCIEROS'!$C$333</c:f>
              <c:numCache>
                <c:formatCode>"$"\ #,##0</c:formatCode>
                <c:ptCount val="1"/>
                <c:pt idx="0">
                  <c:v>798251000</c:v>
                </c:pt>
              </c:numCache>
            </c:numRef>
          </c:val>
          <c:extLst>
            <c:ext xmlns:c16="http://schemas.microsoft.com/office/drawing/2014/chart" uri="{C3380CC4-5D6E-409C-BE32-E72D297353CC}">
              <c16:uniqueId val="{00000001-CE13-0C40-83FE-DEB059B04291}"/>
            </c:ext>
          </c:extLst>
        </c:ser>
        <c:ser>
          <c:idx val="2"/>
          <c:order val="2"/>
          <c:tx>
            <c:strRef>
              <c:f>'INDICADORES FINANCIEROS'!$B$341</c:f>
              <c:strCache>
                <c:ptCount val="1"/>
                <c:pt idx="0">
                  <c:v>TOTAL PASIVO CORRIENTE</c:v>
                </c:pt>
              </c:strCache>
            </c:strRef>
          </c:tx>
          <c:spPr>
            <a:solidFill>
              <a:schemeClr val="accent3"/>
            </a:solidFill>
            <a:ln>
              <a:noFill/>
            </a:ln>
            <a:effectLst/>
            <a:sp3d/>
          </c:spPr>
          <c:invertIfNegative val="0"/>
          <c:cat>
            <c:numRef>
              <c:f>'INDICADORES FINANCIEROS'!$C$344</c:f>
              <c:numCache>
                <c:formatCode>m/d/yyyy</c:formatCode>
                <c:ptCount val="1"/>
                <c:pt idx="0">
                  <c:v>42369</c:v>
                </c:pt>
              </c:numCache>
            </c:numRef>
          </c:cat>
          <c:val>
            <c:numRef>
              <c:f>'INDICADORES FINANCIEROS'!$C$341</c:f>
              <c:numCache>
                <c:formatCode>"$"\ #,##0</c:formatCode>
                <c:ptCount val="1"/>
                <c:pt idx="0">
                  <c:v>125039000</c:v>
                </c:pt>
              </c:numCache>
            </c:numRef>
          </c:val>
          <c:extLst>
            <c:ext xmlns:c16="http://schemas.microsoft.com/office/drawing/2014/chart" uri="{C3380CC4-5D6E-409C-BE32-E72D297353CC}">
              <c16:uniqueId val="{00000002-CE13-0C40-83FE-DEB059B04291}"/>
            </c:ext>
          </c:extLst>
        </c:ser>
        <c:ser>
          <c:idx val="3"/>
          <c:order val="3"/>
          <c:tx>
            <c:strRef>
              <c:f>'INDICADORES FINANCIEROS'!$B$342</c:f>
              <c:strCache>
                <c:ptCount val="1"/>
                <c:pt idx="0">
                  <c:v>TOTAL PASIVO</c:v>
                </c:pt>
              </c:strCache>
            </c:strRef>
          </c:tx>
          <c:spPr>
            <a:solidFill>
              <a:schemeClr val="accent4"/>
            </a:solidFill>
            <a:ln>
              <a:noFill/>
            </a:ln>
            <a:effectLst/>
            <a:sp3d/>
          </c:spPr>
          <c:invertIfNegative val="0"/>
          <c:cat>
            <c:numRef>
              <c:f>'INDICADORES FINANCIEROS'!$C$344</c:f>
              <c:numCache>
                <c:formatCode>m/d/yyyy</c:formatCode>
                <c:ptCount val="1"/>
                <c:pt idx="0">
                  <c:v>42369</c:v>
                </c:pt>
              </c:numCache>
            </c:numRef>
          </c:cat>
          <c:val>
            <c:numRef>
              <c:f>'INDICADORES FINANCIEROS'!$C$342</c:f>
              <c:numCache>
                <c:formatCode>"$"\ #,##0</c:formatCode>
                <c:ptCount val="1"/>
                <c:pt idx="0">
                  <c:v>125039000</c:v>
                </c:pt>
              </c:numCache>
            </c:numRef>
          </c:val>
          <c:extLst>
            <c:ext xmlns:c16="http://schemas.microsoft.com/office/drawing/2014/chart" uri="{C3380CC4-5D6E-409C-BE32-E72D297353CC}">
              <c16:uniqueId val="{00000003-CE13-0C40-83FE-DEB059B04291}"/>
            </c:ext>
          </c:extLst>
        </c:ser>
        <c:ser>
          <c:idx val="4"/>
          <c:order val="4"/>
          <c:tx>
            <c:strRef>
              <c:f>'INDICADORES FINANCIEROS'!$B$349</c:f>
              <c:strCache>
                <c:ptCount val="1"/>
                <c:pt idx="0">
                  <c:v>TOTAL PATRIMONIO</c:v>
                </c:pt>
              </c:strCache>
            </c:strRef>
          </c:tx>
          <c:spPr>
            <a:solidFill>
              <a:schemeClr val="accent5"/>
            </a:solidFill>
            <a:ln>
              <a:noFill/>
            </a:ln>
            <a:effectLst/>
            <a:sp3d/>
          </c:spPr>
          <c:invertIfNegative val="0"/>
          <c:cat>
            <c:numRef>
              <c:f>'INDICADORES FINANCIEROS'!$C$344</c:f>
              <c:numCache>
                <c:formatCode>m/d/yyyy</c:formatCode>
                <c:ptCount val="1"/>
                <c:pt idx="0">
                  <c:v>42369</c:v>
                </c:pt>
              </c:numCache>
            </c:numRef>
          </c:cat>
          <c:val>
            <c:numRef>
              <c:f>'INDICADORES FINANCIEROS'!$C$349</c:f>
              <c:numCache>
                <c:formatCode>"$"\ #,##0</c:formatCode>
                <c:ptCount val="1"/>
                <c:pt idx="0">
                  <c:v>673212000</c:v>
                </c:pt>
              </c:numCache>
            </c:numRef>
          </c:val>
          <c:extLst>
            <c:ext xmlns:c16="http://schemas.microsoft.com/office/drawing/2014/chart" uri="{C3380CC4-5D6E-409C-BE32-E72D297353CC}">
              <c16:uniqueId val="{00000004-CE13-0C40-83FE-DEB059B04291}"/>
            </c:ext>
          </c:extLst>
        </c:ser>
        <c:dLbls>
          <c:showLegendKey val="0"/>
          <c:showVal val="0"/>
          <c:showCatName val="0"/>
          <c:showSerName val="0"/>
          <c:showPercent val="0"/>
          <c:showBubbleSize val="0"/>
        </c:dLbls>
        <c:gapWidth val="150"/>
        <c:shape val="box"/>
        <c:axId val="-89493344"/>
        <c:axId val="-89491168"/>
        <c:axId val="0"/>
      </c:bar3DChart>
      <c:dateAx>
        <c:axId val="-89493344"/>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491168"/>
        <c:crosses val="autoZero"/>
        <c:auto val="1"/>
        <c:lblOffset val="100"/>
        <c:baseTimeUnit val="days"/>
      </c:dateAx>
      <c:valAx>
        <c:axId val="-8949116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4933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GRÁFICO COMPARATIVO DEL EST. DE RESULTADOS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FINANCIEROS'!$B$389</c:f>
              <c:strCache>
                <c:ptCount val="1"/>
                <c:pt idx="0">
                  <c:v>INGRESOS OPERACIONALES</c:v>
                </c:pt>
              </c:strCache>
            </c:strRef>
          </c:tx>
          <c:spPr>
            <a:solidFill>
              <a:schemeClr val="accent1"/>
            </a:solidFill>
            <a:ln>
              <a:noFill/>
            </a:ln>
            <a:effectLst/>
            <a:sp3d/>
          </c:spPr>
          <c:invertIfNegative val="0"/>
          <c:cat>
            <c:numRef>
              <c:f>'INDICADORES FINANCIEROS'!$C$404</c:f>
              <c:numCache>
                <c:formatCode>m/d/yyyy</c:formatCode>
                <c:ptCount val="1"/>
                <c:pt idx="0">
                  <c:v>42004</c:v>
                </c:pt>
              </c:numCache>
            </c:numRef>
          </c:cat>
          <c:val>
            <c:numRef>
              <c:f>'INDICADORES FINANCIEROS'!$C$389</c:f>
              <c:numCache>
                <c:formatCode>"$"\ #,##0</c:formatCode>
                <c:ptCount val="1"/>
                <c:pt idx="0">
                  <c:v>61980000</c:v>
                </c:pt>
              </c:numCache>
            </c:numRef>
          </c:val>
          <c:extLst>
            <c:ext xmlns:c16="http://schemas.microsoft.com/office/drawing/2014/chart" uri="{C3380CC4-5D6E-409C-BE32-E72D297353CC}">
              <c16:uniqueId val="{00000000-A0B9-5E4E-901E-6CF38CE718BE}"/>
            </c:ext>
          </c:extLst>
        </c:ser>
        <c:ser>
          <c:idx val="1"/>
          <c:order val="1"/>
          <c:tx>
            <c:strRef>
              <c:f>'INDICADORES FINANCIEROS'!$B$390</c:f>
              <c:strCache>
                <c:ptCount val="1"/>
                <c:pt idx="0">
                  <c:v>COSTOS DE VENTAS</c:v>
                </c:pt>
              </c:strCache>
            </c:strRef>
          </c:tx>
          <c:spPr>
            <a:solidFill>
              <a:schemeClr val="accent2"/>
            </a:solidFill>
            <a:ln>
              <a:noFill/>
            </a:ln>
            <a:effectLst/>
            <a:sp3d/>
          </c:spPr>
          <c:invertIfNegative val="0"/>
          <c:cat>
            <c:numRef>
              <c:f>'INDICADORES FINANCIEROS'!$C$404</c:f>
              <c:numCache>
                <c:formatCode>m/d/yyyy</c:formatCode>
                <c:ptCount val="1"/>
                <c:pt idx="0">
                  <c:v>42004</c:v>
                </c:pt>
              </c:numCache>
            </c:numRef>
          </c:cat>
          <c:val>
            <c:numRef>
              <c:f>'INDICADORES FINANCIEROS'!$C$390</c:f>
              <c:numCache>
                <c:formatCode>"$"\ #,##0</c:formatCode>
                <c:ptCount val="1"/>
                <c:pt idx="0">
                  <c:v>51870000</c:v>
                </c:pt>
              </c:numCache>
            </c:numRef>
          </c:val>
          <c:extLst>
            <c:ext xmlns:c16="http://schemas.microsoft.com/office/drawing/2014/chart" uri="{C3380CC4-5D6E-409C-BE32-E72D297353CC}">
              <c16:uniqueId val="{00000001-A0B9-5E4E-901E-6CF38CE718BE}"/>
            </c:ext>
          </c:extLst>
        </c:ser>
        <c:ser>
          <c:idx val="2"/>
          <c:order val="2"/>
          <c:tx>
            <c:strRef>
              <c:f>'INDICADORES FINANCIEROS'!$B$391</c:f>
              <c:strCache>
                <c:ptCount val="1"/>
                <c:pt idx="0">
                  <c:v>UTILIDAD BRUTA</c:v>
                </c:pt>
              </c:strCache>
            </c:strRef>
          </c:tx>
          <c:spPr>
            <a:solidFill>
              <a:schemeClr val="accent3"/>
            </a:solidFill>
            <a:ln>
              <a:noFill/>
            </a:ln>
            <a:effectLst/>
            <a:sp3d/>
          </c:spPr>
          <c:invertIfNegative val="0"/>
          <c:cat>
            <c:numRef>
              <c:f>'INDICADORES FINANCIEROS'!$C$404</c:f>
              <c:numCache>
                <c:formatCode>m/d/yyyy</c:formatCode>
                <c:ptCount val="1"/>
                <c:pt idx="0">
                  <c:v>42004</c:v>
                </c:pt>
              </c:numCache>
            </c:numRef>
          </c:cat>
          <c:val>
            <c:numRef>
              <c:f>'INDICADORES FINANCIEROS'!$C$391</c:f>
              <c:numCache>
                <c:formatCode>"$"\ #,##0</c:formatCode>
                <c:ptCount val="1"/>
                <c:pt idx="0">
                  <c:v>10110000</c:v>
                </c:pt>
              </c:numCache>
            </c:numRef>
          </c:val>
          <c:extLst>
            <c:ext xmlns:c16="http://schemas.microsoft.com/office/drawing/2014/chart" uri="{C3380CC4-5D6E-409C-BE32-E72D297353CC}">
              <c16:uniqueId val="{00000002-A0B9-5E4E-901E-6CF38CE718BE}"/>
            </c:ext>
          </c:extLst>
        </c:ser>
        <c:ser>
          <c:idx val="3"/>
          <c:order val="3"/>
          <c:tx>
            <c:strRef>
              <c:f>'INDICADORES FINANCIEROS'!$B$394</c:f>
              <c:strCache>
                <c:ptCount val="1"/>
                <c:pt idx="0">
                  <c:v>UTILIDAD OPERACIONAL</c:v>
                </c:pt>
              </c:strCache>
            </c:strRef>
          </c:tx>
          <c:spPr>
            <a:solidFill>
              <a:schemeClr val="accent4"/>
            </a:solidFill>
            <a:ln>
              <a:noFill/>
            </a:ln>
            <a:effectLst/>
            <a:sp3d/>
          </c:spPr>
          <c:invertIfNegative val="0"/>
          <c:cat>
            <c:numRef>
              <c:f>'INDICADORES FINANCIEROS'!$C$404</c:f>
              <c:numCache>
                <c:formatCode>m/d/yyyy</c:formatCode>
                <c:ptCount val="1"/>
                <c:pt idx="0">
                  <c:v>42004</c:v>
                </c:pt>
              </c:numCache>
            </c:numRef>
          </c:cat>
          <c:val>
            <c:numRef>
              <c:f>'INDICADORES FINANCIEROS'!$C$394</c:f>
              <c:numCache>
                <c:formatCode>"$"\ #,##0</c:formatCode>
                <c:ptCount val="1"/>
                <c:pt idx="0">
                  <c:v>8174000</c:v>
                </c:pt>
              </c:numCache>
            </c:numRef>
          </c:val>
          <c:extLst>
            <c:ext xmlns:c16="http://schemas.microsoft.com/office/drawing/2014/chart" uri="{C3380CC4-5D6E-409C-BE32-E72D297353CC}">
              <c16:uniqueId val="{00000003-A0B9-5E4E-901E-6CF38CE718BE}"/>
            </c:ext>
          </c:extLst>
        </c:ser>
        <c:ser>
          <c:idx val="4"/>
          <c:order val="4"/>
          <c:tx>
            <c:strRef>
              <c:f>'INDICADORES FINANCIEROS'!$B$397</c:f>
              <c:strCache>
                <c:ptCount val="1"/>
                <c:pt idx="0">
                  <c:v>UTILIDAD ANTES DE IMPUESTO</c:v>
                </c:pt>
              </c:strCache>
            </c:strRef>
          </c:tx>
          <c:spPr>
            <a:solidFill>
              <a:schemeClr val="accent5"/>
            </a:solidFill>
            <a:ln>
              <a:noFill/>
            </a:ln>
            <a:effectLst/>
            <a:sp3d/>
          </c:spPr>
          <c:invertIfNegative val="0"/>
          <c:cat>
            <c:numRef>
              <c:f>'INDICADORES FINANCIEROS'!$C$404</c:f>
              <c:numCache>
                <c:formatCode>m/d/yyyy</c:formatCode>
                <c:ptCount val="1"/>
                <c:pt idx="0">
                  <c:v>42004</c:v>
                </c:pt>
              </c:numCache>
            </c:numRef>
          </c:cat>
          <c:val>
            <c:numRef>
              <c:f>'INDICADORES FINANCIEROS'!$C$397</c:f>
              <c:numCache>
                <c:formatCode>"$"\ #,##0</c:formatCode>
                <c:ptCount val="1"/>
                <c:pt idx="0">
                  <c:v>8174000</c:v>
                </c:pt>
              </c:numCache>
            </c:numRef>
          </c:val>
          <c:extLst>
            <c:ext xmlns:c16="http://schemas.microsoft.com/office/drawing/2014/chart" uri="{C3380CC4-5D6E-409C-BE32-E72D297353CC}">
              <c16:uniqueId val="{00000004-A0B9-5E4E-901E-6CF38CE718BE}"/>
            </c:ext>
          </c:extLst>
        </c:ser>
        <c:ser>
          <c:idx val="5"/>
          <c:order val="5"/>
          <c:tx>
            <c:strRef>
              <c:f>'INDICADORES FINANCIEROS'!$B$399</c:f>
              <c:strCache>
                <c:ptCount val="1"/>
                <c:pt idx="0">
                  <c:v>IMPUESTO DE RENTA</c:v>
                </c:pt>
              </c:strCache>
            </c:strRef>
          </c:tx>
          <c:spPr>
            <a:solidFill>
              <a:schemeClr val="accent6"/>
            </a:solidFill>
            <a:ln>
              <a:noFill/>
            </a:ln>
            <a:effectLst/>
            <a:sp3d/>
          </c:spPr>
          <c:invertIfNegative val="0"/>
          <c:cat>
            <c:numRef>
              <c:f>'INDICADORES FINANCIEROS'!$C$404</c:f>
              <c:numCache>
                <c:formatCode>m/d/yyyy</c:formatCode>
                <c:ptCount val="1"/>
                <c:pt idx="0">
                  <c:v>42004</c:v>
                </c:pt>
              </c:numCache>
            </c:numRef>
          </c:cat>
          <c:val>
            <c:numRef>
              <c:f>'INDICADORES FINANCIEROS'!$C$399</c:f>
              <c:numCache>
                <c:formatCode>"$"\ #,##0</c:formatCode>
                <c:ptCount val="1"/>
                <c:pt idx="0">
                  <c:v>0</c:v>
                </c:pt>
              </c:numCache>
            </c:numRef>
          </c:val>
          <c:extLst>
            <c:ext xmlns:c16="http://schemas.microsoft.com/office/drawing/2014/chart" uri="{C3380CC4-5D6E-409C-BE32-E72D297353CC}">
              <c16:uniqueId val="{00000005-A0B9-5E4E-901E-6CF38CE718BE}"/>
            </c:ext>
          </c:extLst>
        </c:ser>
        <c:ser>
          <c:idx val="6"/>
          <c:order val="6"/>
          <c:tx>
            <c:strRef>
              <c:f>'INDICADORES FINANCIEROS'!$B$400</c:f>
              <c:strCache>
                <c:ptCount val="1"/>
                <c:pt idx="0">
                  <c:v>UTILIDAD NETA</c:v>
                </c:pt>
              </c:strCache>
            </c:strRef>
          </c:tx>
          <c:spPr>
            <a:solidFill>
              <a:schemeClr val="accent1">
                <a:lumMod val="60000"/>
              </a:schemeClr>
            </a:solidFill>
            <a:ln>
              <a:noFill/>
            </a:ln>
            <a:effectLst/>
            <a:sp3d/>
          </c:spPr>
          <c:invertIfNegative val="0"/>
          <c:cat>
            <c:numRef>
              <c:f>'INDICADORES FINANCIEROS'!$C$404</c:f>
              <c:numCache>
                <c:formatCode>m/d/yyyy</c:formatCode>
                <c:ptCount val="1"/>
                <c:pt idx="0">
                  <c:v>42004</c:v>
                </c:pt>
              </c:numCache>
            </c:numRef>
          </c:cat>
          <c:val>
            <c:numRef>
              <c:f>'INDICADORES FINANCIEROS'!$C$400</c:f>
              <c:numCache>
                <c:formatCode>"$"\ #,##0</c:formatCode>
                <c:ptCount val="1"/>
                <c:pt idx="0">
                  <c:v>8174000</c:v>
                </c:pt>
              </c:numCache>
            </c:numRef>
          </c:val>
          <c:extLst>
            <c:ext xmlns:c16="http://schemas.microsoft.com/office/drawing/2014/chart" uri="{C3380CC4-5D6E-409C-BE32-E72D297353CC}">
              <c16:uniqueId val="{00000006-A0B9-5E4E-901E-6CF38CE718BE}"/>
            </c:ext>
          </c:extLst>
        </c:ser>
        <c:dLbls>
          <c:showLegendKey val="0"/>
          <c:showVal val="0"/>
          <c:showCatName val="0"/>
          <c:showSerName val="0"/>
          <c:showPercent val="0"/>
          <c:showBubbleSize val="0"/>
        </c:dLbls>
        <c:gapWidth val="150"/>
        <c:shape val="box"/>
        <c:axId val="-89489536"/>
        <c:axId val="-89496064"/>
        <c:axId val="0"/>
      </c:bar3DChart>
      <c:dateAx>
        <c:axId val="-89489536"/>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496064"/>
        <c:crosses val="autoZero"/>
        <c:auto val="1"/>
        <c:lblOffset val="100"/>
        <c:baseTimeUnit val="days"/>
      </c:dateAx>
      <c:valAx>
        <c:axId val="-8949606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94895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GRÁFICO COMPARATIVO BALANCE GENERAL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FINANCIEROS'!$B$408</c:f>
              <c:strCache>
                <c:ptCount val="1"/>
                <c:pt idx="0">
                  <c:v>TOTAL ACTIVOS CORRIENTES</c:v>
                </c:pt>
              </c:strCache>
            </c:strRef>
          </c:tx>
          <c:spPr>
            <a:solidFill>
              <a:schemeClr val="accent1"/>
            </a:solidFill>
            <a:ln>
              <a:noFill/>
            </a:ln>
            <a:effectLst/>
            <a:sp3d/>
          </c:spPr>
          <c:invertIfNegative val="0"/>
          <c:cat>
            <c:numRef>
              <c:f>'INDICADORES FINANCIEROS'!$C$425</c:f>
              <c:numCache>
                <c:formatCode>m/d/yyyy</c:formatCode>
                <c:ptCount val="1"/>
                <c:pt idx="0">
                  <c:v>42004</c:v>
                </c:pt>
              </c:numCache>
            </c:numRef>
          </c:cat>
          <c:val>
            <c:numRef>
              <c:f>'INDICADORES FINANCIEROS'!$C$408</c:f>
              <c:numCache>
                <c:formatCode>"$"\ #,##0</c:formatCode>
                <c:ptCount val="1"/>
                <c:pt idx="0">
                  <c:v>57903000</c:v>
                </c:pt>
              </c:numCache>
            </c:numRef>
          </c:val>
          <c:extLst>
            <c:ext xmlns:c16="http://schemas.microsoft.com/office/drawing/2014/chart" uri="{C3380CC4-5D6E-409C-BE32-E72D297353CC}">
              <c16:uniqueId val="{00000000-227E-5E4C-8AFF-3C7DD51E800B}"/>
            </c:ext>
          </c:extLst>
        </c:ser>
        <c:ser>
          <c:idx val="1"/>
          <c:order val="1"/>
          <c:tx>
            <c:strRef>
              <c:f>'INDICADORES FINANCIEROS'!$B$414</c:f>
              <c:strCache>
                <c:ptCount val="1"/>
                <c:pt idx="0">
                  <c:v>TOTAL ACTIVO</c:v>
                </c:pt>
              </c:strCache>
            </c:strRef>
          </c:tx>
          <c:spPr>
            <a:solidFill>
              <a:schemeClr val="accent2"/>
            </a:solidFill>
            <a:ln>
              <a:noFill/>
            </a:ln>
            <a:effectLst/>
            <a:sp3d/>
          </c:spPr>
          <c:invertIfNegative val="0"/>
          <c:cat>
            <c:numRef>
              <c:f>'INDICADORES FINANCIEROS'!$C$425</c:f>
              <c:numCache>
                <c:formatCode>m/d/yyyy</c:formatCode>
                <c:ptCount val="1"/>
                <c:pt idx="0">
                  <c:v>42004</c:v>
                </c:pt>
              </c:numCache>
            </c:numRef>
          </c:cat>
          <c:val>
            <c:numRef>
              <c:f>'INDICADORES FINANCIEROS'!$C$414</c:f>
              <c:numCache>
                <c:formatCode>"$"\ #,##0</c:formatCode>
                <c:ptCount val="1"/>
                <c:pt idx="0">
                  <c:v>657903000</c:v>
                </c:pt>
              </c:numCache>
            </c:numRef>
          </c:val>
          <c:extLst>
            <c:ext xmlns:c16="http://schemas.microsoft.com/office/drawing/2014/chart" uri="{C3380CC4-5D6E-409C-BE32-E72D297353CC}">
              <c16:uniqueId val="{00000001-227E-5E4C-8AFF-3C7DD51E800B}"/>
            </c:ext>
          </c:extLst>
        </c:ser>
        <c:ser>
          <c:idx val="2"/>
          <c:order val="2"/>
          <c:tx>
            <c:strRef>
              <c:f>'INDICADORES FINANCIEROS'!$B$422</c:f>
              <c:strCache>
                <c:ptCount val="1"/>
                <c:pt idx="0">
                  <c:v>TOTAL PASIVO CORRIENTE</c:v>
                </c:pt>
              </c:strCache>
            </c:strRef>
          </c:tx>
          <c:spPr>
            <a:solidFill>
              <a:schemeClr val="accent3"/>
            </a:solidFill>
            <a:ln>
              <a:noFill/>
            </a:ln>
            <a:effectLst/>
            <a:sp3d/>
          </c:spPr>
          <c:invertIfNegative val="0"/>
          <c:cat>
            <c:numRef>
              <c:f>'INDICADORES FINANCIEROS'!$C$425</c:f>
              <c:numCache>
                <c:formatCode>m/d/yyyy</c:formatCode>
                <c:ptCount val="1"/>
                <c:pt idx="0">
                  <c:v>42004</c:v>
                </c:pt>
              </c:numCache>
            </c:numRef>
          </c:cat>
          <c:val>
            <c:numRef>
              <c:f>'INDICADORES FINANCIEROS'!$C$422</c:f>
              <c:numCache>
                <c:formatCode>"$"\ #,##0</c:formatCode>
                <c:ptCount val="1"/>
                <c:pt idx="0">
                  <c:v>29729000</c:v>
                </c:pt>
              </c:numCache>
            </c:numRef>
          </c:val>
          <c:extLst>
            <c:ext xmlns:c16="http://schemas.microsoft.com/office/drawing/2014/chart" uri="{C3380CC4-5D6E-409C-BE32-E72D297353CC}">
              <c16:uniqueId val="{00000002-227E-5E4C-8AFF-3C7DD51E800B}"/>
            </c:ext>
          </c:extLst>
        </c:ser>
        <c:ser>
          <c:idx val="3"/>
          <c:order val="3"/>
          <c:tx>
            <c:strRef>
              <c:f>'INDICADORES FINANCIEROS'!$B$423</c:f>
              <c:strCache>
                <c:ptCount val="1"/>
                <c:pt idx="0">
                  <c:v>TOTAL PASIVO</c:v>
                </c:pt>
              </c:strCache>
            </c:strRef>
          </c:tx>
          <c:spPr>
            <a:solidFill>
              <a:schemeClr val="accent4"/>
            </a:solidFill>
            <a:ln>
              <a:noFill/>
            </a:ln>
            <a:effectLst/>
            <a:sp3d/>
          </c:spPr>
          <c:invertIfNegative val="0"/>
          <c:cat>
            <c:numRef>
              <c:f>'INDICADORES FINANCIEROS'!$C$425</c:f>
              <c:numCache>
                <c:formatCode>m/d/yyyy</c:formatCode>
                <c:ptCount val="1"/>
                <c:pt idx="0">
                  <c:v>42004</c:v>
                </c:pt>
              </c:numCache>
            </c:numRef>
          </c:cat>
          <c:val>
            <c:numRef>
              <c:f>'INDICADORES FINANCIEROS'!$C$423</c:f>
              <c:numCache>
                <c:formatCode>"$"\ #,##0</c:formatCode>
                <c:ptCount val="1"/>
                <c:pt idx="0">
                  <c:v>29729000</c:v>
                </c:pt>
              </c:numCache>
            </c:numRef>
          </c:val>
          <c:extLst>
            <c:ext xmlns:c16="http://schemas.microsoft.com/office/drawing/2014/chart" uri="{C3380CC4-5D6E-409C-BE32-E72D297353CC}">
              <c16:uniqueId val="{00000003-227E-5E4C-8AFF-3C7DD51E800B}"/>
            </c:ext>
          </c:extLst>
        </c:ser>
        <c:ser>
          <c:idx val="4"/>
          <c:order val="4"/>
          <c:tx>
            <c:strRef>
              <c:f>'INDICADORES FINANCIEROS'!$B$430</c:f>
              <c:strCache>
                <c:ptCount val="1"/>
                <c:pt idx="0">
                  <c:v>TOTAL PATRIMONIO</c:v>
                </c:pt>
              </c:strCache>
            </c:strRef>
          </c:tx>
          <c:spPr>
            <a:solidFill>
              <a:schemeClr val="accent5"/>
            </a:solidFill>
            <a:ln>
              <a:noFill/>
            </a:ln>
            <a:effectLst/>
            <a:sp3d/>
          </c:spPr>
          <c:invertIfNegative val="0"/>
          <c:cat>
            <c:numRef>
              <c:f>'INDICADORES FINANCIEROS'!$C$425</c:f>
              <c:numCache>
                <c:formatCode>m/d/yyyy</c:formatCode>
                <c:ptCount val="1"/>
                <c:pt idx="0">
                  <c:v>42004</c:v>
                </c:pt>
              </c:numCache>
            </c:numRef>
          </c:cat>
          <c:val>
            <c:numRef>
              <c:f>'INDICADORES FINANCIEROS'!$C$430</c:f>
              <c:numCache>
                <c:formatCode>"$"\ #,##0</c:formatCode>
                <c:ptCount val="1"/>
                <c:pt idx="0">
                  <c:v>625394000</c:v>
                </c:pt>
              </c:numCache>
            </c:numRef>
          </c:val>
          <c:extLst>
            <c:ext xmlns:c16="http://schemas.microsoft.com/office/drawing/2014/chart" uri="{C3380CC4-5D6E-409C-BE32-E72D297353CC}">
              <c16:uniqueId val="{00000004-227E-5E4C-8AFF-3C7DD51E800B}"/>
            </c:ext>
          </c:extLst>
        </c:ser>
        <c:dLbls>
          <c:showLegendKey val="0"/>
          <c:showVal val="0"/>
          <c:showCatName val="0"/>
          <c:showSerName val="0"/>
          <c:showPercent val="0"/>
          <c:showBubbleSize val="0"/>
        </c:dLbls>
        <c:gapWidth val="150"/>
        <c:shape val="box"/>
        <c:axId val="-94487488"/>
        <c:axId val="-94484768"/>
        <c:axId val="0"/>
      </c:bar3DChart>
      <c:dateAx>
        <c:axId val="-94487488"/>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484768"/>
        <c:crosses val="autoZero"/>
        <c:auto val="1"/>
        <c:lblOffset val="100"/>
        <c:baseTimeUnit val="days"/>
      </c:dateAx>
      <c:valAx>
        <c:axId val="-9448476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4874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20" normalizeH="0" baseline="0">
                <a:solidFill>
                  <a:schemeClr val="tx1">
                    <a:lumMod val="65000"/>
                    <a:lumOff val="35000"/>
                  </a:schemeClr>
                </a:solidFill>
                <a:latin typeface="+mn-lt"/>
                <a:ea typeface="+mn-ea"/>
                <a:cs typeface="+mn-cs"/>
              </a:defRPr>
            </a:pPr>
            <a:r>
              <a:rPr lang="es-CO" sz="1200"/>
              <a:t>VARIACIÓN ESTADO</a:t>
            </a:r>
            <a:r>
              <a:rPr lang="es-CO" sz="1200" baseline="0"/>
              <a:t> DE RESULTADOS 2017-2016</a:t>
            </a:r>
            <a:endParaRPr lang="es-CO" sz="1200"/>
          </a:p>
        </c:rich>
      </c:tx>
      <c:overlay val="0"/>
      <c:spPr>
        <a:noFill/>
        <a:ln>
          <a:noFill/>
        </a:ln>
        <a:effectLst/>
      </c:spPr>
    </c:title>
    <c:autoTitleDeleted val="0"/>
    <c:plotArea>
      <c:layout/>
      <c:lineChart>
        <c:grouping val="standard"/>
        <c:varyColors val="0"/>
        <c:ser>
          <c:idx val="0"/>
          <c:order val="0"/>
          <c:tx>
            <c:strRef>
              <c:f>'INDICADORES FINANCIEROS'!$B$24</c:f>
              <c:strCache>
                <c:ptCount val="1"/>
                <c:pt idx="0">
                  <c:v>INGRESOS OPERACIONALES</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cat>
            <c:numRef>
              <c:f>'INDICADORES FINANCIEROS'!$I$8:$J$8</c:f>
              <c:numCache>
                <c:formatCode>General</c:formatCode>
                <c:ptCount val="2"/>
              </c:numCache>
            </c:numRef>
          </c:cat>
          <c:val>
            <c:numRef>
              <c:f>('INDICADORES FINANCIEROS'!$C$8,'INDICADORES FINANCIEROS'!$F$8)</c:f>
              <c:numCache>
                <c:formatCode>"$"\ #,##0</c:formatCode>
                <c:ptCount val="2"/>
                <c:pt idx="0" formatCode="&quot;$&quot;#,##0_);\(&quot;$&quot;#,##0\)">
                  <c:v>1148878000</c:v>
                </c:pt>
                <c:pt idx="1">
                  <c:v>663086000</c:v>
                </c:pt>
              </c:numCache>
            </c:numRef>
          </c:val>
          <c:smooth val="0"/>
          <c:extLst>
            <c:ext xmlns:c16="http://schemas.microsoft.com/office/drawing/2014/chart" uri="{C3380CC4-5D6E-409C-BE32-E72D297353CC}">
              <c16:uniqueId val="{00000000-A843-8D42-A2A7-C3F6228BCD45}"/>
            </c:ext>
          </c:extLst>
        </c:ser>
        <c:ser>
          <c:idx val="1"/>
          <c:order val="1"/>
          <c:tx>
            <c:strRef>
              <c:f>'INDICADORES FINANCIEROS'!$B$29</c:f>
              <c:strCache>
                <c:ptCount val="1"/>
                <c:pt idx="0">
                  <c:v>UTILIDAD OPERACIONAL</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cat>
            <c:numRef>
              <c:f>'INDICADORES FINANCIEROS'!$I$8:$J$8</c:f>
              <c:numCache>
                <c:formatCode>General</c:formatCode>
                <c:ptCount val="2"/>
              </c:numCache>
            </c:numRef>
          </c:cat>
          <c:val>
            <c:numRef>
              <c:f>('INDICADORES FINANCIEROS'!$C$13,'INDICADORES FINANCIEROS'!$F$13)</c:f>
              <c:numCache>
                <c:formatCode>"$"\ #,##0</c:formatCode>
                <c:ptCount val="2"/>
                <c:pt idx="0" formatCode="&quot;$&quot;#,##0_);\(&quot;$&quot;#,##0\)">
                  <c:v>60171000</c:v>
                </c:pt>
                <c:pt idx="1">
                  <c:v>38383000</c:v>
                </c:pt>
              </c:numCache>
            </c:numRef>
          </c:val>
          <c:smooth val="0"/>
          <c:extLst>
            <c:ext xmlns:c16="http://schemas.microsoft.com/office/drawing/2014/chart" uri="{C3380CC4-5D6E-409C-BE32-E72D297353CC}">
              <c16:uniqueId val="{00000001-A843-8D42-A2A7-C3F6228BCD45}"/>
            </c:ext>
          </c:extLst>
        </c:ser>
        <c:ser>
          <c:idx val="2"/>
          <c:order val="2"/>
          <c:tx>
            <c:strRef>
              <c:f>'INDICADORES FINANCIEROS'!$B$35</c:f>
              <c:strCache>
                <c:ptCount val="1"/>
                <c:pt idx="0">
                  <c:v>UTILIDAD NETA</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cat>
            <c:numRef>
              <c:f>'INDICADORES FINANCIEROS'!$I$8:$J$8</c:f>
              <c:numCache>
                <c:formatCode>General</c:formatCode>
                <c:ptCount val="2"/>
              </c:numCache>
            </c:numRef>
          </c:cat>
          <c:val>
            <c:numRef>
              <c:f>('INDICADORES FINANCIEROS'!$C$19,'INDICADORES FINANCIEROS'!$F$19)</c:f>
              <c:numCache>
                <c:formatCode>"$"\ #,##0</c:formatCode>
                <c:ptCount val="2"/>
                <c:pt idx="0" formatCode="&quot;$&quot;#,##0_);\(&quot;$&quot;#,##0\)">
                  <c:v>31577000</c:v>
                </c:pt>
                <c:pt idx="1">
                  <c:v>23753000</c:v>
                </c:pt>
              </c:numCache>
            </c:numRef>
          </c:val>
          <c:smooth val="0"/>
          <c:extLst>
            <c:ext xmlns:c16="http://schemas.microsoft.com/office/drawing/2014/chart" uri="{C3380CC4-5D6E-409C-BE32-E72D297353CC}">
              <c16:uniqueId val="{00000002-A843-8D42-A2A7-C3F6228BCD45}"/>
            </c:ext>
          </c:extLst>
        </c:ser>
        <c:dLbls>
          <c:showLegendKey val="0"/>
          <c:showVal val="0"/>
          <c:showCatName val="0"/>
          <c:showSerName val="0"/>
          <c:showPercent val="0"/>
          <c:showBubbleSize val="0"/>
        </c:dLbls>
        <c:hiLowLines>
          <c:spPr>
            <a:ln w="9525">
              <a:solidFill>
                <a:schemeClr val="tx1">
                  <a:lumMod val="50000"/>
                  <a:lumOff val="50000"/>
                </a:schemeClr>
              </a:solidFill>
            </a:ln>
            <a:effectLst/>
          </c:spPr>
        </c:hiLowLines>
        <c:marker val="1"/>
        <c:smooth val="0"/>
        <c:axId val="-94486944"/>
        <c:axId val="-94488576"/>
      </c:lineChart>
      <c:catAx>
        <c:axId val="-94486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94488576"/>
        <c:crosses val="autoZero"/>
        <c:auto val="1"/>
        <c:lblAlgn val="ctr"/>
        <c:lblOffset val="100"/>
        <c:noMultiLvlLbl val="0"/>
      </c:catAx>
      <c:valAx>
        <c:axId val="-94488576"/>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4869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VARIACIÓN</a:t>
            </a:r>
            <a:r>
              <a:rPr lang="es-CO" baseline="0"/>
              <a:t> SITUACIÓN FINANCIERA 2017-2016</a:t>
            </a:r>
            <a:endParaRPr lang="es-CO"/>
          </a:p>
        </c:rich>
      </c:tx>
      <c:overlay val="0"/>
      <c:spPr>
        <a:noFill/>
        <a:ln>
          <a:noFill/>
        </a:ln>
        <a:effectLst/>
      </c:spPr>
    </c:title>
    <c:autoTitleDeleted val="0"/>
    <c:plotArea>
      <c:layout/>
      <c:lineChart>
        <c:grouping val="standard"/>
        <c:varyColors val="0"/>
        <c:ser>
          <c:idx val="0"/>
          <c:order val="0"/>
          <c:tx>
            <c:strRef>
              <c:f>'INDICADORES FINANCIEROS'!$B$58</c:f>
              <c:strCache>
                <c:ptCount val="1"/>
                <c:pt idx="0">
                  <c:v>TOTAL ACTIVOS CORRIENTES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'INDICADORES FINANCIEROS'!$I$8:$J$8</c:f>
              <c:numCache>
                <c:formatCode>General</c:formatCode>
                <c:ptCount val="2"/>
              </c:numCache>
            </c:numRef>
          </c:cat>
          <c:val>
            <c:numRef>
              <c:f>('INDICADORES FINANCIEROS'!$C$58,'INDICADORES FINANCIEROS'!$F$58)</c:f>
              <c:numCache>
                <c:formatCode>"$"\ #,##0</c:formatCode>
                <c:ptCount val="2"/>
                <c:pt idx="0" formatCode="&quot;$&quot;\ #,##0_);[Red]\(&quot;$&quot;\ #,##0\)">
                  <c:v>436704000</c:v>
                </c:pt>
                <c:pt idx="1">
                  <c:v>137056000</c:v>
                </c:pt>
              </c:numCache>
            </c:numRef>
          </c:val>
          <c:smooth val="0"/>
          <c:extLst>
            <c:ext xmlns:c16="http://schemas.microsoft.com/office/drawing/2014/chart" uri="{C3380CC4-5D6E-409C-BE32-E72D297353CC}">
              <c16:uniqueId val="{00000000-E653-4A42-8C05-BC023EDF4DA9}"/>
            </c:ext>
          </c:extLst>
        </c:ser>
        <c:ser>
          <c:idx val="1"/>
          <c:order val="1"/>
          <c:tx>
            <c:strRef>
              <c:f>'INDICADORES FINANCIEROS'!$B$62</c:f>
              <c:strCache>
                <c:ptCount val="1"/>
                <c:pt idx="0">
                  <c:v>TOTAL ACTIVO</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'INDICADORES FINANCIEROS'!$I$8:$J$8</c:f>
              <c:numCache>
                <c:formatCode>General</c:formatCode>
                <c:ptCount val="2"/>
              </c:numCache>
            </c:numRef>
          </c:cat>
          <c:val>
            <c:numRef>
              <c:f>('INDICADORES FINANCIEROS'!$C$62,'INDICADORES FINANCIEROS'!$F$62)</c:f>
              <c:numCache>
                <c:formatCode>"$"\ #,##0</c:formatCode>
                <c:ptCount val="2"/>
                <c:pt idx="0" formatCode="&quot;$&quot;\ #,##0_);[Red]\(&quot;$&quot;\ #,##0\)">
                  <c:v>1010330000</c:v>
                </c:pt>
                <c:pt idx="1">
                  <c:v>859045000</c:v>
                </c:pt>
              </c:numCache>
            </c:numRef>
          </c:val>
          <c:smooth val="0"/>
          <c:extLst>
            <c:ext xmlns:c16="http://schemas.microsoft.com/office/drawing/2014/chart" uri="{C3380CC4-5D6E-409C-BE32-E72D297353CC}">
              <c16:uniqueId val="{00000001-E653-4A42-8C05-BC023EDF4DA9}"/>
            </c:ext>
          </c:extLst>
        </c:ser>
        <c:ser>
          <c:idx val="2"/>
          <c:order val="2"/>
          <c:tx>
            <c:strRef>
              <c:f>'INDICADORES FINANCIEROS'!$B$71</c:f>
              <c:strCache>
                <c:ptCount val="1"/>
                <c:pt idx="0">
                  <c:v>TOTAL PASIVO CORRIENTE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'INDICADORES FINANCIEROS'!$I$8:$J$8</c:f>
              <c:numCache>
                <c:formatCode>General</c:formatCode>
                <c:ptCount val="2"/>
              </c:numCache>
            </c:numRef>
          </c:cat>
          <c:val>
            <c:numRef>
              <c:f>('INDICADORES FINANCIEROS'!$C$71,'INDICADORES FINANCIEROS'!$F$71)</c:f>
              <c:numCache>
                <c:formatCode>[$$-240A]\ #,##0</c:formatCode>
                <c:ptCount val="2"/>
                <c:pt idx="0" formatCode="&quot;$&quot;\ #,##0">
                  <c:v>281788000</c:v>
                </c:pt>
                <c:pt idx="1">
                  <c:v>162080000</c:v>
                </c:pt>
              </c:numCache>
            </c:numRef>
          </c:val>
          <c:smooth val="0"/>
          <c:extLst>
            <c:ext xmlns:c16="http://schemas.microsoft.com/office/drawing/2014/chart" uri="{C3380CC4-5D6E-409C-BE32-E72D297353CC}">
              <c16:uniqueId val="{00000002-E653-4A42-8C05-BC023EDF4DA9}"/>
            </c:ext>
          </c:extLst>
        </c:ser>
        <c:ser>
          <c:idx val="3"/>
          <c:order val="3"/>
          <c:tx>
            <c:strRef>
              <c:f>'INDICADORES FINANCIEROS'!$B$72</c:f>
              <c:strCache>
                <c:ptCount val="1"/>
                <c:pt idx="0">
                  <c:v>TOTAL PASIVO</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'INDICADORES FINANCIEROS'!$I$8:$J$8</c:f>
              <c:numCache>
                <c:formatCode>General</c:formatCode>
                <c:ptCount val="2"/>
              </c:numCache>
            </c:numRef>
          </c:cat>
          <c:val>
            <c:numRef>
              <c:f>('INDICADORES FINANCIEROS'!$C$72,'INDICADORES FINANCIEROS'!$F$72)</c:f>
              <c:numCache>
                <c:formatCode>[$$-240A]\ #,##0</c:formatCode>
                <c:ptCount val="2"/>
                <c:pt idx="0" formatCode="&quot;$&quot;\ #,##0">
                  <c:v>281788000</c:v>
                </c:pt>
                <c:pt idx="1">
                  <c:v>162080000</c:v>
                </c:pt>
              </c:numCache>
            </c:numRef>
          </c:val>
          <c:smooth val="0"/>
          <c:extLst>
            <c:ext xmlns:c16="http://schemas.microsoft.com/office/drawing/2014/chart" uri="{C3380CC4-5D6E-409C-BE32-E72D297353CC}">
              <c16:uniqueId val="{00000003-E653-4A42-8C05-BC023EDF4DA9}"/>
            </c:ext>
          </c:extLst>
        </c:ser>
        <c:ser>
          <c:idx val="4"/>
          <c:order val="4"/>
          <c:tx>
            <c:strRef>
              <c:f>'INDICADORES FINANCIEROS'!$B$79</c:f>
              <c:strCache>
                <c:ptCount val="1"/>
                <c:pt idx="0">
                  <c:v>TOTAL PATRIMONIO</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'INDICADORES FINANCIEROS'!$I$8:$J$8</c:f>
              <c:numCache>
                <c:formatCode>General</c:formatCode>
                <c:ptCount val="2"/>
              </c:numCache>
            </c:numRef>
          </c:cat>
          <c:val>
            <c:numRef>
              <c:f>('INDICADORES FINANCIEROS'!$C$79,'INDICADORES FINANCIEROS'!$F$79)</c:f>
              <c:numCache>
                <c:formatCode>"$"\ #,##0</c:formatCode>
                <c:ptCount val="2"/>
                <c:pt idx="0">
                  <c:v>728542000</c:v>
                </c:pt>
                <c:pt idx="1">
                  <c:v>696965000</c:v>
                </c:pt>
              </c:numCache>
            </c:numRef>
          </c:val>
          <c:smooth val="0"/>
          <c:extLst>
            <c:ext xmlns:c16="http://schemas.microsoft.com/office/drawing/2014/chart" uri="{C3380CC4-5D6E-409C-BE32-E72D297353CC}">
              <c16:uniqueId val="{00000004-E653-4A42-8C05-BC023EDF4DA9}"/>
            </c:ext>
          </c:extLst>
        </c:ser>
        <c:dLbls>
          <c:showLegendKey val="0"/>
          <c:showVal val="0"/>
          <c:showCatName val="0"/>
          <c:showSerName val="0"/>
          <c:showPercent val="0"/>
          <c:showBubbleSize val="0"/>
        </c:dLbls>
        <c:marker val="1"/>
        <c:smooth val="0"/>
        <c:axId val="-94485856"/>
        <c:axId val="-94486400"/>
      </c:lineChart>
      <c:catAx>
        <c:axId val="-94485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486400"/>
        <c:crosses val="autoZero"/>
        <c:auto val="1"/>
        <c:lblAlgn val="ctr"/>
        <c:lblOffset val="100"/>
        <c:noMultiLvlLbl val="0"/>
      </c:catAx>
      <c:valAx>
        <c:axId val="-94486400"/>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448585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2017</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FINANCIEROS'!$D$8</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FINANCIEROS'!$B$25</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FINANCIEROS'!$D$9</c:f>
              <c:numCache>
                <c:formatCode>0.00%</c:formatCode>
                <c:ptCount val="1"/>
                <c:pt idx="0">
                  <c:v>0.87969305705218481</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FINANCIEROS'!$C$495</c:f>
              <c:numCache>
                <c:formatCode>0.00%</c:formatCode>
                <c:ptCount val="1"/>
                <c:pt idx="0">
                  <c:v>0.12030694294781517</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FINANCIEROS'!$C$496</c:f>
              <c:numCache>
                <c:formatCode>0.00%</c:formatCode>
                <c:ptCount val="1"/>
                <c:pt idx="0">
                  <c:v>5.2373707216954279E-2</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FINANCIEROS'!$C$497</c:f>
              <c:numCache>
                <c:formatCode>0.00%</c:formatCode>
                <c:ptCount val="1"/>
                <c:pt idx="0">
                  <c:v>2.74850767444411E-2</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740663488"/>
        <c:axId val="-740659680"/>
        <c:axId val="0"/>
      </c:bar3DChart>
      <c:catAx>
        <c:axId val="-740663488"/>
        <c:scaling>
          <c:orientation val="minMax"/>
        </c:scaling>
        <c:delete val="0"/>
        <c:axPos val="l"/>
        <c:majorTickMark val="none"/>
        <c:minorTickMark val="none"/>
        <c:tickLblPos val="nextTo"/>
        <c:crossAx val="-740659680"/>
        <c:crosses val="autoZero"/>
        <c:auto val="1"/>
        <c:lblAlgn val="ctr"/>
        <c:lblOffset val="100"/>
        <c:noMultiLvlLbl val="0"/>
      </c:catAx>
      <c:valAx>
        <c:axId val="-740659680"/>
        <c:scaling>
          <c:orientation val="minMax"/>
        </c:scaling>
        <c:delete val="0"/>
        <c:axPos val="b"/>
        <c:majorGridlines/>
        <c:numFmt formatCode="0.00%" sourceLinked="1"/>
        <c:majorTickMark val="none"/>
        <c:minorTickMark val="none"/>
        <c:tickLblPos val="nextTo"/>
        <c:crossAx val="-74066348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2014</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FINANCIEROS'!$G$40</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FINANCIEROS'!$B$25</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FINANCIEROS'!$G$41</c:f>
              <c:numCache>
                <c:formatCode>0.00%</c:formatCode>
                <c:ptCount val="1"/>
                <c:pt idx="0">
                  <c:v>0.83688286544046464</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FINANCIEROS'!$J$495</c:f>
              <c:numCache>
                <c:formatCode>0.00%</c:formatCode>
                <c:ptCount val="1"/>
                <c:pt idx="0">
                  <c:v>0.16311713455953533</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FINANCIEROS'!$J$496</c:f>
              <c:numCache>
                <c:formatCode>0.00%</c:formatCode>
                <c:ptCount val="1"/>
                <c:pt idx="0">
                  <c:v>0.13188125201677961</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FINANCIEROS'!$J$497</c:f>
              <c:numCache>
                <c:formatCode>0.00%</c:formatCode>
                <c:ptCount val="1"/>
                <c:pt idx="0">
                  <c:v>0.13188125201677961</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740679808"/>
        <c:axId val="-740633024"/>
        <c:axId val="0"/>
      </c:bar3DChart>
      <c:catAx>
        <c:axId val="-740679808"/>
        <c:scaling>
          <c:orientation val="minMax"/>
        </c:scaling>
        <c:delete val="0"/>
        <c:axPos val="l"/>
        <c:majorTickMark val="none"/>
        <c:minorTickMark val="none"/>
        <c:tickLblPos val="nextTo"/>
        <c:crossAx val="-740633024"/>
        <c:crosses val="autoZero"/>
        <c:auto val="1"/>
        <c:lblAlgn val="ctr"/>
        <c:lblOffset val="100"/>
        <c:noMultiLvlLbl val="0"/>
      </c:catAx>
      <c:valAx>
        <c:axId val="-740633024"/>
        <c:scaling>
          <c:orientation val="minMax"/>
        </c:scaling>
        <c:delete val="0"/>
        <c:axPos val="b"/>
        <c:majorGridlines/>
        <c:numFmt formatCode="0.00%" sourceLinked="1"/>
        <c:majorTickMark val="none"/>
        <c:minorTickMark val="none"/>
        <c:tickLblPos val="nextTo"/>
        <c:crossAx val="-7406798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2015</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FINANCIEROS'!$G$24</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FINANCIEROS'!$B$25</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FINANCIEROS'!$G$25</c:f>
              <c:numCache>
                <c:formatCode>0.00%</c:formatCode>
                <c:ptCount val="1"/>
                <c:pt idx="0">
                  <c:v>0.70722841152779958</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FINANCIEROS'!$G$495</c:f>
              <c:numCache>
                <c:formatCode>0.00%</c:formatCode>
                <c:ptCount val="1"/>
                <c:pt idx="0">
                  <c:v>0.29277158847220042</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FINANCIEROS'!$G$496</c:f>
              <c:numCache>
                <c:formatCode>0.00%</c:formatCode>
                <c:ptCount val="1"/>
                <c:pt idx="0">
                  <c:v>0.209831987958459</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FINANCIEROS'!$G$497</c:f>
              <c:numCache>
                <c:formatCode>0.00%</c:formatCode>
                <c:ptCount val="1"/>
                <c:pt idx="0">
                  <c:v>0.1389484573228493</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740628128"/>
        <c:axId val="-740648256"/>
        <c:axId val="0"/>
      </c:bar3DChart>
      <c:catAx>
        <c:axId val="-740628128"/>
        <c:scaling>
          <c:orientation val="minMax"/>
        </c:scaling>
        <c:delete val="0"/>
        <c:axPos val="l"/>
        <c:majorTickMark val="none"/>
        <c:minorTickMark val="none"/>
        <c:tickLblPos val="nextTo"/>
        <c:crossAx val="-740648256"/>
        <c:crosses val="autoZero"/>
        <c:auto val="1"/>
        <c:lblAlgn val="ctr"/>
        <c:lblOffset val="100"/>
        <c:noMultiLvlLbl val="0"/>
      </c:catAx>
      <c:valAx>
        <c:axId val="-740648256"/>
        <c:scaling>
          <c:orientation val="minMax"/>
        </c:scaling>
        <c:delete val="0"/>
        <c:axPos val="b"/>
        <c:majorGridlines/>
        <c:numFmt formatCode="0.00%" sourceLinked="1"/>
        <c:majorTickMark val="none"/>
        <c:minorTickMark val="none"/>
        <c:tickLblPos val="nextTo"/>
        <c:crossAx val="-74062812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HORIZONTAL-ESTADO DE RESULTADOS 2017-2016</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4"/>
          <c:order val="0"/>
          <c:tx>
            <c:v>INGRESOS OPERACIONALES</c:v>
          </c:tx>
          <c:spPr>
            <a:solidFill>
              <a:schemeClr val="accent5"/>
            </a:solidFill>
            <a:ln>
              <a:noFill/>
            </a:ln>
            <a:effectLst/>
            <a:sp3d/>
          </c:spPr>
          <c:invertIfNegative val="0"/>
          <c:val>
            <c:numRef>
              <c:f>'INDICADORES FINANCIEROS'!$E$8</c:f>
              <c:numCache>
                <c:formatCode>0.00%</c:formatCode>
                <c:ptCount val="1"/>
                <c:pt idx="0">
                  <c:v>0.73262291769091803</c:v>
                </c:pt>
              </c:numCache>
            </c:numRef>
          </c:val>
          <c:extLst>
            <c:ext xmlns:c16="http://schemas.microsoft.com/office/drawing/2014/chart" uri="{C3380CC4-5D6E-409C-BE32-E72D297353CC}">
              <c16:uniqueId val="{00000000-899C-4AA2-81DD-FC1BE7131882}"/>
            </c:ext>
          </c:extLst>
        </c:ser>
        <c:ser>
          <c:idx val="3"/>
          <c:order val="1"/>
          <c:tx>
            <c:v>COSTOS DE VENTAS</c:v>
          </c:tx>
          <c:spPr>
            <a:solidFill>
              <a:schemeClr val="accent4"/>
            </a:solidFill>
            <a:ln>
              <a:noFill/>
            </a:ln>
            <a:effectLst/>
            <a:sp3d/>
          </c:spPr>
          <c:invertIfNegative val="0"/>
          <c:val>
            <c:numRef>
              <c:f>'INDICADORES FINANCIEROS'!$E$9</c:f>
              <c:numCache>
                <c:formatCode>0.00%</c:formatCode>
                <c:ptCount val="1"/>
                <c:pt idx="0">
                  <c:v>0.77447305352424256</c:v>
                </c:pt>
              </c:numCache>
            </c:numRef>
          </c:val>
          <c:extLst>
            <c:ext xmlns:c16="http://schemas.microsoft.com/office/drawing/2014/chart" uri="{C3380CC4-5D6E-409C-BE32-E72D297353CC}">
              <c16:uniqueId val="{00000001-899C-4AA2-81DD-FC1BE7131882}"/>
            </c:ext>
          </c:extLst>
        </c:ser>
        <c:ser>
          <c:idx val="2"/>
          <c:order val="2"/>
          <c:tx>
            <c:v>UTILIDAD BRUTA</c:v>
          </c:tx>
          <c:spPr>
            <a:solidFill>
              <a:schemeClr val="accent3"/>
            </a:solidFill>
            <a:ln>
              <a:noFill/>
            </a:ln>
            <a:effectLst/>
            <a:sp3d/>
          </c:spPr>
          <c:invertIfNegative val="0"/>
          <c:val>
            <c:numRef>
              <c:f>'INDICADORES FINANCIEROS'!$E$10</c:f>
              <c:numCache>
                <c:formatCode>0.00%</c:formatCode>
                <c:ptCount val="1"/>
                <c:pt idx="0">
                  <c:v>0.4777774213896997</c:v>
                </c:pt>
              </c:numCache>
            </c:numRef>
          </c:val>
          <c:extLst>
            <c:ext xmlns:c16="http://schemas.microsoft.com/office/drawing/2014/chart" uri="{C3380CC4-5D6E-409C-BE32-E72D297353CC}">
              <c16:uniqueId val="{00000002-899C-4AA2-81DD-FC1BE7131882}"/>
            </c:ext>
          </c:extLst>
        </c:ser>
        <c:ser>
          <c:idx val="1"/>
          <c:order val="3"/>
          <c:tx>
            <c:v>UTILIDAD OPERACIONAL</c:v>
          </c:tx>
          <c:spPr>
            <a:solidFill>
              <a:schemeClr val="accent2"/>
            </a:solidFill>
            <a:ln>
              <a:noFill/>
            </a:ln>
            <a:effectLst/>
            <a:sp3d/>
          </c:spPr>
          <c:invertIfNegative val="0"/>
          <c:val>
            <c:numRef>
              <c:f>'INDICADORES FINANCIEROS'!$E$13</c:f>
              <c:numCache>
                <c:formatCode>0.00%</c:formatCode>
                <c:ptCount val="1"/>
                <c:pt idx="0">
                  <c:v>0.56764713545059009</c:v>
                </c:pt>
              </c:numCache>
            </c:numRef>
          </c:val>
          <c:extLst>
            <c:ext xmlns:c16="http://schemas.microsoft.com/office/drawing/2014/chart" uri="{C3380CC4-5D6E-409C-BE32-E72D297353CC}">
              <c16:uniqueId val="{00000003-899C-4AA2-81DD-FC1BE7131882}"/>
            </c:ext>
          </c:extLst>
        </c:ser>
        <c:ser>
          <c:idx val="0"/>
          <c:order val="4"/>
          <c:tx>
            <c:v>UTILIDAD NETA</c:v>
          </c:tx>
          <c:spPr>
            <a:solidFill>
              <a:schemeClr val="accent1"/>
            </a:solidFill>
            <a:ln>
              <a:noFill/>
            </a:ln>
            <a:effectLst/>
            <a:sp3d/>
          </c:spPr>
          <c:invertIfNegative val="0"/>
          <c:val>
            <c:numRef>
              <c:f>'INDICADORES FINANCIEROS'!$E$19</c:f>
              <c:numCache>
                <c:formatCode>0.00%</c:formatCode>
                <c:ptCount val="1"/>
                <c:pt idx="0">
                  <c:v>0.32938997179303664</c:v>
                </c:pt>
              </c:numCache>
            </c:numRef>
          </c:val>
          <c:extLst>
            <c:ext xmlns:c16="http://schemas.microsoft.com/office/drawing/2014/chart" uri="{C3380CC4-5D6E-409C-BE32-E72D297353CC}">
              <c16:uniqueId val="{00000004-899C-4AA2-81DD-FC1BE7131882}"/>
            </c:ext>
          </c:extLst>
        </c:ser>
        <c:dLbls>
          <c:showLegendKey val="0"/>
          <c:showVal val="0"/>
          <c:showCatName val="0"/>
          <c:showSerName val="0"/>
          <c:showPercent val="0"/>
          <c:showBubbleSize val="0"/>
        </c:dLbls>
        <c:gapWidth val="150"/>
        <c:shape val="box"/>
        <c:axId val="-740645536"/>
        <c:axId val="-423928416"/>
        <c:axId val="0"/>
      </c:bar3DChart>
      <c:catAx>
        <c:axId val="-740645536"/>
        <c:scaling>
          <c:orientation val="minMax"/>
        </c:scaling>
        <c:delete val="1"/>
        <c:axPos val="l"/>
        <c:majorTickMark val="none"/>
        <c:minorTickMark val="none"/>
        <c:tickLblPos val="nextTo"/>
        <c:crossAx val="-423928416"/>
        <c:crosses val="autoZero"/>
        <c:auto val="1"/>
        <c:lblAlgn val="ctr"/>
        <c:lblOffset val="100"/>
        <c:noMultiLvlLbl val="0"/>
      </c:catAx>
      <c:valAx>
        <c:axId val="-4239284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7406455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HORIZONTAL-ESTADO DE RESULTADOS 2015-2014</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4"/>
          <c:order val="0"/>
          <c:tx>
            <c:v>INGRESOS OPERACIONALES</c:v>
          </c:tx>
          <c:spPr>
            <a:solidFill>
              <a:schemeClr val="accent5"/>
            </a:solidFill>
            <a:ln>
              <a:noFill/>
            </a:ln>
            <a:effectLst/>
            <a:sp3d/>
          </c:spPr>
          <c:invertIfNegative val="0"/>
          <c:val>
            <c:numRef>
              <c:f>'INDICADORES FINANCIEROS'!$E$40</c:f>
              <c:numCache>
                <c:formatCode>0.00%</c:formatCode>
                <c:ptCount val="1"/>
                <c:pt idx="0">
                  <c:v>4.5524685382381413</c:v>
                </c:pt>
              </c:numCache>
            </c:numRef>
          </c:val>
          <c:extLst>
            <c:ext xmlns:c16="http://schemas.microsoft.com/office/drawing/2014/chart" uri="{C3380CC4-5D6E-409C-BE32-E72D297353CC}">
              <c16:uniqueId val="{00000000-899C-4AA2-81DD-FC1BE7131882}"/>
            </c:ext>
          </c:extLst>
        </c:ser>
        <c:ser>
          <c:idx val="3"/>
          <c:order val="1"/>
          <c:tx>
            <c:v>COSTOS DE VENTAS</c:v>
          </c:tx>
          <c:spPr>
            <a:solidFill>
              <a:schemeClr val="accent4"/>
            </a:solidFill>
            <a:ln>
              <a:noFill/>
            </a:ln>
            <a:effectLst/>
            <a:sp3d/>
          </c:spPr>
          <c:invertIfNegative val="0"/>
          <c:val>
            <c:numRef>
              <c:f>'INDICADORES FINANCIEROS'!$E$41</c:f>
              <c:numCache>
                <c:formatCode>0.00%</c:formatCode>
                <c:ptCount val="1"/>
                <c:pt idx="0">
                  <c:v>3.6922498554077503</c:v>
                </c:pt>
              </c:numCache>
            </c:numRef>
          </c:val>
          <c:extLst>
            <c:ext xmlns:c16="http://schemas.microsoft.com/office/drawing/2014/chart" uri="{C3380CC4-5D6E-409C-BE32-E72D297353CC}">
              <c16:uniqueId val="{00000001-899C-4AA2-81DD-FC1BE7131882}"/>
            </c:ext>
          </c:extLst>
        </c:ser>
        <c:ser>
          <c:idx val="2"/>
          <c:order val="2"/>
          <c:tx>
            <c:v>UTILIDAD BRUTA</c:v>
          </c:tx>
          <c:spPr>
            <a:solidFill>
              <a:schemeClr val="accent3"/>
            </a:solidFill>
            <a:ln>
              <a:noFill/>
            </a:ln>
            <a:effectLst/>
            <a:sp3d/>
          </c:spPr>
          <c:invertIfNegative val="0"/>
          <c:val>
            <c:numRef>
              <c:f>'INDICADORES FINANCIEROS'!$E$42</c:f>
              <c:numCache>
                <c:formatCode>0.00%</c:formatCode>
                <c:ptCount val="1"/>
                <c:pt idx="0">
                  <c:v>8.965875370919882</c:v>
                </c:pt>
              </c:numCache>
            </c:numRef>
          </c:val>
          <c:extLst>
            <c:ext xmlns:c16="http://schemas.microsoft.com/office/drawing/2014/chart" uri="{C3380CC4-5D6E-409C-BE32-E72D297353CC}">
              <c16:uniqueId val="{00000002-899C-4AA2-81DD-FC1BE7131882}"/>
            </c:ext>
          </c:extLst>
        </c:ser>
        <c:ser>
          <c:idx val="1"/>
          <c:order val="3"/>
          <c:tx>
            <c:v>UTILIDAD OPERACIONAL</c:v>
          </c:tx>
          <c:spPr>
            <a:solidFill>
              <a:schemeClr val="accent2"/>
            </a:solidFill>
            <a:ln>
              <a:noFill/>
            </a:ln>
            <a:effectLst/>
            <a:sp3d/>
          </c:spPr>
          <c:invertIfNegative val="0"/>
          <c:val>
            <c:numRef>
              <c:f>'INDICADORES FINANCIEROS'!$E$44</c:f>
              <c:numCache>
                <c:formatCode>0.00%</c:formatCode>
                <c:ptCount val="1"/>
                <c:pt idx="0">
                  <c:v>7.8343528260337649</c:v>
                </c:pt>
              </c:numCache>
            </c:numRef>
          </c:val>
          <c:extLst>
            <c:ext xmlns:c16="http://schemas.microsoft.com/office/drawing/2014/chart" uri="{C3380CC4-5D6E-409C-BE32-E72D297353CC}">
              <c16:uniqueId val="{00000003-899C-4AA2-81DD-FC1BE7131882}"/>
            </c:ext>
          </c:extLst>
        </c:ser>
        <c:ser>
          <c:idx val="0"/>
          <c:order val="4"/>
          <c:tx>
            <c:v>UTILIDAD NETA</c:v>
          </c:tx>
          <c:spPr>
            <a:solidFill>
              <a:schemeClr val="accent1"/>
            </a:solidFill>
            <a:ln>
              <a:noFill/>
            </a:ln>
            <a:effectLst/>
            <a:sp3d/>
          </c:spPr>
          <c:invertIfNegative val="0"/>
          <c:val>
            <c:numRef>
              <c:f>'INDICADORES FINANCIEROS'!$E$50</c:f>
              <c:numCache>
                <c:formatCode>0.00%</c:formatCode>
                <c:ptCount val="1"/>
                <c:pt idx="0">
                  <c:v>4.8500122339124054</c:v>
                </c:pt>
              </c:numCache>
            </c:numRef>
          </c:val>
          <c:extLst>
            <c:ext xmlns:c16="http://schemas.microsoft.com/office/drawing/2014/chart" uri="{C3380CC4-5D6E-409C-BE32-E72D297353CC}">
              <c16:uniqueId val="{00000004-899C-4AA2-81DD-FC1BE7131882}"/>
            </c:ext>
          </c:extLst>
        </c:ser>
        <c:dLbls>
          <c:showLegendKey val="0"/>
          <c:showVal val="0"/>
          <c:showCatName val="0"/>
          <c:showSerName val="0"/>
          <c:showPercent val="0"/>
          <c:showBubbleSize val="0"/>
        </c:dLbls>
        <c:gapWidth val="150"/>
        <c:shape val="box"/>
        <c:axId val="-423916992"/>
        <c:axId val="-423901216"/>
        <c:axId val="0"/>
      </c:bar3DChart>
      <c:catAx>
        <c:axId val="-423916992"/>
        <c:scaling>
          <c:orientation val="minMax"/>
        </c:scaling>
        <c:delete val="1"/>
        <c:axPos val="l"/>
        <c:majorTickMark val="none"/>
        <c:minorTickMark val="none"/>
        <c:tickLblPos val="nextTo"/>
        <c:crossAx val="-423901216"/>
        <c:crosses val="autoZero"/>
        <c:auto val="1"/>
        <c:lblAlgn val="ctr"/>
        <c:lblOffset val="100"/>
        <c:noMultiLvlLbl val="0"/>
      </c:catAx>
      <c:valAx>
        <c:axId val="-42390121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169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20" normalizeH="0" baseline="0">
                <a:solidFill>
                  <a:schemeClr val="tx1">
                    <a:lumMod val="65000"/>
                    <a:lumOff val="35000"/>
                  </a:schemeClr>
                </a:solidFill>
                <a:latin typeface="+mn-lt"/>
                <a:ea typeface="+mn-ea"/>
                <a:cs typeface="+mn-cs"/>
              </a:defRPr>
            </a:pPr>
            <a:r>
              <a:rPr lang="es-CO" sz="1200"/>
              <a:t>VARIACIÓN ESTADO</a:t>
            </a:r>
            <a:r>
              <a:rPr lang="es-CO" sz="1200" baseline="0"/>
              <a:t> DE RESULTADOS 2016-2015</a:t>
            </a:r>
            <a:endParaRPr lang="es-CO" sz="1200"/>
          </a:p>
        </c:rich>
      </c:tx>
      <c:overlay val="0"/>
      <c:spPr>
        <a:noFill/>
        <a:ln>
          <a:noFill/>
        </a:ln>
        <a:effectLst/>
      </c:spPr>
    </c:title>
    <c:autoTitleDeleted val="0"/>
    <c:plotArea>
      <c:layout/>
      <c:lineChart>
        <c:grouping val="standard"/>
        <c:varyColors val="0"/>
        <c:ser>
          <c:idx val="0"/>
          <c:order val="0"/>
          <c:tx>
            <c:strRef>
              <c:f>'INDICADORES FINANCIEROS'!$B$24</c:f>
              <c:strCache>
                <c:ptCount val="1"/>
                <c:pt idx="0">
                  <c:v>INGRESOS OPERACIONALES</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cat>
            <c:numRef>
              <c:f>'INDICADORES FINANCIEROS'!$I$23:$J$23</c:f>
              <c:numCache>
                <c:formatCode>General</c:formatCode>
                <c:ptCount val="2"/>
              </c:numCache>
            </c:numRef>
          </c:cat>
          <c:val>
            <c:numRef>
              <c:f>('INDICADORES FINANCIEROS'!$C$24,'INDICADORES FINANCIEROS'!$F$24)</c:f>
              <c:numCache>
                <c:formatCode>"$"\ #,##0</c:formatCode>
                <c:ptCount val="2"/>
                <c:pt idx="0" formatCode="&quot;$&quot;\ #,##0_);[Red]\(&quot;$&quot;\ #,##0\)">
                  <c:v>663086000</c:v>
                </c:pt>
                <c:pt idx="1">
                  <c:v>344142000</c:v>
                </c:pt>
              </c:numCache>
            </c:numRef>
          </c:val>
          <c:smooth val="0"/>
          <c:extLst>
            <c:ext xmlns:c16="http://schemas.microsoft.com/office/drawing/2014/chart" uri="{C3380CC4-5D6E-409C-BE32-E72D297353CC}">
              <c16:uniqueId val="{00000000-A735-8449-A1E7-9B2691E59FD1}"/>
            </c:ext>
          </c:extLst>
        </c:ser>
        <c:ser>
          <c:idx val="1"/>
          <c:order val="1"/>
          <c:tx>
            <c:strRef>
              <c:f>'INDICADORES FINANCIEROS'!$B$29</c:f>
              <c:strCache>
                <c:ptCount val="1"/>
                <c:pt idx="0">
                  <c:v>UTILIDAD OPERACIONAL</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cat>
            <c:numRef>
              <c:f>'INDICADORES FINANCIEROS'!$I$23:$J$23</c:f>
              <c:numCache>
                <c:formatCode>General</c:formatCode>
                <c:ptCount val="2"/>
              </c:numCache>
            </c:numRef>
          </c:cat>
          <c:val>
            <c:numRef>
              <c:f>('INDICADORES FINANCIEROS'!$C$29,'INDICADORES FINANCIEROS'!$F$29)</c:f>
              <c:numCache>
                <c:formatCode>"$"\ #,##0</c:formatCode>
                <c:ptCount val="2"/>
                <c:pt idx="0" formatCode="[$$-240A]\ #,##0">
                  <c:v>38383000</c:v>
                </c:pt>
                <c:pt idx="1">
                  <c:v>72212000</c:v>
                </c:pt>
              </c:numCache>
            </c:numRef>
          </c:val>
          <c:smooth val="0"/>
          <c:extLst>
            <c:ext xmlns:c16="http://schemas.microsoft.com/office/drawing/2014/chart" uri="{C3380CC4-5D6E-409C-BE32-E72D297353CC}">
              <c16:uniqueId val="{00000001-A735-8449-A1E7-9B2691E59FD1}"/>
            </c:ext>
          </c:extLst>
        </c:ser>
        <c:ser>
          <c:idx val="2"/>
          <c:order val="2"/>
          <c:tx>
            <c:strRef>
              <c:f>'INDICADORES FINANCIEROS'!$B$35</c:f>
              <c:strCache>
                <c:ptCount val="1"/>
                <c:pt idx="0">
                  <c:v>UTILIDAD NETA</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cat>
            <c:numRef>
              <c:f>'INDICADORES FINANCIEROS'!$I$23:$J$23</c:f>
              <c:numCache>
                <c:formatCode>General</c:formatCode>
                <c:ptCount val="2"/>
              </c:numCache>
            </c:numRef>
          </c:cat>
          <c:val>
            <c:numRef>
              <c:f>('INDICADORES FINANCIEROS'!$C$35,'INDICADORES FINANCIEROS'!$F$35)</c:f>
              <c:numCache>
                <c:formatCode>"$"\ #,##0</c:formatCode>
                <c:ptCount val="2"/>
                <c:pt idx="0" formatCode="[$$-240A]\ #,##0">
                  <c:v>23753000</c:v>
                </c:pt>
                <c:pt idx="1">
                  <c:v>47818000</c:v>
                </c:pt>
              </c:numCache>
            </c:numRef>
          </c:val>
          <c:smooth val="0"/>
          <c:extLst>
            <c:ext xmlns:c16="http://schemas.microsoft.com/office/drawing/2014/chart" uri="{C3380CC4-5D6E-409C-BE32-E72D297353CC}">
              <c16:uniqueId val="{00000002-A735-8449-A1E7-9B2691E59FD1}"/>
            </c:ext>
          </c:extLst>
        </c:ser>
        <c:dLbls>
          <c:showLegendKey val="0"/>
          <c:showVal val="0"/>
          <c:showCatName val="0"/>
          <c:showSerName val="0"/>
          <c:showPercent val="0"/>
          <c:showBubbleSize val="0"/>
        </c:dLbls>
        <c:hiLowLines>
          <c:spPr>
            <a:ln w="9525">
              <a:solidFill>
                <a:schemeClr val="tx1">
                  <a:lumMod val="50000"/>
                  <a:lumOff val="50000"/>
                </a:schemeClr>
              </a:solidFill>
            </a:ln>
            <a:effectLst/>
          </c:spPr>
        </c:hiLowLines>
        <c:marker val="1"/>
        <c:smooth val="0"/>
        <c:axId val="-423900672"/>
        <c:axId val="-423897408"/>
      </c:lineChart>
      <c:catAx>
        <c:axId val="-4239006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423897408"/>
        <c:crosses val="autoZero"/>
        <c:auto val="1"/>
        <c:lblAlgn val="ctr"/>
        <c:lblOffset val="100"/>
        <c:noMultiLvlLbl val="0"/>
      </c:catAx>
      <c:valAx>
        <c:axId val="-42389740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0067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20" normalizeH="0" baseline="0">
                <a:solidFill>
                  <a:schemeClr val="tx1">
                    <a:lumMod val="65000"/>
                    <a:lumOff val="35000"/>
                  </a:schemeClr>
                </a:solidFill>
                <a:latin typeface="+mn-lt"/>
                <a:ea typeface="+mn-ea"/>
                <a:cs typeface="+mn-cs"/>
              </a:defRPr>
            </a:pPr>
            <a:r>
              <a:rPr lang="es-CO" sz="1200"/>
              <a:t>VARIACIÓN ESTADO</a:t>
            </a:r>
            <a:r>
              <a:rPr lang="es-CO" sz="1200" baseline="0"/>
              <a:t> DE RESULTADOS 2015-2014</a:t>
            </a:r>
            <a:endParaRPr lang="es-CO" sz="1200"/>
          </a:p>
        </c:rich>
      </c:tx>
      <c:overlay val="0"/>
      <c:spPr>
        <a:noFill/>
        <a:ln>
          <a:noFill/>
        </a:ln>
        <a:effectLst/>
      </c:spPr>
    </c:title>
    <c:autoTitleDeleted val="0"/>
    <c:plotArea>
      <c:layout/>
      <c:lineChart>
        <c:grouping val="standard"/>
        <c:varyColors val="0"/>
        <c:ser>
          <c:idx val="0"/>
          <c:order val="0"/>
          <c:tx>
            <c:strRef>
              <c:f>'INDICADORES FINANCIEROS'!$B$24</c:f>
              <c:strCache>
                <c:ptCount val="1"/>
                <c:pt idx="0">
                  <c:v>INGRESOS OPERACIONALES</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cat>
            <c:numRef>
              <c:f>'INDICADORES FINANCIEROS'!$I$41:$J$41</c:f>
              <c:numCache>
                <c:formatCode>General</c:formatCode>
                <c:ptCount val="2"/>
              </c:numCache>
            </c:numRef>
          </c:cat>
          <c:val>
            <c:numRef>
              <c:f>('INDICADORES FINANCIEROS'!$C$40,'INDICADORES FINANCIEROS'!$F$40)</c:f>
              <c:numCache>
                <c:formatCode>[$$-240A]\ #,##0</c:formatCode>
                <c:ptCount val="2"/>
                <c:pt idx="0" formatCode="&quot;$&quot;\ #,##0">
                  <c:v>344142000</c:v>
                </c:pt>
                <c:pt idx="1">
                  <c:v>61980000</c:v>
                </c:pt>
              </c:numCache>
            </c:numRef>
          </c:val>
          <c:smooth val="0"/>
          <c:extLst>
            <c:ext xmlns:c16="http://schemas.microsoft.com/office/drawing/2014/chart" uri="{C3380CC4-5D6E-409C-BE32-E72D297353CC}">
              <c16:uniqueId val="{00000000-423A-9E48-878E-313695F646D7}"/>
            </c:ext>
          </c:extLst>
        </c:ser>
        <c:ser>
          <c:idx val="1"/>
          <c:order val="1"/>
          <c:tx>
            <c:strRef>
              <c:f>'INDICADORES FINANCIEROS'!$B$29</c:f>
              <c:strCache>
                <c:ptCount val="1"/>
                <c:pt idx="0">
                  <c:v>UTILIDAD OPERACIONAL</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cat>
            <c:numRef>
              <c:f>'INDICADORES FINANCIEROS'!$I$41:$J$41</c:f>
              <c:numCache>
                <c:formatCode>General</c:formatCode>
                <c:ptCount val="2"/>
              </c:numCache>
            </c:numRef>
          </c:cat>
          <c:val>
            <c:numRef>
              <c:f>('INDICADORES FINANCIEROS'!$C$44,'INDICADORES FINANCIEROS'!$F$44)</c:f>
              <c:numCache>
                <c:formatCode>[$$-240A]\ #,##0</c:formatCode>
                <c:ptCount val="2"/>
                <c:pt idx="0" formatCode="&quot;$&quot;\ #,##0">
                  <c:v>72212000</c:v>
                </c:pt>
                <c:pt idx="1">
                  <c:v>8174000</c:v>
                </c:pt>
              </c:numCache>
            </c:numRef>
          </c:val>
          <c:smooth val="0"/>
          <c:extLst>
            <c:ext xmlns:c16="http://schemas.microsoft.com/office/drawing/2014/chart" uri="{C3380CC4-5D6E-409C-BE32-E72D297353CC}">
              <c16:uniqueId val="{00000001-423A-9E48-878E-313695F646D7}"/>
            </c:ext>
          </c:extLst>
        </c:ser>
        <c:ser>
          <c:idx val="2"/>
          <c:order val="2"/>
          <c:tx>
            <c:strRef>
              <c:f>'INDICADORES FINANCIEROS'!$B$35</c:f>
              <c:strCache>
                <c:ptCount val="1"/>
                <c:pt idx="0">
                  <c:v>UTILIDAD NETA</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cat>
            <c:numRef>
              <c:f>'INDICADORES FINANCIEROS'!$I$41:$J$41</c:f>
              <c:numCache>
                <c:formatCode>General</c:formatCode>
                <c:ptCount val="2"/>
              </c:numCache>
            </c:numRef>
          </c:cat>
          <c:val>
            <c:numRef>
              <c:f>('INDICADORES FINANCIEROS'!$C$50,'INDICADORES FINANCIEROS'!$F$50)</c:f>
              <c:numCache>
                <c:formatCode>[$$-240A]\ #,##0</c:formatCode>
                <c:ptCount val="2"/>
                <c:pt idx="0" formatCode="&quot;$&quot;\ #,##0">
                  <c:v>47818000</c:v>
                </c:pt>
                <c:pt idx="1">
                  <c:v>8174000</c:v>
                </c:pt>
              </c:numCache>
            </c:numRef>
          </c:val>
          <c:smooth val="0"/>
          <c:extLst>
            <c:ext xmlns:c16="http://schemas.microsoft.com/office/drawing/2014/chart" uri="{C3380CC4-5D6E-409C-BE32-E72D297353CC}">
              <c16:uniqueId val="{00000002-423A-9E48-878E-313695F646D7}"/>
            </c:ext>
          </c:extLst>
        </c:ser>
        <c:dLbls>
          <c:showLegendKey val="0"/>
          <c:showVal val="0"/>
          <c:showCatName val="0"/>
          <c:showSerName val="0"/>
          <c:showPercent val="0"/>
          <c:showBubbleSize val="0"/>
        </c:dLbls>
        <c:hiLowLines>
          <c:spPr>
            <a:ln w="9525">
              <a:solidFill>
                <a:schemeClr val="tx1">
                  <a:lumMod val="50000"/>
                  <a:lumOff val="50000"/>
                </a:schemeClr>
              </a:solidFill>
            </a:ln>
            <a:effectLst/>
          </c:spPr>
        </c:hiLowLines>
        <c:marker val="1"/>
        <c:smooth val="0"/>
        <c:axId val="-423909376"/>
        <c:axId val="-423908832"/>
      </c:lineChart>
      <c:catAx>
        <c:axId val="-423909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423908832"/>
        <c:crosses val="autoZero"/>
        <c:auto val="1"/>
        <c:lblAlgn val="ctr"/>
        <c:lblOffset val="100"/>
        <c:noMultiLvlLbl val="0"/>
      </c:catAx>
      <c:valAx>
        <c:axId val="-423908832"/>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0937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VARIACIÓN</a:t>
            </a:r>
            <a:r>
              <a:rPr lang="es-CO" baseline="0"/>
              <a:t> SITUACIÓN FINANCIERA 2016-2015</a:t>
            </a:r>
            <a:endParaRPr lang="es-CO"/>
          </a:p>
        </c:rich>
      </c:tx>
      <c:overlay val="0"/>
      <c:spPr>
        <a:noFill/>
        <a:ln>
          <a:noFill/>
        </a:ln>
        <a:effectLst/>
      </c:spPr>
    </c:title>
    <c:autoTitleDeleted val="0"/>
    <c:plotArea>
      <c:layout/>
      <c:lineChart>
        <c:grouping val="standard"/>
        <c:varyColors val="0"/>
        <c:ser>
          <c:idx val="0"/>
          <c:order val="0"/>
          <c:tx>
            <c:strRef>
              <c:f>'INDICADORES FINANCIEROS'!$B$58</c:f>
              <c:strCache>
                <c:ptCount val="1"/>
                <c:pt idx="0">
                  <c:v>TOTAL ACTIVOS CORRIENTES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'INDICADORES FINANCIEROS'!$I$23:$J$23</c:f>
              <c:numCache>
                <c:formatCode>General</c:formatCode>
                <c:ptCount val="2"/>
              </c:numCache>
            </c:numRef>
          </c:cat>
          <c:val>
            <c:numRef>
              <c:f>('INDICADORES FINANCIEROS'!$C$89,'INDICADORES FINANCIEROS'!$F$89)</c:f>
              <c:numCache>
                <c:formatCode>"$"\ #,##0</c:formatCode>
                <c:ptCount val="2"/>
                <c:pt idx="0" formatCode="&quot;$&quot;\ #,##0_);[Red]\(&quot;$&quot;\ #,##0\)">
                  <c:v>137056000</c:v>
                </c:pt>
                <c:pt idx="1">
                  <c:v>47151000</c:v>
                </c:pt>
              </c:numCache>
            </c:numRef>
          </c:val>
          <c:smooth val="0"/>
          <c:extLst>
            <c:ext xmlns:c16="http://schemas.microsoft.com/office/drawing/2014/chart" uri="{C3380CC4-5D6E-409C-BE32-E72D297353CC}">
              <c16:uniqueId val="{00000000-A19A-C343-A02C-4D723095BB18}"/>
            </c:ext>
          </c:extLst>
        </c:ser>
        <c:ser>
          <c:idx val="1"/>
          <c:order val="1"/>
          <c:tx>
            <c:strRef>
              <c:f>'INDICADORES FINANCIEROS'!$B$62</c:f>
              <c:strCache>
                <c:ptCount val="1"/>
                <c:pt idx="0">
                  <c:v>TOTAL ACTIVO</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'INDICADORES FINANCIEROS'!$I$23:$J$23</c:f>
              <c:numCache>
                <c:formatCode>General</c:formatCode>
                <c:ptCount val="2"/>
              </c:numCache>
            </c:numRef>
          </c:cat>
          <c:val>
            <c:numRef>
              <c:f>('INDICADORES FINANCIEROS'!$C$93,'INDICADORES FINANCIEROS'!$F$93)</c:f>
              <c:numCache>
                <c:formatCode>"$"\ #,##0</c:formatCode>
                <c:ptCount val="2"/>
                <c:pt idx="0" formatCode="&quot;$&quot;\ #,##0_);[Red]\(&quot;$&quot;\ #,##0\)">
                  <c:v>859045000</c:v>
                </c:pt>
                <c:pt idx="1">
                  <c:v>798251000</c:v>
                </c:pt>
              </c:numCache>
            </c:numRef>
          </c:val>
          <c:smooth val="0"/>
          <c:extLst>
            <c:ext xmlns:c16="http://schemas.microsoft.com/office/drawing/2014/chart" uri="{C3380CC4-5D6E-409C-BE32-E72D297353CC}">
              <c16:uniqueId val="{00000001-A19A-C343-A02C-4D723095BB18}"/>
            </c:ext>
          </c:extLst>
        </c:ser>
        <c:ser>
          <c:idx val="2"/>
          <c:order val="2"/>
          <c:tx>
            <c:strRef>
              <c:f>'INDICADORES FINANCIEROS'!$B$71</c:f>
              <c:strCache>
                <c:ptCount val="1"/>
                <c:pt idx="0">
                  <c:v>TOTAL PASIVO CORRIENTE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'INDICADORES FINANCIEROS'!$I$23:$J$23</c:f>
              <c:numCache>
                <c:formatCode>General</c:formatCode>
                <c:ptCount val="2"/>
              </c:numCache>
            </c:numRef>
          </c:cat>
          <c:val>
            <c:numRef>
              <c:f>('INDICADORES FINANCIEROS'!$C$102,'INDICADORES FINANCIEROS'!$F$102)</c:f>
              <c:numCache>
                <c:formatCode>[$$-240A]\ #,##0</c:formatCode>
                <c:ptCount val="2"/>
                <c:pt idx="0" formatCode="&quot;$&quot;\ #,##0">
                  <c:v>162080000</c:v>
                </c:pt>
                <c:pt idx="1">
                  <c:v>125039000</c:v>
                </c:pt>
              </c:numCache>
            </c:numRef>
          </c:val>
          <c:smooth val="0"/>
          <c:extLst>
            <c:ext xmlns:c16="http://schemas.microsoft.com/office/drawing/2014/chart" uri="{C3380CC4-5D6E-409C-BE32-E72D297353CC}">
              <c16:uniqueId val="{00000002-A19A-C343-A02C-4D723095BB18}"/>
            </c:ext>
          </c:extLst>
        </c:ser>
        <c:ser>
          <c:idx val="3"/>
          <c:order val="3"/>
          <c:tx>
            <c:strRef>
              <c:f>'INDICADORES FINANCIEROS'!$B$72</c:f>
              <c:strCache>
                <c:ptCount val="1"/>
                <c:pt idx="0">
                  <c:v>TOTAL PASIVO</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'INDICADORES FINANCIEROS'!$I$23:$J$23</c:f>
              <c:numCache>
                <c:formatCode>General</c:formatCode>
                <c:ptCount val="2"/>
              </c:numCache>
            </c:numRef>
          </c:cat>
          <c:val>
            <c:numRef>
              <c:f>('INDICADORES FINANCIEROS'!$C$103,'INDICADORES FINANCIEROS'!$F$103)</c:f>
              <c:numCache>
                <c:formatCode>[$$-240A]\ #,##0</c:formatCode>
                <c:ptCount val="2"/>
                <c:pt idx="0" formatCode="&quot;$&quot;\ #,##0">
                  <c:v>162080000</c:v>
                </c:pt>
                <c:pt idx="1">
                  <c:v>125039000</c:v>
                </c:pt>
              </c:numCache>
            </c:numRef>
          </c:val>
          <c:smooth val="0"/>
          <c:extLst>
            <c:ext xmlns:c16="http://schemas.microsoft.com/office/drawing/2014/chart" uri="{C3380CC4-5D6E-409C-BE32-E72D297353CC}">
              <c16:uniqueId val="{00000003-A19A-C343-A02C-4D723095BB18}"/>
            </c:ext>
          </c:extLst>
        </c:ser>
        <c:ser>
          <c:idx val="4"/>
          <c:order val="4"/>
          <c:tx>
            <c:strRef>
              <c:f>'INDICADORES FINANCIEROS'!$B$79</c:f>
              <c:strCache>
                <c:ptCount val="1"/>
                <c:pt idx="0">
                  <c:v>TOTAL PATRIMONIO</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'INDICADORES FINANCIEROS'!$I$23:$J$23</c:f>
              <c:numCache>
                <c:formatCode>General</c:formatCode>
                <c:ptCount val="2"/>
              </c:numCache>
            </c:numRef>
          </c:cat>
          <c:val>
            <c:numRef>
              <c:f>('INDICADORES FINANCIEROS'!$C$110,'INDICADORES FINANCIEROS'!$F$110)</c:f>
              <c:numCache>
                <c:formatCode>"$"\ #,##0</c:formatCode>
                <c:ptCount val="2"/>
                <c:pt idx="0">
                  <c:v>696965000</c:v>
                </c:pt>
                <c:pt idx="1">
                  <c:v>673212000</c:v>
                </c:pt>
              </c:numCache>
            </c:numRef>
          </c:val>
          <c:smooth val="0"/>
          <c:extLst>
            <c:ext xmlns:c16="http://schemas.microsoft.com/office/drawing/2014/chart" uri="{C3380CC4-5D6E-409C-BE32-E72D297353CC}">
              <c16:uniqueId val="{00000004-A19A-C343-A02C-4D723095BB18}"/>
            </c:ext>
          </c:extLst>
        </c:ser>
        <c:dLbls>
          <c:showLegendKey val="0"/>
          <c:showVal val="0"/>
          <c:showCatName val="0"/>
          <c:showSerName val="0"/>
          <c:showPercent val="0"/>
          <c:showBubbleSize val="0"/>
        </c:dLbls>
        <c:marker val="1"/>
        <c:smooth val="0"/>
        <c:axId val="-423953440"/>
        <c:axId val="-423935488"/>
      </c:lineChart>
      <c:catAx>
        <c:axId val="-423953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35488"/>
        <c:crosses val="autoZero"/>
        <c:auto val="1"/>
        <c:lblAlgn val="ctr"/>
        <c:lblOffset val="100"/>
        <c:noMultiLvlLbl val="0"/>
      </c:catAx>
      <c:valAx>
        <c:axId val="-42393548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534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VARIACIÓN</a:t>
            </a:r>
            <a:r>
              <a:rPr lang="es-CO" baseline="0"/>
              <a:t> SITUACIÓN FINANCIERA 2015-2014</a:t>
            </a:r>
            <a:endParaRPr lang="es-CO"/>
          </a:p>
        </c:rich>
      </c:tx>
      <c:overlay val="0"/>
      <c:spPr>
        <a:noFill/>
        <a:ln>
          <a:noFill/>
        </a:ln>
        <a:effectLst/>
      </c:spPr>
    </c:title>
    <c:autoTitleDeleted val="0"/>
    <c:plotArea>
      <c:layout/>
      <c:lineChart>
        <c:grouping val="standard"/>
        <c:varyColors val="0"/>
        <c:ser>
          <c:idx val="0"/>
          <c:order val="0"/>
          <c:tx>
            <c:strRef>
              <c:f>'INDICADORES FINANCIEROS'!$B$58</c:f>
              <c:strCache>
                <c:ptCount val="1"/>
                <c:pt idx="0">
                  <c:v>TOTAL ACTIVOS CORRIENTES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'INDICADORES FINANCIEROS'!$I$41:$J$41</c:f>
              <c:numCache>
                <c:formatCode>General</c:formatCode>
                <c:ptCount val="2"/>
              </c:numCache>
            </c:numRef>
          </c:cat>
          <c:val>
            <c:numRef>
              <c:f>('INDICADORES FINANCIEROS'!$C$119,'INDICADORES FINANCIEROS'!$F$119)</c:f>
              <c:numCache>
                <c:formatCode>"$"\ #,##0</c:formatCode>
                <c:ptCount val="2"/>
                <c:pt idx="0">
                  <c:v>47151000</c:v>
                </c:pt>
                <c:pt idx="1">
                  <c:v>57903000</c:v>
                </c:pt>
              </c:numCache>
            </c:numRef>
          </c:val>
          <c:smooth val="0"/>
          <c:extLst>
            <c:ext xmlns:c16="http://schemas.microsoft.com/office/drawing/2014/chart" uri="{C3380CC4-5D6E-409C-BE32-E72D297353CC}">
              <c16:uniqueId val="{00000000-290C-724D-8BA0-6C65A68FA433}"/>
            </c:ext>
          </c:extLst>
        </c:ser>
        <c:ser>
          <c:idx val="1"/>
          <c:order val="1"/>
          <c:tx>
            <c:strRef>
              <c:f>'INDICADORES FINANCIEROS'!$B$62</c:f>
              <c:strCache>
                <c:ptCount val="1"/>
                <c:pt idx="0">
                  <c:v>TOTAL ACTIVO</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'INDICADORES FINANCIEROS'!$I$41:$J$41</c:f>
              <c:numCache>
                <c:formatCode>General</c:formatCode>
                <c:ptCount val="2"/>
              </c:numCache>
            </c:numRef>
          </c:cat>
          <c:val>
            <c:numRef>
              <c:f>('INDICADORES FINANCIEROS'!$C$122,'INDICADORES FINANCIEROS'!$F$122)</c:f>
              <c:numCache>
                <c:formatCode>"$"\ #,##0</c:formatCode>
                <c:ptCount val="2"/>
                <c:pt idx="0">
                  <c:v>798251000</c:v>
                </c:pt>
                <c:pt idx="1">
                  <c:v>657903000</c:v>
                </c:pt>
              </c:numCache>
            </c:numRef>
          </c:val>
          <c:smooth val="0"/>
          <c:extLst>
            <c:ext xmlns:c16="http://schemas.microsoft.com/office/drawing/2014/chart" uri="{C3380CC4-5D6E-409C-BE32-E72D297353CC}">
              <c16:uniqueId val="{00000001-290C-724D-8BA0-6C65A68FA433}"/>
            </c:ext>
          </c:extLst>
        </c:ser>
        <c:ser>
          <c:idx val="2"/>
          <c:order val="2"/>
          <c:tx>
            <c:strRef>
              <c:f>'INDICADORES FINANCIEROS'!$B$71</c:f>
              <c:strCache>
                <c:ptCount val="1"/>
                <c:pt idx="0">
                  <c:v>TOTAL PASIVO CORRIENTE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'INDICADORES FINANCIEROS'!$I$41:$J$41</c:f>
              <c:numCache>
                <c:formatCode>General</c:formatCode>
                <c:ptCount val="2"/>
              </c:numCache>
            </c:numRef>
          </c:cat>
          <c:val>
            <c:numRef>
              <c:f>('INDICADORES FINANCIEROS'!$C$128,'INDICADORES FINANCIEROS'!$F$128)</c:f>
              <c:numCache>
                <c:formatCode>[$$-240A]\ #,##0</c:formatCode>
                <c:ptCount val="2"/>
                <c:pt idx="0">
                  <c:v>125039000</c:v>
                </c:pt>
                <c:pt idx="1">
                  <c:v>32509000</c:v>
                </c:pt>
              </c:numCache>
            </c:numRef>
          </c:val>
          <c:smooth val="0"/>
          <c:extLst>
            <c:ext xmlns:c16="http://schemas.microsoft.com/office/drawing/2014/chart" uri="{C3380CC4-5D6E-409C-BE32-E72D297353CC}">
              <c16:uniqueId val="{00000002-290C-724D-8BA0-6C65A68FA433}"/>
            </c:ext>
          </c:extLst>
        </c:ser>
        <c:ser>
          <c:idx val="3"/>
          <c:order val="3"/>
          <c:tx>
            <c:strRef>
              <c:f>'INDICADORES FINANCIEROS'!$B$72</c:f>
              <c:strCache>
                <c:ptCount val="1"/>
                <c:pt idx="0">
                  <c:v>TOTAL PASIVO</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'INDICADORES FINANCIEROS'!$I$41:$J$41</c:f>
              <c:numCache>
                <c:formatCode>General</c:formatCode>
                <c:ptCount val="2"/>
              </c:numCache>
            </c:numRef>
          </c:cat>
          <c:val>
            <c:numRef>
              <c:f>('INDICADORES FINANCIEROS'!$C$129,'INDICADORES FINANCIEROS'!$F$129)</c:f>
              <c:numCache>
                <c:formatCode>[$$-240A]\ #,##0</c:formatCode>
                <c:ptCount val="2"/>
                <c:pt idx="0">
                  <c:v>125039000</c:v>
                </c:pt>
                <c:pt idx="1">
                  <c:v>32509000</c:v>
                </c:pt>
              </c:numCache>
            </c:numRef>
          </c:val>
          <c:smooth val="0"/>
          <c:extLst>
            <c:ext xmlns:c16="http://schemas.microsoft.com/office/drawing/2014/chart" uri="{C3380CC4-5D6E-409C-BE32-E72D297353CC}">
              <c16:uniqueId val="{00000003-290C-724D-8BA0-6C65A68FA433}"/>
            </c:ext>
          </c:extLst>
        </c:ser>
        <c:ser>
          <c:idx val="4"/>
          <c:order val="4"/>
          <c:tx>
            <c:strRef>
              <c:f>'INDICADORES FINANCIEROS'!$B$79</c:f>
              <c:strCache>
                <c:ptCount val="1"/>
                <c:pt idx="0">
                  <c:v>TOTAL PATRIMONIO</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'INDICADORES FINANCIEROS'!$I$41:$J$41</c:f>
              <c:numCache>
                <c:formatCode>General</c:formatCode>
                <c:ptCount val="2"/>
              </c:numCache>
            </c:numRef>
          </c:cat>
          <c:val>
            <c:numRef>
              <c:f>('INDICADORES FINANCIEROS'!$C$135,'INDICADORES FINANCIEROS'!$F$135)</c:f>
              <c:numCache>
                <c:formatCode>"$"\ #,##0</c:formatCode>
                <c:ptCount val="2"/>
                <c:pt idx="0">
                  <c:v>673212000</c:v>
                </c:pt>
                <c:pt idx="1">
                  <c:v>625394000</c:v>
                </c:pt>
              </c:numCache>
            </c:numRef>
          </c:val>
          <c:smooth val="0"/>
          <c:extLst>
            <c:ext xmlns:c16="http://schemas.microsoft.com/office/drawing/2014/chart" uri="{C3380CC4-5D6E-409C-BE32-E72D297353CC}">
              <c16:uniqueId val="{00000004-290C-724D-8BA0-6C65A68FA433}"/>
            </c:ext>
          </c:extLst>
        </c:ser>
        <c:dLbls>
          <c:showLegendKey val="0"/>
          <c:showVal val="0"/>
          <c:showCatName val="0"/>
          <c:showSerName val="0"/>
          <c:showPercent val="0"/>
          <c:showBubbleSize val="0"/>
        </c:dLbls>
        <c:marker val="1"/>
        <c:smooth val="0"/>
        <c:axId val="-423943104"/>
        <c:axId val="-423938208"/>
      </c:lineChart>
      <c:catAx>
        <c:axId val="-423943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38208"/>
        <c:crosses val="autoZero"/>
        <c:auto val="1"/>
        <c:lblAlgn val="ctr"/>
        <c:lblOffset val="100"/>
        <c:noMultiLvlLbl val="0"/>
      </c:catAx>
      <c:valAx>
        <c:axId val="-42393820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2394310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2017</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FINANCIEROS'!$D$62</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FINANCIEROS'!$D$58</c:f>
              <c:numCache>
                <c:formatCode>0.00%</c:formatCode>
                <c:ptCount val="1"/>
                <c:pt idx="0">
                  <c:v>0.43223897142517792</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FINANCIEROS'!$D$61</c:f>
              <c:numCache>
                <c:formatCode>0.00%</c:formatCode>
                <c:ptCount val="1"/>
                <c:pt idx="0">
                  <c:v>0.56776102857482214</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FINANCIEROS'!$D$72</c:f>
              <c:numCache>
                <c:formatCode>0.00%</c:formatCode>
                <c:ptCount val="1"/>
                <c:pt idx="0">
                  <c:v>0.27890689180762723</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FINANCIEROS'!$D$71</c:f>
              <c:numCache>
                <c:formatCode>0.00%</c:formatCode>
                <c:ptCount val="1"/>
                <c:pt idx="0">
                  <c:v>0.27890689180762723</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Lit>
              <c:formatCode>General</c:formatCode>
              <c:ptCount val="1"/>
              <c:pt idx="0">
                <c:v>0</c:v>
              </c:pt>
            </c:numLit>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FINANCIEROS'!$D$79</c:f>
              <c:numCache>
                <c:formatCode>0.00%</c:formatCode>
                <c:ptCount val="1"/>
                <c:pt idx="0">
                  <c:v>0.72109310819237282</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423940384"/>
        <c:axId val="-423934944"/>
        <c:axId val="0"/>
      </c:bar3DChart>
      <c:catAx>
        <c:axId val="-423940384"/>
        <c:scaling>
          <c:orientation val="minMax"/>
        </c:scaling>
        <c:delete val="1"/>
        <c:axPos val="l"/>
        <c:majorTickMark val="none"/>
        <c:minorTickMark val="none"/>
        <c:tickLblPos val="nextTo"/>
        <c:crossAx val="-423934944"/>
        <c:crosses val="autoZero"/>
        <c:auto val="1"/>
        <c:lblAlgn val="ctr"/>
        <c:lblOffset val="100"/>
        <c:noMultiLvlLbl val="0"/>
      </c:catAx>
      <c:valAx>
        <c:axId val="-423934944"/>
        <c:scaling>
          <c:orientation val="minMax"/>
        </c:scaling>
        <c:delete val="0"/>
        <c:axPos val="b"/>
        <c:majorGridlines/>
        <c:numFmt formatCode="0.00%" sourceLinked="1"/>
        <c:majorTickMark val="none"/>
        <c:minorTickMark val="none"/>
        <c:tickLblPos val="nextTo"/>
        <c:crossAx val="-423940384"/>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2015</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FINANCIEROS'!$G$93</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FINANCIEROS'!$G$89</c:f>
              <c:numCache>
                <c:formatCode>0.00%</c:formatCode>
                <c:ptCount val="1"/>
                <c:pt idx="0">
                  <c:v>5.9067887168321745E-2</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FINANCIEROS'!$G$92</c:f>
              <c:numCache>
                <c:formatCode>0.00%</c:formatCode>
                <c:ptCount val="1"/>
                <c:pt idx="0">
                  <c:v>0.94093211283167821</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FINANCIEROS'!$G$103</c:f>
              <c:numCache>
                <c:formatCode>0.00%</c:formatCode>
                <c:ptCount val="1"/>
                <c:pt idx="0">
                  <c:v>0.15664120683845056</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FINANCIEROS'!$G$102</c:f>
              <c:numCache>
                <c:formatCode>0.00%</c:formatCode>
                <c:ptCount val="1"/>
                <c:pt idx="0">
                  <c:v>0.15664120683845056</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Lit>
              <c:formatCode>General</c:formatCode>
              <c:ptCount val="1"/>
              <c:pt idx="0">
                <c:v>0</c:v>
              </c:pt>
            </c:numLit>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FINANCIEROS'!$G$110</c:f>
              <c:numCache>
                <c:formatCode>0.00%</c:formatCode>
                <c:ptCount val="1"/>
                <c:pt idx="0">
                  <c:v>0.84335879316154949</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423928960"/>
        <c:axId val="-423962144"/>
        <c:axId val="0"/>
      </c:bar3DChart>
      <c:catAx>
        <c:axId val="-423928960"/>
        <c:scaling>
          <c:orientation val="minMax"/>
        </c:scaling>
        <c:delete val="1"/>
        <c:axPos val="l"/>
        <c:majorTickMark val="none"/>
        <c:minorTickMark val="none"/>
        <c:tickLblPos val="nextTo"/>
        <c:crossAx val="-423962144"/>
        <c:crosses val="autoZero"/>
        <c:auto val="1"/>
        <c:lblAlgn val="ctr"/>
        <c:lblOffset val="100"/>
        <c:noMultiLvlLbl val="0"/>
      </c:catAx>
      <c:valAx>
        <c:axId val="-423962144"/>
        <c:scaling>
          <c:orientation val="minMax"/>
        </c:scaling>
        <c:delete val="0"/>
        <c:axPos val="b"/>
        <c:majorGridlines/>
        <c:numFmt formatCode="0.00%" sourceLinked="1"/>
        <c:majorTickMark val="none"/>
        <c:minorTickMark val="none"/>
        <c:tickLblPos val="nextTo"/>
        <c:crossAx val="-423928960"/>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2014</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FINANCIEROS'!$G$122</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FINANCIEROS'!$G$119</c:f>
              <c:numCache>
                <c:formatCode>0.00%</c:formatCode>
                <c:ptCount val="1"/>
                <c:pt idx="0">
                  <c:v>8.8011454576130521E-2</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FINANCIEROS'!$G$121</c:f>
              <c:numCache>
                <c:formatCode>0.00%</c:formatCode>
                <c:ptCount val="1"/>
                <c:pt idx="0">
                  <c:v>0.91198854542386942</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FINANCIEROS'!$G$129</c:f>
              <c:numCache>
                <c:formatCode>0.00%</c:formatCode>
                <c:ptCount val="1"/>
                <c:pt idx="0">
                  <c:v>4.9413059371974287E-2</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FINANCIEROS'!$G$128</c:f>
              <c:numCache>
                <c:formatCode>0.00%</c:formatCode>
                <c:ptCount val="1"/>
                <c:pt idx="0">
                  <c:v>1</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Lit>
              <c:formatCode>General</c:formatCode>
              <c:ptCount val="1"/>
              <c:pt idx="0">
                <c:v>0</c:v>
              </c:pt>
            </c:numLit>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FINANCIEROS'!$G$135</c:f>
              <c:numCache>
                <c:formatCode>0.00%</c:formatCode>
                <c:ptCount val="1"/>
                <c:pt idx="0">
                  <c:v>1</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423948000"/>
        <c:axId val="-423955616"/>
        <c:axId val="0"/>
      </c:bar3DChart>
      <c:catAx>
        <c:axId val="-423948000"/>
        <c:scaling>
          <c:orientation val="minMax"/>
        </c:scaling>
        <c:delete val="1"/>
        <c:axPos val="l"/>
        <c:majorTickMark val="none"/>
        <c:minorTickMark val="none"/>
        <c:tickLblPos val="nextTo"/>
        <c:crossAx val="-423955616"/>
        <c:crosses val="autoZero"/>
        <c:auto val="1"/>
        <c:lblAlgn val="ctr"/>
        <c:lblOffset val="100"/>
        <c:noMultiLvlLbl val="0"/>
      </c:catAx>
      <c:valAx>
        <c:axId val="-423955616"/>
        <c:scaling>
          <c:orientation val="minMax"/>
        </c:scaling>
        <c:delete val="0"/>
        <c:axPos val="b"/>
        <c:majorGridlines/>
        <c:numFmt formatCode="0.00%" sourceLinked="1"/>
        <c:majorTickMark val="none"/>
        <c:minorTickMark val="none"/>
        <c:tickLblPos val="nextTo"/>
        <c:crossAx val="-423948000"/>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 SITUACIÓN FINANCIERA 2017-2016</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'INDICADORES FINANCIEROS'!$B$58</c:f>
              <c:strCache>
                <c:ptCount val="1"/>
                <c:pt idx="0">
                  <c:v>TOTAL ACTIVOS CORRIENTES</c:v>
                </c:pt>
              </c:strCache>
            </c:strRef>
          </c:tx>
          <c:spPr>
            <a:solidFill>
              <a:schemeClr val="accent1"/>
            </a:solidFill>
            <a:ln>
              <a:noFill/>
            </a:ln>
            <a:effectLst/>
            <a:sp3d/>
          </c:spPr>
          <c:invertIfNegative val="0"/>
          <c:val>
            <c:numRef>
              <c:f>'INDICADORES FINANCIEROS'!$E$58</c:f>
              <c:numCache>
                <c:formatCode>0.00%</c:formatCode>
                <c:ptCount val="1"/>
                <c:pt idx="0">
                  <c:v>2.1863180014008874</c:v>
                </c:pt>
              </c:numCache>
            </c:numRef>
          </c:val>
          <c:extLst>
            <c:ext xmlns:c16="http://schemas.microsoft.com/office/drawing/2014/chart" uri="{C3380CC4-5D6E-409C-BE32-E72D297353CC}">
              <c16:uniqueId val="{00000000-0559-A14A-9532-5ABD72B1B9F8}"/>
            </c:ext>
          </c:extLst>
        </c:ser>
        <c:ser>
          <c:idx val="1"/>
          <c:order val="1"/>
          <c:tx>
            <c:strRef>
              <c:f>'INDICADORES FINANCIEROS'!$B$61</c:f>
              <c:strCache>
                <c:ptCount val="1"/>
                <c:pt idx="0">
                  <c:v>TOTAL ACTIVO NO CORRIENTE</c:v>
                </c:pt>
              </c:strCache>
            </c:strRef>
          </c:tx>
          <c:spPr>
            <a:solidFill>
              <a:schemeClr val="accent2"/>
            </a:solidFill>
            <a:ln>
              <a:noFill/>
            </a:ln>
            <a:effectLst/>
            <a:sp3d/>
          </c:spPr>
          <c:invertIfNegative val="0"/>
          <c:val>
            <c:numRef>
              <c:f>'INDICADORES FINANCIEROS'!$E$61</c:f>
              <c:numCache>
                <c:formatCode>0.00%</c:formatCode>
                <c:ptCount val="1"/>
                <c:pt idx="0">
                  <c:v>-0.20549205043290131</c:v>
                </c:pt>
              </c:numCache>
            </c:numRef>
          </c:val>
          <c:extLst>
            <c:ext xmlns:c16="http://schemas.microsoft.com/office/drawing/2014/chart" uri="{C3380CC4-5D6E-409C-BE32-E72D297353CC}">
              <c16:uniqueId val="{00000001-0559-A14A-9532-5ABD72B1B9F8}"/>
            </c:ext>
          </c:extLst>
        </c:ser>
        <c:ser>
          <c:idx val="2"/>
          <c:order val="2"/>
          <c:tx>
            <c:strRef>
              <c:f>'INDICADORES FINANCIEROS'!$B$62</c:f>
              <c:strCache>
                <c:ptCount val="1"/>
                <c:pt idx="0">
                  <c:v>TOTAL ACTIVO</c:v>
                </c:pt>
              </c:strCache>
            </c:strRef>
          </c:tx>
          <c:spPr>
            <a:solidFill>
              <a:schemeClr val="accent3"/>
            </a:solidFill>
            <a:ln>
              <a:noFill/>
            </a:ln>
            <a:effectLst/>
            <a:sp3d/>
          </c:spPr>
          <c:invertIfNegative val="0"/>
          <c:val>
            <c:numRef>
              <c:f>'INDICADORES FINANCIEROS'!$E$62</c:f>
              <c:numCache>
                <c:formatCode>0.00%</c:formatCode>
                <c:ptCount val="1"/>
                <c:pt idx="0">
                  <c:v>0.17610835288023319</c:v>
                </c:pt>
              </c:numCache>
            </c:numRef>
          </c:val>
          <c:extLst>
            <c:ext xmlns:c16="http://schemas.microsoft.com/office/drawing/2014/chart" uri="{C3380CC4-5D6E-409C-BE32-E72D297353CC}">
              <c16:uniqueId val="{00000002-0559-A14A-9532-5ABD72B1B9F8}"/>
            </c:ext>
          </c:extLst>
        </c:ser>
        <c:ser>
          <c:idx val="3"/>
          <c:order val="3"/>
          <c:tx>
            <c:strRef>
              <c:f>'INDICADORES FINANCIEROS'!$B$71</c:f>
              <c:strCache>
                <c:ptCount val="1"/>
                <c:pt idx="0">
                  <c:v>TOTAL PASIVO CORRIENTE</c:v>
                </c:pt>
              </c:strCache>
            </c:strRef>
          </c:tx>
          <c:spPr>
            <a:solidFill>
              <a:schemeClr val="accent4"/>
            </a:solidFill>
            <a:ln>
              <a:noFill/>
            </a:ln>
            <a:effectLst/>
            <a:sp3d/>
          </c:spPr>
          <c:invertIfNegative val="0"/>
          <c:val>
            <c:numRef>
              <c:f>'INDICADORES FINANCIEROS'!$E$71</c:f>
              <c:numCache>
                <c:formatCode>0.00%</c:formatCode>
                <c:ptCount val="1"/>
                <c:pt idx="0">
                  <c:v>0.73857354392892405</c:v>
                </c:pt>
              </c:numCache>
            </c:numRef>
          </c:val>
          <c:extLst>
            <c:ext xmlns:c16="http://schemas.microsoft.com/office/drawing/2014/chart" uri="{C3380CC4-5D6E-409C-BE32-E72D297353CC}">
              <c16:uniqueId val="{00000003-0559-A14A-9532-5ABD72B1B9F8}"/>
            </c:ext>
          </c:extLst>
        </c:ser>
        <c:ser>
          <c:idx val="4"/>
          <c:order val="4"/>
          <c:tx>
            <c:strRef>
              <c:f>'INDICADORES FINANCIEROS'!$B$72</c:f>
              <c:strCache>
                <c:ptCount val="1"/>
                <c:pt idx="0">
                  <c:v>TOTAL PASIVO</c:v>
                </c:pt>
              </c:strCache>
            </c:strRef>
          </c:tx>
          <c:spPr>
            <a:solidFill>
              <a:schemeClr val="accent5"/>
            </a:solidFill>
            <a:ln>
              <a:noFill/>
            </a:ln>
            <a:effectLst/>
            <a:sp3d/>
          </c:spPr>
          <c:invertIfNegative val="0"/>
          <c:val>
            <c:numRef>
              <c:f>'INDICADORES FINANCIEROS'!$E$72</c:f>
              <c:numCache>
                <c:formatCode>0.00%</c:formatCode>
                <c:ptCount val="1"/>
                <c:pt idx="0">
                  <c:v>0.73857354392892405</c:v>
                </c:pt>
              </c:numCache>
            </c:numRef>
          </c:val>
          <c:extLst>
            <c:ext xmlns:c16="http://schemas.microsoft.com/office/drawing/2014/chart" uri="{C3380CC4-5D6E-409C-BE32-E72D297353CC}">
              <c16:uniqueId val="{00000004-0559-A14A-9532-5ABD72B1B9F8}"/>
            </c:ext>
          </c:extLst>
        </c:ser>
        <c:ser>
          <c:idx val="5"/>
          <c:order val="5"/>
          <c:tx>
            <c:strRef>
              <c:f>'INDICADORES FINANCIEROS'!$B$79</c:f>
              <c:strCache>
                <c:ptCount val="1"/>
                <c:pt idx="0">
                  <c:v>TOTAL PATRIMONIO</c:v>
                </c:pt>
              </c:strCache>
            </c:strRef>
          </c:tx>
          <c:spPr>
            <a:solidFill>
              <a:schemeClr val="accent6"/>
            </a:solidFill>
            <a:ln>
              <a:noFill/>
            </a:ln>
            <a:effectLst/>
            <a:sp3d/>
          </c:spPr>
          <c:invertIfNegative val="0"/>
          <c:val>
            <c:numRef>
              <c:f>'INDICADORES FINANCIEROS'!$E$79</c:f>
              <c:numCache>
                <c:formatCode>0.00%</c:formatCode>
                <c:ptCount val="1"/>
                <c:pt idx="0">
                  <c:v>4.5306435760762653E-2</c:v>
                </c:pt>
              </c:numCache>
            </c:numRef>
          </c:val>
          <c:extLst>
            <c:ext xmlns:c16="http://schemas.microsoft.com/office/drawing/2014/chart" uri="{C3380CC4-5D6E-409C-BE32-E72D297353CC}">
              <c16:uniqueId val="{00000005-0559-A14A-9532-5ABD72B1B9F8}"/>
            </c:ext>
          </c:extLst>
        </c:ser>
        <c:dLbls>
          <c:showLegendKey val="0"/>
          <c:showVal val="0"/>
          <c:showCatName val="0"/>
          <c:showSerName val="0"/>
          <c:showPercent val="0"/>
          <c:showBubbleSize val="0"/>
        </c:dLbls>
        <c:gapWidth val="150"/>
        <c:shape val="box"/>
        <c:axId val="-912618320"/>
        <c:axId val="-912619952"/>
        <c:axId val="0"/>
      </c:bar3DChart>
      <c:catAx>
        <c:axId val="-912618320"/>
        <c:scaling>
          <c:orientation val="minMax"/>
        </c:scaling>
        <c:delete val="1"/>
        <c:axPos val="l"/>
        <c:numFmt formatCode="General" sourceLinked="1"/>
        <c:majorTickMark val="none"/>
        <c:minorTickMark val="none"/>
        <c:tickLblPos val="nextTo"/>
        <c:crossAx val="-912619952"/>
        <c:crosses val="autoZero"/>
        <c:auto val="1"/>
        <c:lblAlgn val="ctr"/>
        <c:lblOffset val="100"/>
        <c:noMultiLvlLbl val="0"/>
      </c:catAx>
      <c:valAx>
        <c:axId val="-9126199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1261832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 SITUACIÓN FINANCIERA 2016-2015</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'INDICADORES FINANCIEROS'!$B$58</c:f>
              <c:strCache>
                <c:ptCount val="1"/>
                <c:pt idx="0">
                  <c:v>TOTAL ACTIVOS CORRIENTES</c:v>
                </c:pt>
              </c:strCache>
            </c:strRef>
          </c:tx>
          <c:spPr>
            <a:solidFill>
              <a:schemeClr val="accent1"/>
            </a:solidFill>
            <a:ln>
              <a:noFill/>
            </a:ln>
            <a:effectLst/>
            <a:sp3d/>
          </c:spPr>
          <c:invertIfNegative val="0"/>
          <c:val>
            <c:numRef>
              <c:f>'INDICADORES FINANCIEROS'!$E$89</c:f>
              <c:numCache>
                <c:formatCode>0.00%</c:formatCode>
                <c:ptCount val="1"/>
                <c:pt idx="0">
                  <c:v>1.9067464104684948</c:v>
                </c:pt>
              </c:numCache>
            </c:numRef>
          </c:val>
          <c:extLst>
            <c:ext xmlns:c16="http://schemas.microsoft.com/office/drawing/2014/chart" uri="{C3380CC4-5D6E-409C-BE32-E72D297353CC}">
              <c16:uniqueId val="{00000000-4CC2-6542-A05F-F04C7B3CB881}"/>
            </c:ext>
          </c:extLst>
        </c:ser>
        <c:ser>
          <c:idx val="1"/>
          <c:order val="1"/>
          <c:tx>
            <c:strRef>
              <c:f>'INDICADORES FINANCIEROS'!$B$61</c:f>
              <c:strCache>
                <c:ptCount val="1"/>
                <c:pt idx="0">
                  <c:v>TOTAL ACTIVO NO CORRIENTE</c:v>
                </c:pt>
              </c:strCache>
            </c:strRef>
          </c:tx>
          <c:spPr>
            <a:solidFill>
              <a:schemeClr val="accent2"/>
            </a:solidFill>
            <a:ln>
              <a:noFill/>
            </a:ln>
            <a:effectLst/>
            <a:sp3d/>
          </c:spPr>
          <c:invertIfNegative val="0"/>
          <c:val>
            <c:numRef>
              <c:f>'INDICADORES FINANCIEROS'!$E$92</c:f>
              <c:numCache>
                <c:formatCode>0.00%</c:formatCode>
                <c:ptCount val="1"/>
                <c:pt idx="0">
                  <c:v>-3.8757821861270192E-2</c:v>
                </c:pt>
              </c:numCache>
            </c:numRef>
          </c:val>
          <c:extLst>
            <c:ext xmlns:c16="http://schemas.microsoft.com/office/drawing/2014/chart" uri="{C3380CC4-5D6E-409C-BE32-E72D297353CC}">
              <c16:uniqueId val="{00000001-4CC2-6542-A05F-F04C7B3CB881}"/>
            </c:ext>
          </c:extLst>
        </c:ser>
        <c:ser>
          <c:idx val="2"/>
          <c:order val="2"/>
          <c:tx>
            <c:strRef>
              <c:f>'INDICADORES FINANCIEROS'!$B$62</c:f>
              <c:strCache>
                <c:ptCount val="1"/>
                <c:pt idx="0">
                  <c:v>TOTAL ACTIVO</c:v>
                </c:pt>
              </c:strCache>
            </c:strRef>
          </c:tx>
          <c:spPr>
            <a:solidFill>
              <a:schemeClr val="accent3"/>
            </a:solidFill>
            <a:ln>
              <a:noFill/>
            </a:ln>
            <a:effectLst/>
            <a:sp3d/>
          </c:spPr>
          <c:invertIfNegative val="0"/>
          <c:val>
            <c:numRef>
              <c:f>'INDICADORES FINANCIEROS'!$E$93</c:f>
              <c:numCache>
                <c:formatCode>0.00%</c:formatCode>
                <c:ptCount val="1"/>
                <c:pt idx="0">
                  <c:v>7.6159002619476723E-2</c:v>
                </c:pt>
              </c:numCache>
            </c:numRef>
          </c:val>
          <c:extLst>
            <c:ext xmlns:c16="http://schemas.microsoft.com/office/drawing/2014/chart" uri="{C3380CC4-5D6E-409C-BE32-E72D297353CC}">
              <c16:uniqueId val="{00000002-4CC2-6542-A05F-F04C7B3CB881}"/>
            </c:ext>
          </c:extLst>
        </c:ser>
        <c:ser>
          <c:idx val="3"/>
          <c:order val="3"/>
          <c:tx>
            <c:strRef>
              <c:f>'INDICADORES FINANCIEROS'!$B$71</c:f>
              <c:strCache>
                <c:ptCount val="1"/>
                <c:pt idx="0">
                  <c:v>TOTAL PASIVO CORRIENTE</c:v>
                </c:pt>
              </c:strCache>
            </c:strRef>
          </c:tx>
          <c:spPr>
            <a:solidFill>
              <a:schemeClr val="accent4"/>
            </a:solidFill>
            <a:ln>
              <a:noFill/>
            </a:ln>
            <a:effectLst/>
            <a:sp3d/>
          </c:spPr>
          <c:invertIfNegative val="0"/>
          <c:val>
            <c:numRef>
              <c:f>'INDICADORES FINANCIEROS'!$E$102</c:f>
              <c:numCache>
                <c:formatCode>0.00%</c:formatCode>
                <c:ptCount val="1"/>
                <c:pt idx="0">
                  <c:v>0.29623557450075566</c:v>
                </c:pt>
              </c:numCache>
            </c:numRef>
          </c:val>
          <c:extLst>
            <c:ext xmlns:c16="http://schemas.microsoft.com/office/drawing/2014/chart" uri="{C3380CC4-5D6E-409C-BE32-E72D297353CC}">
              <c16:uniqueId val="{00000003-4CC2-6542-A05F-F04C7B3CB881}"/>
            </c:ext>
          </c:extLst>
        </c:ser>
        <c:ser>
          <c:idx val="4"/>
          <c:order val="4"/>
          <c:tx>
            <c:strRef>
              <c:f>'INDICADORES FINANCIEROS'!$B$103</c:f>
              <c:strCache>
                <c:ptCount val="1"/>
                <c:pt idx="0">
                  <c:v>TOTAL PASIVO</c:v>
                </c:pt>
              </c:strCache>
            </c:strRef>
          </c:tx>
          <c:spPr>
            <a:solidFill>
              <a:schemeClr val="accent5"/>
            </a:solidFill>
            <a:ln>
              <a:noFill/>
            </a:ln>
            <a:effectLst/>
            <a:sp3d/>
          </c:spPr>
          <c:invertIfNegative val="0"/>
          <c:val>
            <c:numRef>
              <c:f>'INDICADORES FINANCIEROS'!$E$103</c:f>
              <c:numCache>
                <c:formatCode>0.00%</c:formatCode>
                <c:ptCount val="1"/>
                <c:pt idx="0">
                  <c:v>0.29623557450075566</c:v>
                </c:pt>
              </c:numCache>
            </c:numRef>
          </c:val>
          <c:extLst>
            <c:ext xmlns:c16="http://schemas.microsoft.com/office/drawing/2014/chart" uri="{C3380CC4-5D6E-409C-BE32-E72D297353CC}">
              <c16:uniqueId val="{00000004-4CC2-6542-A05F-F04C7B3CB881}"/>
            </c:ext>
          </c:extLst>
        </c:ser>
        <c:ser>
          <c:idx val="5"/>
          <c:order val="5"/>
          <c:tx>
            <c:strRef>
              <c:f>'INDICADORES FINANCIEROS'!$B$79</c:f>
              <c:strCache>
                <c:ptCount val="1"/>
                <c:pt idx="0">
                  <c:v>TOTAL PATRIMONIO</c:v>
                </c:pt>
              </c:strCache>
            </c:strRef>
          </c:tx>
          <c:spPr>
            <a:solidFill>
              <a:schemeClr val="accent6"/>
            </a:solidFill>
            <a:ln>
              <a:noFill/>
            </a:ln>
            <a:effectLst/>
            <a:sp3d/>
          </c:spPr>
          <c:invertIfNegative val="0"/>
          <c:val>
            <c:numRef>
              <c:f>'INDICADORES FINANCIEROS'!$E$110</c:f>
              <c:numCache>
                <c:formatCode>0.00%</c:formatCode>
                <c:ptCount val="1"/>
                <c:pt idx="0">
                  <c:v>3.5283090616328838E-2</c:v>
                </c:pt>
              </c:numCache>
            </c:numRef>
          </c:val>
          <c:extLst>
            <c:ext xmlns:c16="http://schemas.microsoft.com/office/drawing/2014/chart" uri="{C3380CC4-5D6E-409C-BE32-E72D297353CC}">
              <c16:uniqueId val="{00000005-4CC2-6542-A05F-F04C7B3CB881}"/>
            </c:ext>
          </c:extLst>
        </c:ser>
        <c:dLbls>
          <c:showLegendKey val="0"/>
          <c:showVal val="0"/>
          <c:showCatName val="0"/>
          <c:showSerName val="0"/>
          <c:showPercent val="0"/>
          <c:showBubbleSize val="0"/>
        </c:dLbls>
        <c:gapWidth val="150"/>
        <c:shape val="box"/>
        <c:axId val="-912616688"/>
        <c:axId val="-912615600"/>
        <c:axId val="0"/>
      </c:bar3DChart>
      <c:catAx>
        <c:axId val="-912616688"/>
        <c:scaling>
          <c:orientation val="minMax"/>
        </c:scaling>
        <c:delete val="1"/>
        <c:axPos val="l"/>
        <c:numFmt formatCode="General" sourceLinked="1"/>
        <c:majorTickMark val="none"/>
        <c:minorTickMark val="none"/>
        <c:tickLblPos val="nextTo"/>
        <c:crossAx val="-912615600"/>
        <c:crosses val="autoZero"/>
        <c:auto val="1"/>
        <c:lblAlgn val="ctr"/>
        <c:lblOffset val="100"/>
        <c:noMultiLvlLbl val="0"/>
      </c:catAx>
      <c:valAx>
        <c:axId val="-91261560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126166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 SITUACIÓN FINANCIERA 2015-2014</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'INDICADORES FINANCIEROS'!$B$58</c:f>
              <c:strCache>
                <c:ptCount val="1"/>
                <c:pt idx="0">
                  <c:v>TOTAL ACTIVOS CORRIENTES</c:v>
                </c:pt>
              </c:strCache>
            </c:strRef>
          </c:tx>
          <c:spPr>
            <a:solidFill>
              <a:schemeClr val="accent1"/>
            </a:solidFill>
            <a:ln>
              <a:noFill/>
            </a:ln>
            <a:effectLst/>
            <a:sp3d/>
          </c:spPr>
          <c:invertIfNegative val="0"/>
          <c:val>
            <c:numRef>
              <c:f>'INDICADORES FINANCIEROS'!$E$119</c:f>
              <c:numCache>
                <c:formatCode>0.00%</c:formatCode>
                <c:ptCount val="1"/>
                <c:pt idx="0">
                  <c:v>-0.18568986062898296</c:v>
                </c:pt>
              </c:numCache>
            </c:numRef>
          </c:val>
          <c:extLst>
            <c:ext xmlns:c16="http://schemas.microsoft.com/office/drawing/2014/chart" uri="{C3380CC4-5D6E-409C-BE32-E72D297353CC}">
              <c16:uniqueId val="{00000000-6585-5A49-A384-A4D05A7C2210}"/>
            </c:ext>
          </c:extLst>
        </c:ser>
        <c:ser>
          <c:idx val="1"/>
          <c:order val="1"/>
          <c:tx>
            <c:strRef>
              <c:f>'INDICADORES FINANCIEROS'!$B$61</c:f>
              <c:strCache>
                <c:ptCount val="1"/>
                <c:pt idx="0">
                  <c:v>TOTAL ACTIVO NO CORRIENTE</c:v>
                </c:pt>
              </c:strCache>
            </c:strRef>
          </c:tx>
          <c:spPr>
            <a:solidFill>
              <a:schemeClr val="accent2"/>
            </a:solidFill>
            <a:ln>
              <a:noFill/>
            </a:ln>
            <a:effectLst/>
            <a:sp3d/>
          </c:spPr>
          <c:invertIfNegative val="0"/>
          <c:val>
            <c:numRef>
              <c:f>'INDICADORES FINANCIEROS'!$E$121</c:f>
              <c:numCache>
                <c:formatCode>0.00%</c:formatCode>
                <c:ptCount val="1"/>
                <c:pt idx="0">
                  <c:v>0.25183333333333335</c:v>
                </c:pt>
              </c:numCache>
            </c:numRef>
          </c:val>
          <c:extLst>
            <c:ext xmlns:c16="http://schemas.microsoft.com/office/drawing/2014/chart" uri="{C3380CC4-5D6E-409C-BE32-E72D297353CC}">
              <c16:uniqueId val="{00000001-6585-5A49-A384-A4D05A7C2210}"/>
            </c:ext>
          </c:extLst>
        </c:ser>
        <c:ser>
          <c:idx val="2"/>
          <c:order val="2"/>
          <c:tx>
            <c:strRef>
              <c:f>'INDICADORES FINANCIEROS'!$B$62</c:f>
              <c:strCache>
                <c:ptCount val="1"/>
                <c:pt idx="0">
                  <c:v>TOTAL ACTIVO</c:v>
                </c:pt>
              </c:strCache>
            </c:strRef>
          </c:tx>
          <c:spPr>
            <a:solidFill>
              <a:schemeClr val="accent3"/>
            </a:solidFill>
            <a:ln>
              <a:noFill/>
            </a:ln>
            <a:effectLst/>
            <a:sp3d/>
          </c:spPr>
          <c:invertIfNegative val="0"/>
          <c:val>
            <c:numRef>
              <c:f>'INDICADORES FINANCIEROS'!$E$122</c:f>
              <c:numCache>
                <c:formatCode>0.00%</c:formatCode>
                <c:ptCount val="1"/>
                <c:pt idx="0">
                  <c:v>0.21332628062191539</c:v>
                </c:pt>
              </c:numCache>
            </c:numRef>
          </c:val>
          <c:extLst>
            <c:ext xmlns:c16="http://schemas.microsoft.com/office/drawing/2014/chart" uri="{C3380CC4-5D6E-409C-BE32-E72D297353CC}">
              <c16:uniqueId val="{00000002-6585-5A49-A384-A4D05A7C2210}"/>
            </c:ext>
          </c:extLst>
        </c:ser>
        <c:ser>
          <c:idx val="3"/>
          <c:order val="3"/>
          <c:tx>
            <c:strRef>
              <c:f>'INDICADORES FINANCIEROS'!$B$71</c:f>
              <c:strCache>
                <c:ptCount val="1"/>
                <c:pt idx="0">
                  <c:v>TOTAL PASIVO CORRIENTE</c:v>
                </c:pt>
              </c:strCache>
            </c:strRef>
          </c:tx>
          <c:spPr>
            <a:solidFill>
              <a:schemeClr val="accent4"/>
            </a:solidFill>
            <a:ln>
              <a:noFill/>
            </a:ln>
            <a:effectLst/>
            <a:sp3d/>
          </c:spPr>
          <c:invertIfNegative val="0"/>
          <c:val>
            <c:numRef>
              <c:f>'INDICADORES FINANCIEROS'!$E$128</c:f>
              <c:numCache>
                <c:formatCode>0.00%</c:formatCode>
                <c:ptCount val="1"/>
                <c:pt idx="0">
                  <c:v>2.8462887200467564</c:v>
                </c:pt>
              </c:numCache>
            </c:numRef>
          </c:val>
          <c:extLst>
            <c:ext xmlns:c16="http://schemas.microsoft.com/office/drawing/2014/chart" uri="{C3380CC4-5D6E-409C-BE32-E72D297353CC}">
              <c16:uniqueId val="{00000003-6585-5A49-A384-A4D05A7C2210}"/>
            </c:ext>
          </c:extLst>
        </c:ser>
        <c:ser>
          <c:idx val="4"/>
          <c:order val="4"/>
          <c:tx>
            <c:strRef>
              <c:f>'INDICADORES FINANCIEROS'!$B$103</c:f>
              <c:strCache>
                <c:ptCount val="1"/>
                <c:pt idx="0">
                  <c:v>TOTAL PASIVO</c:v>
                </c:pt>
              </c:strCache>
            </c:strRef>
          </c:tx>
          <c:spPr>
            <a:solidFill>
              <a:schemeClr val="accent5"/>
            </a:solidFill>
            <a:ln>
              <a:noFill/>
            </a:ln>
            <a:effectLst/>
            <a:sp3d/>
          </c:spPr>
          <c:invertIfNegative val="0"/>
          <c:val>
            <c:numRef>
              <c:f>'INDICADORES FINANCIEROS'!$E$129</c:f>
              <c:numCache>
                <c:formatCode>0.00%</c:formatCode>
                <c:ptCount val="1"/>
                <c:pt idx="0">
                  <c:v>2.8462887200467564</c:v>
                </c:pt>
              </c:numCache>
            </c:numRef>
          </c:val>
          <c:extLst>
            <c:ext xmlns:c16="http://schemas.microsoft.com/office/drawing/2014/chart" uri="{C3380CC4-5D6E-409C-BE32-E72D297353CC}">
              <c16:uniqueId val="{00000004-6585-5A49-A384-A4D05A7C2210}"/>
            </c:ext>
          </c:extLst>
        </c:ser>
        <c:ser>
          <c:idx val="5"/>
          <c:order val="5"/>
          <c:tx>
            <c:strRef>
              <c:f>'INDICADORES FINANCIEROS'!$B$79</c:f>
              <c:strCache>
                <c:ptCount val="1"/>
                <c:pt idx="0">
                  <c:v>TOTAL PATRIMONIO</c:v>
                </c:pt>
              </c:strCache>
            </c:strRef>
          </c:tx>
          <c:spPr>
            <a:solidFill>
              <a:schemeClr val="accent6"/>
            </a:solidFill>
            <a:ln>
              <a:noFill/>
            </a:ln>
            <a:effectLst/>
            <a:sp3d/>
          </c:spPr>
          <c:invertIfNegative val="0"/>
          <c:val>
            <c:numRef>
              <c:f>'INDICADORES FINANCIEROS'!$E$135</c:f>
              <c:numCache>
                <c:formatCode>0.00%</c:formatCode>
                <c:ptCount val="1"/>
                <c:pt idx="0">
                  <c:v>7.6460599238240112E-2</c:v>
                </c:pt>
              </c:numCache>
            </c:numRef>
          </c:val>
          <c:extLst>
            <c:ext xmlns:c16="http://schemas.microsoft.com/office/drawing/2014/chart" uri="{C3380CC4-5D6E-409C-BE32-E72D297353CC}">
              <c16:uniqueId val="{00000005-6585-5A49-A384-A4D05A7C2210}"/>
            </c:ext>
          </c:extLst>
        </c:ser>
        <c:dLbls>
          <c:showLegendKey val="0"/>
          <c:showVal val="0"/>
          <c:showCatName val="0"/>
          <c:showSerName val="0"/>
          <c:showPercent val="0"/>
          <c:showBubbleSize val="0"/>
        </c:dLbls>
        <c:gapWidth val="150"/>
        <c:shape val="box"/>
        <c:axId val="-810516048"/>
        <c:axId val="-797985344"/>
        <c:axId val="0"/>
      </c:bar3DChart>
      <c:catAx>
        <c:axId val="-810516048"/>
        <c:scaling>
          <c:orientation val="minMax"/>
        </c:scaling>
        <c:delete val="1"/>
        <c:axPos val="l"/>
        <c:numFmt formatCode="General" sourceLinked="1"/>
        <c:majorTickMark val="none"/>
        <c:minorTickMark val="none"/>
        <c:tickLblPos val="nextTo"/>
        <c:crossAx val="-797985344"/>
        <c:crosses val="autoZero"/>
        <c:auto val="1"/>
        <c:lblAlgn val="ctr"/>
        <c:lblOffset val="100"/>
        <c:noMultiLvlLbl val="0"/>
      </c:catAx>
      <c:valAx>
        <c:axId val="-7979853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1051604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2017</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4">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FINANCIEROS'!$F$156:$F$159,'INDICADORES FINANCIEROS'!$F$160:$F$161)</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FINANCIEROS'!$G$156:$G$159,'INDICADORES FINANCIEROS'!$G$160:$G$161)</c:f>
              <c:numCache>
                <c:formatCode>General</c:formatCode>
                <c:ptCount val="6"/>
              </c:numCache>
            </c:numRef>
          </c:val>
          <c:extLst>
            <c:ext xmlns:c16="http://schemas.microsoft.com/office/drawing/2014/chart" uri="{C3380CC4-5D6E-409C-BE32-E72D297353CC}">
              <c16:uniqueId val="{00000000-ADB4-9641-ABD7-CA78B1BC7F55}"/>
            </c:ext>
          </c:extLst>
        </c:ser>
        <c:ser>
          <c:idx val="1"/>
          <c:order val="1"/>
          <c:spPr>
            <a:solidFill>
              <a:schemeClr val="accent4"/>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FINANCIEROS'!$F$156:$F$159,'INDICADORES FINANCIEROS'!$F$160:$F$161)</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FINANCIEROS'!$H$156:$H$159,'INDICADORES FINANCIEROS'!$H$160:$H$161)</c:f>
              <c:numCache>
                <c:formatCode>General</c:formatCode>
                <c:ptCount val="6"/>
              </c:numCache>
            </c:numRef>
          </c:val>
          <c:extLst>
            <c:ext xmlns:c16="http://schemas.microsoft.com/office/drawing/2014/chart" uri="{C3380CC4-5D6E-409C-BE32-E72D297353CC}">
              <c16:uniqueId val="{00000001-ADB4-9641-ABD7-CA78B1BC7F55}"/>
            </c:ext>
          </c:extLst>
        </c:ser>
        <c:ser>
          <c:idx val="2"/>
          <c:order val="2"/>
          <c:spPr>
            <a:solidFill>
              <a:schemeClr val="accent4">
                <a:tint val="65000"/>
              </a:schemeClr>
            </a:solidFill>
            <a:ln>
              <a:noFill/>
            </a:ln>
            <a:effectLst/>
            <a:sp3d/>
          </c:spPr>
          <c:invertIfNegative val="0"/>
          <c:dLbls>
            <c:dLbl>
              <c:idx val="1"/>
              <c:layout>
                <c:manualLayout>
                  <c:x val="3.8004750593824167E-2"/>
                  <c:y val="5.278437582475490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098-4DC6-8E71-5F58F0B56937}"/>
                </c:ext>
              </c:extLst>
            </c:dLbl>
            <c:dLbl>
              <c:idx val="4"/>
              <c:layout>
                <c:manualLayout>
                  <c:x val="2.850356294536811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098-4DC6-8E71-5F58F0B5693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FINANCIEROS'!$F$156:$F$159,'INDICADORES FINANCIEROS'!$F$160:$F$161)</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FINANCIEROS'!$I$156:$I$159,'INDICADORES FINANCIEROS'!$I$160:$I$161)</c:f>
              <c:numCache>
                <c:formatCode>0.00%</c:formatCode>
                <c:ptCount val="6"/>
                <c:pt idx="0">
                  <c:v>0.27890689180762723</c:v>
                </c:pt>
                <c:pt idx="1">
                  <c:v>0.18824080514429287</c:v>
                </c:pt>
                <c:pt idx="2">
                  <c:v>0.72109310819237282</c:v>
                </c:pt>
                <c:pt idx="3">
                  <c:v>2.5854259230343377</c:v>
                </c:pt>
                <c:pt idx="4">
                  <c:v>0.38678346615569176</c:v>
                </c:pt>
                <c:pt idx="5">
                  <c:v>1</c:v>
                </c:pt>
              </c:numCache>
            </c:numRef>
          </c:val>
          <c:extLst>
            <c:ext xmlns:c16="http://schemas.microsoft.com/office/drawing/2014/chart" uri="{C3380CC4-5D6E-409C-BE32-E72D297353CC}">
              <c16:uniqueId val="{00000002-ADB4-9641-ABD7-CA78B1BC7F55}"/>
            </c:ext>
          </c:extLst>
        </c:ser>
        <c:dLbls>
          <c:showLegendKey val="0"/>
          <c:showVal val="1"/>
          <c:showCatName val="0"/>
          <c:showSerName val="0"/>
          <c:showPercent val="0"/>
          <c:showBubbleSize val="0"/>
        </c:dLbls>
        <c:gapWidth val="150"/>
        <c:shape val="box"/>
        <c:axId val="-338928128"/>
        <c:axId val="-338927040"/>
        <c:axId val="0"/>
      </c:bar3DChart>
      <c:catAx>
        <c:axId val="-33892812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27040"/>
        <c:crosses val="autoZero"/>
        <c:auto val="1"/>
        <c:lblAlgn val="ctr"/>
        <c:lblOffset val="100"/>
        <c:noMultiLvlLbl val="0"/>
      </c:catAx>
      <c:valAx>
        <c:axId val="-3389270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281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9"/>
    </mc:Choice>
    <mc:Fallback>
      <c:style val="39"/>
    </mc:Fallback>
  </mc:AlternateContent>
  <c:chart>
    <c:title>
      <c:tx>
        <c:rich>
          <a:bodyPr rot="0" vert="horz"/>
          <a:lstStyle/>
          <a:p>
            <a:pPr>
              <a:defRPr/>
            </a:pPr>
            <a:r>
              <a:rPr lang="es-CO"/>
              <a:t>INDICADORES RENTABILIDAD 2017</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FINANCIEROS'!$F$164:$F$168</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FINANCIEROS'!$G$164:$G$168</c:f>
              <c:numCache>
                <c:formatCode>General</c:formatCode>
                <c:ptCount val="5"/>
              </c:numCache>
            </c:numRef>
          </c:val>
          <c:extLst>
            <c:ext xmlns:c16="http://schemas.microsoft.com/office/drawing/2014/chart" uri="{C3380CC4-5D6E-409C-BE32-E72D297353CC}">
              <c16:uniqueId val="{00000000-EBAC-454F-94FE-00349BDC25BE}"/>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FINANCIEROS'!$F$164:$F$168</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FINANCIEROS'!$H$164:$H$168</c:f>
              <c:numCache>
                <c:formatCode>General</c:formatCode>
                <c:ptCount val="5"/>
              </c:numCache>
            </c:numRef>
          </c:val>
          <c:extLst>
            <c:ext xmlns:c16="http://schemas.microsoft.com/office/drawing/2014/chart" uri="{C3380CC4-5D6E-409C-BE32-E72D297353CC}">
              <c16:uniqueId val="{00000001-EBAC-454F-94FE-00349BDC25BE}"/>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FINANCIEROS'!$F$164:$F$168</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FINANCIEROS'!$I$164:$I$168</c:f>
              <c:numCache>
                <c:formatCode>0.00%</c:formatCode>
                <c:ptCount val="5"/>
                <c:pt idx="0">
                  <c:v>0.12030694294781517</c:v>
                </c:pt>
                <c:pt idx="1">
                  <c:v>5.2373707216954279E-2</c:v>
                </c:pt>
                <c:pt idx="2">
                  <c:v>2.74850767444411E-2</c:v>
                </c:pt>
                <c:pt idx="3">
                  <c:v>4.3342731098550254E-2</c:v>
                </c:pt>
                <c:pt idx="4">
                  <c:v>3.1254144685399818E-2</c:v>
                </c:pt>
              </c:numCache>
            </c:numRef>
          </c:val>
          <c:extLst>
            <c:ext xmlns:c16="http://schemas.microsoft.com/office/drawing/2014/chart" uri="{C3380CC4-5D6E-409C-BE32-E72D297353CC}">
              <c16:uniqueId val="{00000002-EBAC-454F-94FE-00349BDC25BE}"/>
            </c:ext>
          </c:extLst>
        </c:ser>
        <c:dLbls>
          <c:showLegendKey val="0"/>
          <c:showVal val="1"/>
          <c:showCatName val="0"/>
          <c:showSerName val="0"/>
          <c:showPercent val="0"/>
          <c:showBubbleSize val="0"/>
        </c:dLbls>
        <c:gapWidth val="150"/>
        <c:shape val="box"/>
        <c:axId val="-338954240"/>
        <c:axId val="-338933568"/>
        <c:axId val="0"/>
      </c:bar3DChart>
      <c:catAx>
        <c:axId val="-338954240"/>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33568"/>
        <c:crosses val="autoZero"/>
        <c:auto val="1"/>
        <c:lblAlgn val="ctr"/>
        <c:lblOffset val="100"/>
        <c:noMultiLvlLbl val="0"/>
      </c:catAx>
      <c:valAx>
        <c:axId val="-33893356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54240"/>
        <c:crosses val="autoZero"/>
        <c:crossBetween val="between"/>
      </c:valAx>
    </c:plotArea>
    <c:plotVisOnly val="1"/>
    <c:dispBlanksAs val="gap"/>
    <c:showDLblsOverMax val="0"/>
  </c:chart>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INDICADORES DE ACTIVIDAD 2017</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FINANCIEROS'!$F$149,'INDICADORES FINANCIEROS'!$F$150,'INDICADORES FINANCIEROS'!$F$151:$F$153)</c:f>
              <c:strCache>
                <c:ptCount val="5"/>
                <c:pt idx="0">
                  <c:v>ROTACION DE CARTERA (Dias)</c:v>
                </c:pt>
                <c:pt idx="1">
                  <c:v>ROTACION DE ACTIVOS FIJOS (Dias)</c:v>
                </c:pt>
                <c:pt idx="2">
                  <c:v>ROTACION DE CUENTAS POR COBRAR (Veces)</c:v>
                </c:pt>
                <c:pt idx="3">
                  <c:v>ROTACION DE ACTIVOS TOTALES (Veces)</c:v>
                </c:pt>
                <c:pt idx="4">
                  <c:v>ROTACION DEL CAPITAL DE TRABAJO</c:v>
                </c:pt>
              </c:strCache>
            </c:strRef>
          </c:cat>
          <c:val>
            <c:numRef>
              <c:f>('INDICADORES FINANCIEROS'!$G$149,'INDICADORES FINANCIEROS'!$G$150,'INDICADORES FINANCIEROS'!$G$151:$G$153)</c:f>
              <c:numCache>
                <c:formatCode>General</c:formatCode>
                <c:ptCount val="5"/>
              </c:numCache>
            </c:numRef>
          </c:val>
          <c:extLst>
            <c:ext xmlns:c16="http://schemas.microsoft.com/office/drawing/2014/chart" uri="{C3380CC4-5D6E-409C-BE32-E72D297353CC}">
              <c16:uniqueId val="{00000000-08EE-8946-92BD-19C5548B4248}"/>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FINANCIEROS'!$F$149,'INDICADORES FINANCIEROS'!$F$150,'INDICADORES FINANCIEROS'!$F$151:$F$153)</c:f>
              <c:strCache>
                <c:ptCount val="5"/>
                <c:pt idx="0">
                  <c:v>ROTACION DE CARTERA (Dias)</c:v>
                </c:pt>
                <c:pt idx="1">
                  <c:v>ROTACION DE ACTIVOS FIJOS (Dias)</c:v>
                </c:pt>
                <c:pt idx="2">
                  <c:v>ROTACION DE CUENTAS POR COBRAR (Veces)</c:v>
                </c:pt>
                <c:pt idx="3">
                  <c:v>ROTACION DE ACTIVOS TOTALES (Veces)</c:v>
                </c:pt>
                <c:pt idx="4">
                  <c:v>ROTACION DEL CAPITAL DE TRABAJO</c:v>
                </c:pt>
              </c:strCache>
            </c:strRef>
          </c:cat>
          <c:val>
            <c:numRef>
              <c:f>('INDICADORES FINANCIEROS'!$H$149,'INDICADORES FINANCIEROS'!$H$150,'INDICADORES FINANCIEROS'!$H$151:$H$153)</c:f>
              <c:numCache>
                <c:formatCode>General</c:formatCode>
                <c:ptCount val="5"/>
              </c:numCache>
            </c:numRef>
          </c:val>
          <c:extLst>
            <c:ext xmlns:c16="http://schemas.microsoft.com/office/drawing/2014/chart" uri="{C3380CC4-5D6E-409C-BE32-E72D297353CC}">
              <c16:uniqueId val="{00000001-08EE-8946-92BD-19C5548B4248}"/>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FINANCIEROS'!$F$149,'INDICADORES FINANCIEROS'!$F$150,'INDICADORES FINANCIEROS'!$F$151:$F$153)</c:f>
              <c:strCache>
                <c:ptCount val="5"/>
                <c:pt idx="0">
                  <c:v>ROTACION DE CARTERA (Dias)</c:v>
                </c:pt>
                <c:pt idx="1">
                  <c:v>ROTACION DE ACTIVOS FIJOS (Dias)</c:v>
                </c:pt>
                <c:pt idx="2">
                  <c:v>ROTACION DE CUENTAS POR COBRAR (Veces)</c:v>
                </c:pt>
                <c:pt idx="3">
                  <c:v>ROTACION DE ACTIVOS TOTALES (Veces)</c:v>
                </c:pt>
                <c:pt idx="4">
                  <c:v>ROTACION DEL CAPITAL DE TRABAJO</c:v>
                </c:pt>
              </c:strCache>
            </c:strRef>
          </c:cat>
          <c:val>
            <c:numRef>
              <c:f>('INDICADORES FINANCIEROS'!$I$149,'INDICADORES FINANCIEROS'!$I$150,'INDICADORES FINANCIEROS'!$I$151:$I$153)</c:f>
              <c:numCache>
                <c:formatCode>0.00</c:formatCode>
                <c:ptCount val="5"/>
                <c:pt idx="0">
                  <c:v>40.961259748941544</c:v>
                </c:pt>
                <c:pt idx="1">
                  <c:v>2.0171077327162563</c:v>
                </c:pt>
                <c:pt idx="2">
                  <c:v>8.7887921955159722</c:v>
                </c:pt>
                <c:pt idx="3">
                  <c:v>0.96028478936269268</c:v>
                </c:pt>
                <c:pt idx="4">
                  <c:v>9.1</c:v>
                </c:pt>
              </c:numCache>
            </c:numRef>
          </c:val>
          <c:extLst>
            <c:ext xmlns:c16="http://schemas.microsoft.com/office/drawing/2014/chart" uri="{C3380CC4-5D6E-409C-BE32-E72D297353CC}">
              <c16:uniqueId val="{00000002-08EE-8946-92BD-19C5548B4248}"/>
            </c:ext>
          </c:extLst>
        </c:ser>
        <c:dLbls>
          <c:showLegendKey val="0"/>
          <c:showVal val="1"/>
          <c:showCatName val="0"/>
          <c:showSerName val="0"/>
          <c:showPercent val="0"/>
          <c:showBubbleSize val="0"/>
        </c:dLbls>
        <c:gapWidth val="150"/>
        <c:shape val="box"/>
        <c:axId val="-338950432"/>
        <c:axId val="-338937376"/>
        <c:axId val="0"/>
      </c:bar3DChart>
      <c:catAx>
        <c:axId val="-338950432"/>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338937376"/>
        <c:crosses val="autoZero"/>
        <c:auto val="1"/>
        <c:lblAlgn val="ctr"/>
        <c:lblOffset val="100"/>
        <c:noMultiLvlLbl val="0"/>
      </c:catAx>
      <c:valAx>
        <c:axId val="-338937376"/>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338950432"/>
        <c:crosses val="autoZero"/>
        <c:crossBetween val="between"/>
      </c:valAx>
    </c:plotArea>
    <c:plotVisOnly val="1"/>
    <c:dispBlanksAs val="gap"/>
    <c:showDLblsOverMax val="0"/>
  </c:chart>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40"/>
    </mc:Choice>
    <mc:Fallback>
      <c:style val="40"/>
    </mc:Fallback>
  </mc:AlternateContent>
  <c:chart>
    <c:title>
      <c:tx>
        <c:rich>
          <a:bodyPr rot="0" vert="horz"/>
          <a:lstStyle/>
          <a:p>
            <a:pPr>
              <a:defRPr/>
            </a:pPr>
            <a:r>
              <a:rPr lang="es-CO"/>
              <a:t>INDICADORES DE LIQUIDEZ 2017</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FINANCIEROS'!$F$144,'INDICADORES FINANCIEROS'!$F$146)</c:f>
              <c:strCache>
                <c:ptCount val="2"/>
                <c:pt idx="0">
                  <c:v>RAZON CORRIENTE (Veces)</c:v>
                </c:pt>
                <c:pt idx="1">
                  <c:v>CAPITAL NETO DE TRABAJO ($)</c:v>
                </c:pt>
              </c:strCache>
            </c:strRef>
          </c:cat>
          <c:val>
            <c:numRef>
              <c:f>('INDICADORES FINANCIEROS'!$G$144,'INDICADORES FINANCIEROS'!$G$146)</c:f>
              <c:numCache>
                <c:formatCode>General</c:formatCode>
                <c:ptCount val="2"/>
              </c:numCache>
            </c:numRef>
          </c:val>
          <c:extLst>
            <c:ext xmlns:c16="http://schemas.microsoft.com/office/drawing/2014/chart" uri="{C3380CC4-5D6E-409C-BE32-E72D297353CC}">
              <c16:uniqueId val="{00000000-BCB9-9145-B7BE-6C170482E4B0}"/>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FINANCIEROS'!$F$144,'INDICADORES FINANCIEROS'!$F$146)</c:f>
              <c:strCache>
                <c:ptCount val="2"/>
                <c:pt idx="0">
                  <c:v>RAZON CORRIENTE (Veces)</c:v>
                </c:pt>
                <c:pt idx="1">
                  <c:v>CAPITAL NETO DE TRABAJO ($)</c:v>
                </c:pt>
              </c:strCache>
            </c:strRef>
          </c:cat>
          <c:val>
            <c:numRef>
              <c:f>('INDICADORES FINANCIEROS'!$H$144,'INDICADORES FINANCIEROS'!$H$146)</c:f>
              <c:numCache>
                <c:formatCode>General</c:formatCode>
                <c:ptCount val="2"/>
              </c:numCache>
            </c:numRef>
          </c:val>
          <c:extLst>
            <c:ext xmlns:c16="http://schemas.microsoft.com/office/drawing/2014/chart" uri="{C3380CC4-5D6E-409C-BE32-E72D297353CC}">
              <c16:uniqueId val="{00000001-BCB9-9145-B7BE-6C170482E4B0}"/>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FINANCIEROS'!$F$144,'INDICADORES FINANCIEROS'!$F$146)</c:f>
              <c:strCache>
                <c:ptCount val="2"/>
                <c:pt idx="0">
                  <c:v>RAZON CORRIENTE (Veces)</c:v>
                </c:pt>
                <c:pt idx="1">
                  <c:v>CAPITAL NETO DE TRABAJO ($)</c:v>
                </c:pt>
              </c:strCache>
            </c:strRef>
          </c:cat>
          <c:val>
            <c:numRef>
              <c:f>('INDICADORES FINANCIEROS'!$I$144,'INDICADORES FINANCIEROS'!$I$146)</c:f>
              <c:numCache>
                <c:formatCode>"$"\ #,##0</c:formatCode>
                <c:ptCount val="2"/>
                <c:pt idx="0" formatCode="0.00">
                  <c:v>1.5497608130935312</c:v>
                </c:pt>
                <c:pt idx="1">
                  <c:v>154916000</c:v>
                </c:pt>
              </c:numCache>
            </c:numRef>
          </c:val>
          <c:extLst>
            <c:ext xmlns:c16="http://schemas.microsoft.com/office/drawing/2014/chart" uri="{C3380CC4-5D6E-409C-BE32-E72D297353CC}">
              <c16:uniqueId val="{00000002-BCB9-9145-B7BE-6C170482E4B0}"/>
            </c:ext>
          </c:extLst>
        </c:ser>
        <c:dLbls>
          <c:showLegendKey val="0"/>
          <c:showVal val="1"/>
          <c:showCatName val="0"/>
          <c:showSerName val="0"/>
          <c:showPercent val="0"/>
          <c:showBubbleSize val="0"/>
        </c:dLbls>
        <c:gapWidth val="150"/>
        <c:shape val="box"/>
        <c:axId val="-338944448"/>
        <c:axId val="-338949888"/>
        <c:axId val="0"/>
      </c:bar3DChart>
      <c:catAx>
        <c:axId val="-33894444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49888"/>
        <c:crosses val="autoZero"/>
        <c:auto val="1"/>
        <c:lblAlgn val="ctr"/>
        <c:lblOffset val="100"/>
        <c:noMultiLvlLbl val="0"/>
      </c:catAx>
      <c:valAx>
        <c:axId val="-33894988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44448"/>
        <c:crosses val="autoZero"/>
        <c:crossBetween val="between"/>
      </c:valAx>
    </c:plotArea>
    <c:plotVisOnly val="1"/>
    <c:dispBlanksAs val="gap"/>
    <c:showDLblsOverMax val="0"/>
  </c:chart>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1"/>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FINANCIEROS'!$F$238:$F$241,'INDICADORES FINANCIEROS'!$F$242:$F$243)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FINANCIEROS'!$G$238:$G$241,'INDICADORES FINANCIEROS'!$G$242:$G$243)</c:f>
              <c:numCache>
                <c:formatCode>General</c:formatCode>
                <c:ptCount val="6"/>
              </c:numCache>
            </c:numRef>
          </c:val>
          <c:extLst>
            <c:ext xmlns:c16="http://schemas.microsoft.com/office/drawing/2014/chart" uri="{C3380CC4-5D6E-409C-BE32-E72D297353CC}">
              <c16:uniqueId val="{00000000-31E3-8947-A394-F16A1B399257}"/>
            </c:ext>
          </c:extLst>
        </c:ser>
        <c:ser>
          <c:idx val="1"/>
          <c:order val="1"/>
          <c:spPr>
            <a:solidFill>
              <a:schemeClr val="accent2"/>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FINANCIEROS'!$F$238:$F$241,'INDICADORES FINANCIEROS'!$F$242:$F$243)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FINANCIEROS'!$H$238:$H$241,'INDICADORES FINANCIEROS'!$H$242:$H$243)</c:f>
              <c:numCache>
                <c:formatCode>General</c:formatCode>
                <c:ptCount val="6"/>
              </c:numCache>
            </c:numRef>
          </c:val>
          <c:extLst>
            <c:ext xmlns:c16="http://schemas.microsoft.com/office/drawing/2014/chart" uri="{C3380CC4-5D6E-409C-BE32-E72D297353CC}">
              <c16:uniqueId val="{00000001-31E3-8947-A394-F16A1B399257}"/>
            </c:ext>
          </c:extLst>
        </c:ser>
        <c:ser>
          <c:idx val="2"/>
          <c:order val="2"/>
          <c:spPr>
            <a:solidFill>
              <a:schemeClr val="accent3"/>
            </a:solidFill>
            <a:ln>
              <a:noFill/>
            </a:ln>
            <a:effectLst/>
            <a:sp3d/>
          </c:spPr>
          <c:invertIfNegative val="0"/>
          <c:dLbls>
            <c:dLbl>
              <c:idx val="1"/>
              <c:layout>
                <c:manualLayout>
                  <c:x val="4.0593286494925843E-2"/>
                  <c:y val="-5.2042674993495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3B5-4A77-A4C5-EA701A75CDD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FINANCIEROS'!$F$238:$F$241,'INDICADORES FINANCIEROS'!$F$242:$F$243)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FINANCIEROS'!$I$238:$I$241,'INDICADORES FINANCIEROS'!$I$242:$I$243)</c:f>
              <c:numCache>
                <c:formatCode>0.00%</c:formatCode>
                <c:ptCount val="6"/>
                <c:pt idx="0">
                  <c:v>0.18867463287720668</c:v>
                </c:pt>
                <c:pt idx="1">
                  <c:v>0</c:v>
                </c:pt>
                <c:pt idx="2">
                  <c:v>0.81132536712279335</c:v>
                </c:pt>
                <c:pt idx="3">
                  <c:v>4.3001295656465945</c:v>
                </c:pt>
                <c:pt idx="4">
                  <c:v>0.23255113240980538</c:v>
                </c:pt>
                <c:pt idx="5">
                  <c:v>1</c:v>
                </c:pt>
              </c:numCache>
            </c:numRef>
          </c:val>
          <c:extLst>
            <c:ext xmlns:c16="http://schemas.microsoft.com/office/drawing/2014/chart" uri="{C3380CC4-5D6E-409C-BE32-E72D297353CC}">
              <c16:uniqueId val="{00000002-31E3-8947-A394-F16A1B399257}"/>
            </c:ext>
          </c:extLst>
        </c:ser>
        <c:dLbls>
          <c:showLegendKey val="0"/>
          <c:showVal val="1"/>
          <c:showCatName val="0"/>
          <c:showSerName val="0"/>
          <c:showPercent val="0"/>
          <c:showBubbleSize val="0"/>
        </c:dLbls>
        <c:gapWidth val="150"/>
        <c:shape val="box"/>
        <c:axId val="-338934112"/>
        <c:axId val="-338959136"/>
        <c:axId val="0"/>
      </c:bar3DChart>
      <c:catAx>
        <c:axId val="-33893411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59136"/>
        <c:crosses val="autoZero"/>
        <c:auto val="1"/>
        <c:lblAlgn val="ctr"/>
        <c:lblOffset val="100"/>
        <c:noMultiLvlLbl val="0"/>
      </c:catAx>
      <c:valAx>
        <c:axId val="-33895913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341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vert="horz"/>
          <a:lstStyle/>
          <a:p>
            <a:pPr>
              <a:defRPr/>
            </a:pPr>
            <a:r>
              <a:rPr lang="es-CO"/>
              <a:t>INDICADORES RENTABILIDAD 2016</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FINANCIEROS'!$F$246:$F$250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FINANCIEROS'!$G$246:$G$250</c:f>
              <c:numCache>
                <c:formatCode>General</c:formatCode>
                <c:ptCount val="5"/>
              </c:numCache>
            </c:numRef>
          </c:val>
          <c:extLst>
            <c:ext xmlns:c16="http://schemas.microsoft.com/office/drawing/2014/chart" uri="{C3380CC4-5D6E-409C-BE32-E72D297353CC}">
              <c16:uniqueId val="{00000000-EF80-F84A-ACA5-28E14E255AA7}"/>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FINANCIEROS'!$F$246:$F$250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FINANCIEROS'!$H$246:$H$250</c:f>
              <c:numCache>
                <c:formatCode>General</c:formatCode>
                <c:ptCount val="5"/>
              </c:numCache>
            </c:numRef>
          </c:val>
          <c:extLst>
            <c:ext xmlns:c16="http://schemas.microsoft.com/office/drawing/2014/chart" uri="{C3380CC4-5D6E-409C-BE32-E72D297353CC}">
              <c16:uniqueId val="{00000001-EF80-F84A-ACA5-28E14E255AA7}"/>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FINANCIEROS'!$F$246:$F$250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FINANCIEROS'!$I$246:$I$250</c:f>
              <c:numCache>
                <c:formatCode>0.00%</c:formatCode>
                <c:ptCount val="5"/>
                <c:pt idx="0">
                  <c:v>0.14105410157958395</c:v>
                </c:pt>
                <c:pt idx="1">
                  <c:v>5.7885402496810366E-2</c:v>
                </c:pt>
                <c:pt idx="2">
                  <c:v>3.5821899421794458E-2</c:v>
                </c:pt>
                <c:pt idx="3">
                  <c:v>3.4080620978097893E-2</c:v>
                </c:pt>
                <c:pt idx="4">
                  <c:v>2.7650472326828046E-2</c:v>
                </c:pt>
              </c:numCache>
            </c:numRef>
          </c:val>
          <c:extLst>
            <c:ext xmlns:c16="http://schemas.microsoft.com/office/drawing/2014/chart" uri="{C3380CC4-5D6E-409C-BE32-E72D297353CC}">
              <c16:uniqueId val="{00000002-EF80-F84A-ACA5-28E14E255AA7}"/>
            </c:ext>
          </c:extLst>
        </c:ser>
        <c:dLbls>
          <c:showLegendKey val="0"/>
          <c:showVal val="1"/>
          <c:showCatName val="0"/>
          <c:showSerName val="0"/>
          <c:showPercent val="0"/>
          <c:showBubbleSize val="0"/>
        </c:dLbls>
        <c:gapWidth val="150"/>
        <c:shape val="box"/>
        <c:axId val="-338933024"/>
        <c:axId val="-338948800"/>
        <c:axId val="0"/>
      </c:bar3DChart>
      <c:catAx>
        <c:axId val="-338933024"/>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48800"/>
        <c:crosses val="autoZero"/>
        <c:auto val="1"/>
        <c:lblAlgn val="ctr"/>
        <c:lblOffset val="100"/>
        <c:noMultiLvlLbl val="0"/>
      </c:catAx>
      <c:valAx>
        <c:axId val="-338948800"/>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33024"/>
        <c:crosses val="autoZero"/>
        <c:crossBetween val="between"/>
      </c:valAx>
    </c:plotArea>
    <c:plotVisOnly val="1"/>
    <c:dispBlanksAs val="gap"/>
    <c:showDLblsOverMax val="0"/>
  </c:chart>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6"/>
    </mc:Choice>
    <mc:Fallback>
      <c:style val="36"/>
    </mc:Fallback>
  </mc:AlternateContent>
  <c:chart>
    <c:title>
      <c:tx>
        <c:rich>
          <a:bodyPr rot="0" vert="horz"/>
          <a:lstStyle/>
          <a:p>
            <a:pPr>
              <a:defRPr/>
            </a:pPr>
            <a:r>
              <a:rPr lang="es-CO"/>
              <a:t>INDICADORES DE ACTIVIDAD 2016</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FINANCIEROS'!$F$231,'INDICADORES FINANCIEROS'!$F$232,'INDICADORES FINANCIEROS'!$F$233:$F$235)</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FINANCIEROS'!$G$231,'INDICADORES FINANCIEROS'!$G$232,'INDICADORES FINANCIEROS'!$G$233:$G$235)</c:f>
              <c:numCache>
                <c:formatCode>General</c:formatCode>
                <c:ptCount val="5"/>
              </c:numCache>
            </c:numRef>
          </c:val>
          <c:extLst>
            <c:ext xmlns:c16="http://schemas.microsoft.com/office/drawing/2014/chart" uri="{C3380CC4-5D6E-409C-BE32-E72D297353CC}">
              <c16:uniqueId val="{00000000-F42C-2940-8253-3A5825EC03B4}"/>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FINANCIEROS'!$F$231,'INDICADORES FINANCIEROS'!$F$232,'INDICADORES FINANCIEROS'!$F$233:$F$235)</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FINANCIEROS'!$H$231,'INDICADORES FINANCIEROS'!$H$232,'INDICADORES FINANCIEROS'!$H$233:$H$235)</c:f>
              <c:numCache>
                <c:formatCode>General</c:formatCode>
                <c:ptCount val="5"/>
              </c:numCache>
            </c:numRef>
          </c:val>
          <c:extLst>
            <c:ext xmlns:c16="http://schemas.microsoft.com/office/drawing/2014/chart" uri="{C3380CC4-5D6E-409C-BE32-E72D297353CC}">
              <c16:uniqueId val="{00000001-F42C-2940-8253-3A5825EC03B4}"/>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FINANCIEROS'!$F$231,'INDICADORES FINANCIEROS'!$F$232,'INDICADORES FINANCIEROS'!$F$233:$F$235)</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FINANCIEROS'!$I$231,'INDICADORES FINANCIEROS'!$I$232,'INDICADORES FINANCIEROS'!$I$233:$I$235)</c:f>
              <c:numCache>
                <c:formatCode>0.00</c:formatCode>
                <c:ptCount val="5"/>
                <c:pt idx="0">
                  <c:v>51.873163226723335</c:v>
                </c:pt>
                <c:pt idx="1">
                  <c:v>0.92028812524288017</c:v>
                </c:pt>
                <c:pt idx="2">
                  <c:v>6.9400047655960169</c:v>
                </c:pt>
                <c:pt idx="3">
                  <c:v>0.74157836169344238</c:v>
                </c:pt>
                <c:pt idx="4">
                  <c:v>9.1</c:v>
                </c:pt>
              </c:numCache>
            </c:numRef>
          </c:val>
          <c:extLst>
            <c:ext xmlns:c16="http://schemas.microsoft.com/office/drawing/2014/chart" uri="{C3380CC4-5D6E-409C-BE32-E72D297353CC}">
              <c16:uniqueId val="{00000002-F42C-2940-8253-3A5825EC03B4}"/>
            </c:ext>
          </c:extLst>
        </c:ser>
        <c:dLbls>
          <c:showLegendKey val="0"/>
          <c:showVal val="1"/>
          <c:showCatName val="0"/>
          <c:showSerName val="0"/>
          <c:showPercent val="0"/>
          <c:showBubbleSize val="0"/>
        </c:dLbls>
        <c:gapWidth val="150"/>
        <c:shape val="box"/>
        <c:axId val="-338947168"/>
        <c:axId val="-338929760"/>
        <c:axId val="0"/>
      </c:bar3DChart>
      <c:catAx>
        <c:axId val="-338947168"/>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338929760"/>
        <c:crosses val="autoZero"/>
        <c:auto val="1"/>
        <c:lblAlgn val="ctr"/>
        <c:lblOffset val="100"/>
        <c:noMultiLvlLbl val="0"/>
      </c:catAx>
      <c:valAx>
        <c:axId val="-338929760"/>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338947168"/>
        <c:crosses val="autoZero"/>
        <c:crossBetween val="between"/>
      </c:valAx>
    </c:plotArea>
    <c:plotVisOnly val="1"/>
    <c:dispBlanksAs val="gap"/>
    <c:showDLblsOverMax val="0"/>
  </c:chart>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8"/>
    </mc:Choice>
    <mc:Fallback>
      <c:style val="38"/>
    </mc:Fallback>
  </mc:AlternateContent>
  <c:chart>
    <c:title>
      <c:tx>
        <c:rich>
          <a:bodyPr rot="0" vert="horz"/>
          <a:lstStyle/>
          <a:p>
            <a:pPr>
              <a:defRPr/>
            </a:pPr>
            <a:r>
              <a:rPr lang="es-CO"/>
              <a:t>INDICADORES DE LIQUIDEZ 2016</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FINANCIEROS'!$F$226,'INDICADORES FINANCIEROS'!$F$228)</c:f>
              <c:strCache>
                <c:ptCount val="2"/>
                <c:pt idx="0">
                  <c:v>RAZON CORRIENTE (Veces)</c:v>
                </c:pt>
                <c:pt idx="1">
                  <c:v>CAPITAL NETO DE TRABAJO ($)</c:v>
                </c:pt>
              </c:strCache>
            </c:strRef>
          </c:cat>
          <c:val>
            <c:numRef>
              <c:f>('INDICADORES FINANCIEROS'!$G$226,'INDICADORES FINANCIEROS'!$G$228)</c:f>
              <c:numCache>
                <c:formatCode>General</c:formatCode>
                <c:ptCount val="2"/>
              </c:numCache>
            </c:numRef>
          </c:val>
          <c:extLst>
            <c:ext xmlns:c16="http://schemas.microsoft.com/office/drawing/2014/chart" uri="{C3380CC4-5D6E-409C-BE32-E72D297353CC}">
              <c16:uniqueId val="{00000000-637B-6949-9F38-7802518EC910}"/>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FINANCIEROS'!$F$226,'INDICADORES FINANCIEROS'!$F$228)</c:f>
              <c:strCache>
                <c:ptCount val="2"/>
                <c:pt idx="0">
                  <c:v>RAZON CORRIENTE (Veces)</c:v>
                </c:pt>
                <c:pt idx="1">
                  <c:v>CAPITAL NETO DE TRABAJO ($)</c:v>
                </c:pt>
              </c:strCache>
            </c:strRef>
          </c:cat>
          <c:val>
            <c:numRef>
              <c:f>('INDICADORES FINANCIEROS'!$H$226,'INDICADORES FINANCIEROS'!$H$228)</c:f>
              <c:numCache>
                <c:formatCode>General</c:formatCode>
                <c:ptCount val="2"/>
              </c:numCache>
            </c:numRef>
          </c:val>
          <c:extLst>
            <c:ext xmlns:c16="http://schemas.microsoft.com/office/drawing/2014/chart" uri="{C3380CC4-5D6E-409C-BE32-E72D297353CC}">
              <c16:uniqueId val="{00000001-637B-6949-9F38-7802518EC910}"/>
            </c:ext>
          </c:extLst>
        </c:ser>
        <c:ser>
          <c:idx val="2"/>
          <c:order val="2"/>
          <c:invertIfNegative val="0"/>
          <c:dLbls>
            <c:dLbl>
              <c:idx val="0"/>
              <c:layout>
                <c:manualLayout>
                  <c:x val="5.7347670250896057E-2"/>
                  <c:y val="-4.778972520908092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28F-4014-92FC-AAD05C0BD09B}"/>
                </c:ext>
              </c:extLst>
            </c:dLbl>
            <c:dLbl>
              <c:idx val="1"/>
              <c:layout>
                <c:manualLayout>
                  <c:x val="0.32688172043010755"/>
                  <c:y val="4.380674204910105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28F-4014-92FC-AAD05C0BD09B}"/>
                </c:ext>
              </c:extLst>
            </c:dLbl>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FINANCIEROS'!$F$226,'INDICADORES FINANCIEROS'!$F$228)</c:f>
              <c:strCache>
                <c:ptCount val="2"/>
                <c:pt idx="0">
                  <c:v>RAZON CORRIENTE (Veces)</c:v>
                </c:pt>
                <c:pt idx="1">
                  <c:v>CAPITAL NETO DE TRABAJO ($)</c:v>
                </c:pt>
              </c:strCache>
            </c:strRef>
          </c:cat>
          <c:val>
            <c:numRef>
              <c:f>('INDICADORES FINANCIEROS'!$I$226,'INDICADORES FINANCIEROS'!$I$228)</c:f>
              <c:numCache>
                <c:formatCode>"$"\ #,##0</c:formatCode>
                <c:ptCount val="2"/>
                <c:pt idx="0" formatCode="0.00">
                  <c:v>0.84560710760118463</c:v>
                </c:pt>
                <c:pt idx="1">
                  <c:v>-25024000</c:v>
                </c:pt>
              </c:numCache>
            </c:numRef>
          </c:val>
          <c:extLst>
            <c:ext xmlns:c16="http://schemas.microsoft.com/office/drawing/2014/chart" uri="{C3380CC4-5D6E-409C-BE32-E72D297353CC}">
              <c16:uniqueId val="{00000002-637B-6949-9F38-7802518EC910}"/>
            </c:ext>
          </c:extLst>
        </c:ser>
        <c:dLbls>
          <c:showLegendKey val="0"/>
          <c:showVal val="1"/>
          <c:showCatName val="0"/>
          <c:showSerName val="0"/>
          <c:showPercent val="0"/>
          <c:showBubbleSize val="0"/>
        </c:dLbls>
        <c:gapWidth val="150"/>
        <c:shape val="box"/>
        <c:axId val="-338956960"/>
        <c:axId val="-338946080"/>
        <c:axId val="0"/>
      </c:bar3DChart>
      <c:catAx>
        <c:axId val="-338956960"/>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46080"/>
        <c:crosses val="autoZero"/>
        <c:auto val="1"/>
        <c:lblAlgn val="ctr"/>
        <c:lblOffset val="100"/>
        <c:noMultiLvlLbl val="0"/>
      </c:catAx>
      <c:valAx>
        <c:axId val="-338946080"/>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56960"/>
        <c:crosses val="autoZero"/>
        <c:crossBetween val="between"/>
      </c:valAx>
    </c:plotArea>
    <c:legend>
      <c:legendPos val="b"/>
      <c:overlay val="0"/>
      <c:txPr>
        <a:bodyPr rot="0" vert="horz"/>
        <a:lstStyle/>
        <a:p>
          <a:pPr>
            <a:defRPr/>
          </a:pPr>
          <a:endParaRPr lang="es-CO"/>
        </a:p>
      </c:txPr>
    </c:legend>
    <c:plotVisOnly val="1"/>
    <c:dispBlanksAs val="gap"/>
    <c:showDLblsOverMax val="0"/>
  </c:chart>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6">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FINANCIEROS'!$F$320:$F$323,'INDICADORES FINANCIEROS'!$F$324:$F$325)</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FINANCIEROS'!$G$320:$G$323,'INDICADORES FINANCIEROS'!$G$324:$G$325)</c:f>
              <c:numCache>
                <c:formatCode>General</c:formatCode>
                <c:ptCount val="6"/>
              </c:numCache>
            </c:numRef>
          </c:val>
          <c:extLst>
            <c:ext xmlns:c16="http://schemas.microsoft.com/office/drawing/2014/chart" uri="{C3380CC4-5D6E-409C-BE32-E72D297353CC}">
              <c16:uniqueId val="{00000000-F02E-2B47-87C0-A29B0F522197}"/>
            </c:ext>
          </c:extLst>
        </c:ser>
        <c:ser>
          <c:idx val="1"/>
          <c:order val="1"/>
          <c:spPr>
            <a:solidFill>
              <a:schemeClr val="accent6"/>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FINANCIEROS'!$F$320:$F$323,'INDICADORES FINANCIEROS'!$F$324:$F$325)</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FINANCIEROS'!$H$320:$H$323,'INDICADORES FINANCIEROS'!$H$324:$H$325)</c:f>
              <c:numCache>
                <c:formatCode>General</c:formatCode>
                <c:ptCount val="6"/>
              </c:numCache>
            </c:numRef>
          </c:val>
          <c:extLst>
            <c:ext xmlns:c16="http://schemas.microsoft.com/office/drawing/2014/chart" uri="{C3380CC4-5D6E-409C-BE32-E72D297353CC}">
              <c16:uniqueId val="{00000001-F02E-2B47-87C0-A29B0F522197}"/>
            </c:ext>
          </c:extLst>
        </c:ser>
        <c:ser>
          <c:idx val="2"/>
          <c:order val="2"/>
          <c:spPr>
            <a:solidFill>
              <a:schemeClr val="accent6">
                <a:tint val="65000"/>
              </a:schemeClr>
            </a:solidFill>
            <a:ln>
              <a:noFill/>
            </a:ln>
            <a:effectLst/>
            <a:sp3d/>
          </c:spPr>
          <c:invertIfNegative val="0"/>
          <c:dLbls>
            <c:dLbl>
              <c:idx val="1"/>
              <c:layout>
                <c:manualLayout>
                  <c:x val="2.190923317683875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EE9-4047-8BFF-8ED036B61C81}"/>
                </c:ext>
              </c:extLst>
            </c:dLbl>
            <c:dLbl>
              <c:idx val="4"/>
              <c:layout>
                <c:manualLayout>
                  <c:x val="4.0688575899843565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EE9-4047-8BFF-8ED036B61C81}"/>
                </c:ext>
              </c:extLst>
            </c:dLbl>
            <c:dLbl>
              <c:idx val="5"/>
              <c:layout>
                <c:manualLayout>
                  <c:x val="2.816901408450704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EE9-4047-8BFF-8ED036B61C8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FINANCIEROS'!$F$320:$F$323,'INDICADORES FINANCIEROS'!$F$324:$F$325)</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FINANCIEROS'!$I$320:$I$323,'INDICADORES FINANCIEROS'!$I$324:$I$325)</c:f>
              <c:numCache>
                <c:formatCode>0.00%</c:formatCode>
                <c:ptCount val="6"/>
                <c:pt idx="0">
                  <c:v>0.15664120683845056</c:v>
                </c:pt>
                <c:pt idx="1">
                  <c:v>0</c:v>
                </c:pt>
                <c:pt idx="2">
                  <c:v>0.84335879316154949</c:v>
                </c:pt>
                <c:pt idx="3">
                  <c:v>5.3840161869496717</c:v>
                </c:pt>
                <c:pt idx="4">
                  <c:v>0.18573495421947323</c:v>
                </c:pt>
                <c:pt idx="5">
                  <c:v>1</c:v>
                </c:pt>
              </c:numCache>
            </c:numRef>
          </c:val>
          <c:extLst>
            <c:ext xmlns:c16="http://schemas.microsoft.com/office/drawing/2014/chart" uri="{C3380CC4-5D6E-409C-BE32-E72D297353CC}">
              <c16:uniqueId val="{00000002-F02E-2B47-87C0-A29B0F522197}"/>
            </c:ext>
          </c:extLst>
        </c:ser>
        <c:dLbls>
          <c:showLegendKey val="0"/>
          <c:showVal val="1"/>
          <c:showCatName val="0"/>
          <c:showSerName val="0"/>
          <c:showPercent val="0"/>
          <c:showBubbleSize val="0"/>
        </c:dLbls>
        <c:gapWidth val="150"/>
        <c:shape val="box"/>
        <c:axId val="-338926496"/>
        <c:axId val="-338956416"/>
        <c:axId val="0"/>
      </c:bar3DChart>
      <c:catAx>
        <c:axId val="-338926496"/>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56416"/>
        <c:crosses val="autoZero"/>
        <c:auto val="1"/>
        <c:lblAlgn val="ctr"/>
        <c:lblOffset val="100"/>
        <c:noMultiLvlLbl val="0"/>
      </c:catAx>
      <c:valAx>
        <c:axId val="-33895641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264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vert="horz"/>
          <a:lstStyle/>
          <a:p>
            <a:pPr>
              <a:defRPr/>
            </a:pPr>
            <a:r>
              <a:rPr lang="es-CO"/>
              <a:t>INDICADORES RENTABILIDAD 2015</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FINANCIEROS'!$F$328:$F$332</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FINANCIEROS'!$G$328:$G$332</c:f>
              <c:numCache>
                <c:formatCode>General</c:formatCode>
                <c:ptCount val="5"/>
              </c:numCache>
            </c:numRef>
          </c:val>
          <c:extLst>
            <c:ext xmlns:c16="http://schemas.microsoft.com/office/drawing/2014/chart" uri="{C3380CC4-5D6E-409C-BE32-E72D297353CC}">
              <c16:uniqueId val="{00000000-3CB8-594A-9EBA-8D7B03381666}"/>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FINANCIEROS'!$F$328:$F$332</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FINANCIEROS'!$H$328:$H$332</c:f>
              <c:numCache>
                <c:formatCode>General</c:formatCode>
                <c:ptCount val="5"/>
              </c:numCache>
            </c:numRef>
          </c:val>
          <c:extLst>
            <c:ext xmlns:c16="http://schemas.microsoft.com/office/drawing/2014/chart" uri="{C3380CC4-5D6E-409C-BE32-E72D297353CC}">
              <c16:uniqueId val="{00000001-3CB8-594A-9EBA-8D7B03381666}"/>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FINANCIEROS'!$F$328:$F$332</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FINANCIEROS'!$I$328:$I$332</c:f>
              <c:numCache>
                <c:formatCode>0.00%</c:formatCode>
                <c:ptCount val="5"/>
                <c:pt idx="0">
                  <c:v>0.29277158847220042</c:v>
                </c:pt>
                <c:pt idx="1">
                  <c:v>0.209831987958459</c:v>
                </c:pt>
                <c:pt idx="2">
                  <c:v>0.1389484573228493</c:v>
                </c:pt>
                <c:pt idx="3">
                  <c:v>7.1029631082036568E-2</c:v>
                </c:pt>
                <c:pt idx="4">
                  <c:v>5.9903463948056436E-2</c:v>
                </c:pt>
              </c:numCache>
            </c:numRef>
          </c:val>
          <c:extLst>
            <c:ext xmlns:c16="http://schemas.microsoft.com/office/drawing/2014/chart" uri="{C3380CC4-5D6E-409C-BE32-E72D297353CC}">
              <c16:uniqueId val="{00000002-3CB8-594A-9EBA-8D7B03381666}"/>
            </c:ext>
          </c:extLst>
        </c:ser>
        <c:dLbls>
          <c:showLegendKey val="0"/>
          <c:showVal val="1"/>
          <c:showCatName val="0"/>
          <c:showSerName val="0"/>
          <c:showPercent val="0"/>
          <c:showBubbleSize val="0"/>
        </c:dLbls>
        <c:gapWidth val="150"/>
        <c:shape val="box"/>
        <c:axId val="-338952064"/>
        <c:axId val="-338932480"/>
        <c:axId val="0"/>
      </c:bar3DChart>
      <c:catAx>
        <c:axId val="-338952064"/>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32480"/>
        <c:crosses val="autoZero"/>
        <c:auto val="1"/>
        <c:lblAlgn val="ctr"/>
        <c:lblOffset val="100"/>
        <c:noMultiLvlLbl val="0"/>
      </c:catAx>
      <c:valAx>
        <c:axId val="-338932480"/>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52064"/>
        <c:crosses val="autoZero"/>
        <c:crossBetween val="between"/>
      </c:valAx>
    </c:plotArea>
    <c:plotVisOnly val="1"/>
    <c:dispBlanksAs val="gap"/>
    <c:showDLblsOverMax val="0"/>
  </c:chart>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8"/>
    </mc:Choice>
    <mc:Fallback>
      <c:style val="38"/>
    </mc:Fallback>
  </mc:AlternateContent>
  <c:chart>
    <c:title>
      <c:tx>
        <c:rich>
          <a:bodyPr rot="0" vert="horz"/>
          <a:lstStyle/>
          <a:p>
            <a:pPr>
              <a:defRPr/>
            </a:pPr>
            <a:r>
              <a:rPr lang="es-CO"/>
              <a:t>INDICADORES DE ACTIVIDAD 2015</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FINANCIEROS'!$F$313,'INDICADORES FINANCIEROS'!$F$314,'INDICADORES FINANCIEROS'!$F$315:$F$317)</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FINANCIEROS'!$G$313,'INDICADORES FINANCIEROS'!$G$314,'INDICADORES FINANCIEROS'!$G$315:$G$317)</c:f>
              <c:numCache>
                <c:formatCode>General</c:formatCode>
                <c:ptCount val="5"/>
              </c:numCache>
            </c:numRef>
          </c:val>
          <c:extLst>
            <c:ext xmlns:c16="http://schemas.microsoft.com/office/drawing/2014/chart" uri="{C3380CC4-5D6E-409C-BE32-E72D297353CC}">
              <c16:uniqueId val="{00000000-FC77-8B48-802B-0943B58698AA}"/>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FINANCIEROS'!$F$313,'INDICADORES FINANCIEROS'!$F$314,'INDICADORES FINANCIEROS'!$F$315:$F$317)</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FINANCIEROS'!$H$313,'INDICADORES FINANCIEROS'!$H$314,'INDICADORES FINANCIEROS'!$H$315:$H$317)</c:f>
              <c:numCache>
                <c:formatCode>General</c:formatCode>
                <c:ptCount val="5"/>
              </c:numCache>
            </c:numRef>
          </c:val>
          <c:extLst>
            <c:ext xmlns:c16="http://schemas.microsoft.com/office/drawing/2014/chart" uri="{C3380CC4-5D6E-409C-BE32-E72D297353CC}">
              <c16:uniqueId val="{00000001-FC77-8B48-802B-0943B58698AA}"/>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FINANCIEROS'!$F$313,'INDICADORES FINANCIEROS'!$F$314,'INDICADORES FINANCIEROS'!$F$315:$F$317)</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FINANCIEROS'!$I$313,'INDICADORES FINANCIEROS'!$I$314,'INDICADORES FINANCIEROS'!$I$315:$I$317)</c:f>
              <c:numCache>
                <c:formatCode>0.00</c:formatCode>
                <c:ptCount val="5"/>
                <c:pt idx="0">
                  <c:v>85.432135542729469</c:v>
                </c:pt>
                <c:pt idx="1">
                  <c:v>0.45818399680468647</c:v>
                </c:pt>
                <c:pt idx="2">
                  <c:v>4.2138710183587014</c:v>
                </c:pt>
                <c:pt idx="3">
                  <c:v>0.43112003617909656</c:v>
                </c:pt>
                <c:pt idx="4">
                  <c:v>9.1</c:v>
                </c:pt>
              </c:numCache>
            </c:numRef>
          </c:val>
          <c:extLst>
            <c:ext xmlns:c16="http://schemas.microsoft.com/office/drawing/2014/chart" uri="{C3380CC4-5D6E-409C-BE32-E72D297353CC}">
              <c16:uniqueId val="{00000002-FC77-8B48-802B-0943B58698AA}"/>
            </c:ext>
          </c:extLst>
        </c:ser>
        <c:dLbls>
          <c:showLegendKey val="0"/>
          <c:showVal val="1"/>
          <c:showCatName val="0"/>
          <c:showSerName val="0"/>
          <c:showPercent val="0"/>
          <c:showBubbleSize val="0"/>
        </c:dLbls>
        <c:gapWidth val="150"/>
        <c:shape val="box"/>
        <c:axId val="-338931936"/>
        <c:axId val="-338935744"/>
        <c:axId val="0"/>
      </c:bar3DChart>
      <c:catAx>
        <c:axId val="-338931936"/>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338935744"/>
        <c:crosses val="autoZero"/>
        <c:auto val="1"/>
        <c:lblAlgn val="ctr"/>
        <c:lblOffset val="100"/>
        <c:noMultiLvlLbl val="0"/>
      </c:catAx>
      <c:valAx>
        <c:axId val="-338935744"/>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338931936"/>
        <c:crosses val="autoZero"/>
        <c:crossBetween val="between"/>
      </c:valAx>
    </c:plotArea>
    <c:plotVisOnly val="1"/>
    <c:dispBlanksAs val="gap"/>
    <c:showDLblsOverMax val="0"/>
  </c:chart>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rot="0" vert="horz"/>
          <a:lstStyle/>
          <a:p>
            <a:pPr>
              <a:defRPr/>
            </a:pPr>
            <a:r>
              <a:rPr lang="es-CO"/>
              <a:t>INDICADORES DE LIQUIDEZ 2015</a:t>
            </a:r>
          </a:p>
        </c:rich>
      </c:tx>
      <c:layout>
        <c:manualLayout>
          <c:xMode val="edge"/>
          <c:yMode val="edge"/>
          <c:x val="0.20329011675264727"/>
          <c:y val="3.8314176245210725E-2"/>
        </c:manualLayout>
      </c:layout>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FINANCIEROS'!$F$308,'INDICADORES FINANCIEROS'!$F$310)</c:f>
              <c:strCache>
                <c:ptCount val="2"/>
                <c:pt idx="0">
                  <c:v>RAZON CORRIENTE (Veces)</c:v>
                </c:pt>
                <c:pt idx="1">
                  <c:v>CAPITAL NETO DE TRABAJO ($)</c:v>
                </c:pt>
              </c:strCache>
            </c:strRef>
          </c:cat>
          <c:val>
            <c:numRef>
              <c:f>('INDICADORES FINANCIEROS'!$G$308,'INDICADORES FINANCIEROS'!$G$310)</c:f>
              <c:numCache>
                <c:formatCode>General</c:formatCode>
                <c:ptCount val="2"/>
              </c:numCache>
            </c:numRef>
          </c:val>
          <c:extLst>
            <c:ext xmlns:c16="http://schemas.microsoft.com/office/drawing/2014/chart" uri="{C3380CC4-5D6E-409C-BE32-E72D297353CC}">
              <c16:uniqueId val="{00000000-A9E4-A146-AD3B-93A4B67CDDB3}"/>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FINANCIEROS'!$F$308,'INDICADORES FINANCIEROS'!$F$310)</c:f>
              <c:strCache>
                <c:ptCount val="2"/>
                <c:pt idx="0">
                  <c:v>RAZON CORRIENTE (Veces)</c:v>
                </c:pt>
                <c:pt idx="1">
                  <c:v>CAPITAL NETO DE TRABAJO ($)</c:v>
                </c:pt>
              </c:strCache>
            </c:strRef>
          </c:cat>
          <c:val>
            <c:numRef>
              <c:f>('INDICADORES FINANCIEROS'!$H$308,'INDICADORES FINANCIEROS'!$H$310)</c:f>
              <c:numCache>
                <c:formatCode>General</c:formatCode>
                <c:ptCount val="2"/>
              </c:numCache>
            </c:numRef>
          </c:val>
          <c:extLst>
            <c:ext xmlns:c16="http://schemas.microsoft.com/office/drawing/2014/chart" uri="{C3380CC4-5D6E-409C-BE32-E72D297353CC}">
              <c16:uniqueId val="{00000001-A9E4-A146-AD3B-93A4B67CDDB3}"/>
            </c:ext>
          </c:extLst>
        </c:ser>
        <c:ser>
          <c:idx val="2"/>
          <c:order val="2"/>
          <c:invertIfNegative val="0"/>
          <c:dLbls>
            <c:dLbl>
              <c:idx val="0"/>
              <c:layout>
                <c:manualLayout>
                  <c:x val="6.896551724137930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F8A-4A8E-977A-F9C44979A386}"/>
                </c:ext>
              </c:extLst>
            </c:dLbl>
            <c:dLbl>
              <c:idx val="1"/>
              <c:layout>
                <c:manualLayout>
                  <c:x val="0.3706896551724137"/>
                  <c:y val="4.789272030651384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F8A-4A8E-977A-F9C44979A386}"/>
                </c:ext>
              </c:extLst>
            </c:dLbl>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FINANCIEROS'!$F$308,'INDICADORES FINANCIEROS'!$F$310)</c:f>
              <c:strCache>
                <c:ptCount val="2"/>
                <c:pt idx="0">
                  <c:v>RAZON CORRIENTE (Veces)</c:v>
                </c:pt>
                <c:pt idx="1">
                  <c:v>CAPITAL NETO DE TRABAJO ($)</c:v>
                </c:pt>
              </c:strCache>
            </c:strRef>
          </c:cat>
          <c:val>
            <c:numRef>
              <c:f>('INDICADORES FINANCIEROS'!$I$308,'INDICADORES FINANCIEROS'!$I$310)</c:f>
              <c:numCache>
                <c:formatCode>"$"\ #,##0</c:formatCode>
                <c:ptCount val="2"/>
                <c:pt idx="0" formatCode="0.00">
                  <c:v>0.37709034781148282</c:v>
                </c:pt>
                <c:pt idx="1">
                  <c:v>-77888000</c:v>
                </c:pt>
              </c:numCache>
            </c:numRef>
          </c:val>
          <c:extLst>
            <c:ext xmlns:c16="http://schemas.microsoft.com/office/drawing/2014/chart" uri="{C3380CC4-5D6E-409C-BE32-E72D297353CC}">
              <c16:uniqueId val="{00000002-A9E4-A146-AD3B-93A4B67CDDB3}"/>
            </c:ext>
          </c:extLst>
        </c:ser>
        <c:dLbls>
          <c:showLegendKey val="0"/>
          <c:showVal val="1"/>
          <c:showCatName val="0"/>
          <c:showSerName val="0"/>
          <c:showPercent val="0"/>
          <c:showBubbleSize val="0"/>
        </c:dLbls>
        <c:gapWidth val="150"/>
        <c:shape val="box"/>
        <c:axId val="-338939008"/>
        <c:axId val="-338958592"/>
        <c:axId val="0"/>
      </c:bar3DChart>
      <c:catAx>
        <c:axId val="-33893900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58592"/>
        <c:crosses val="autoZero"/>
        <c:auto val="1"/>
        <c:lblAlgn val="ctr"/>
        <c:lblOffset val="100"/>
        <c:noMultiLvlLbl val="0"/>
      </c:catAx>
      <c:valAx>
        <c:axId val="-338958592"/>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39008"/>
        <c:crosses val="autoZero"/>
        <c:crossBetween val="between"/>
      </c:valAx>
    </c:plotArea>
    <c:plotVisOnly val="1"/>
    <c:dispBlanksAs val="gap"/>
    <c:showDLblsOverMax val="0"/>
  </c:chart>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2">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FINANCIEROS'!$F$401:$F$404,'INDICADORES FINANCIEROS'!$F$405:$F$406)</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FINANCIEROS'!$G$401:$G$404,'INDICADORES FINANCIEROS'!$G$405:$G$406)</c:f>
              <c:numCache>
                <c:formatCode>General</c:formatCode>
                <c:ptCount val="6"/>
              </c:numCache>
            </c:numRef>
          </c:val>
          <c:extLst>
            <c:ext xmlns:c16="http://schemas.microsoft.com/office/drawing/2014/chart" uri="{C3380CC4-5D6E-409C-BE32-E72D297353CC}">
              <c16:uniqueId val="{00000000-1A04-B54D-952B-5A0F7B104B2F}"/>
            </c:ext>
          </c:extLst>
        </c:ser>
        <c:ser>
          <c:idx val="1"/>
          <c:order val="1"/>
          <c:spPr>
            <a:solidFill>
              <a:schemeClr val="accent2"/>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FINANCIEROS'!$F$401:$F$404,'INDICADORES FINANCIEROS'!$F$405:$F$406)</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FINANCIEROS'!$H$401:$H$404,'INDICADORES FINANCIEROS'!$H$405:$H$406)</c:f>
              <c:numCache>
                <c:formatCode>General</c:formatCode>
                <c:ptCount val="6"/>
              </c:numCache>
            </c:numRef>
          </c:val>
          <c:extLst>
            <c:ext xmlns:c16="http://schemas.microsoft.com/office/drawing/2014/chart" uri="{C3380CC4-5D6E-409C-BE32-E72D297353CC}">
              <c16:uniqueId val="{00000001-1A04-B54D-952B-5A0F7B104B2F}"/>
            </c:ext>
          </c:extLst>
        </c:ser>
        <c:ser>
          <c:idx val="2"/>
          <c:order val="2"/>
          <c:spPr>
            <a:solidFill>
              <a:schemeClr val="accent2">
                <a:tint val="65000"/>
              </a:schemeClr>
            </a:solidFill>
            <a:ln>
              <a:noFill/>
            </a:ln>
            <a:effectLst/>
            <a:sp3d/>
          </c:spPr>
          <c:invertIfNegative val="0"/>
          <c:dLbls>
            <c:dLbl>
              <c:idx val="2"/>
              <c:layout>
                <c:manualLayout>
                  <c:x val="3.4348165495706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882-4F3F-9D44-1752F9A31295}"/>
                </c:ext>
              </c:extLst>
            </c:dLbl>
            <c:dLbl>
              <c:idx val="4"/>
              <c:layout>
                <c:manualLayout>
                  <c:x val="5.3083528493364562E-2"/>
                  <c:y val="-4.8118429258658238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882-4F3F-9D44-1752F9A31295}"/>
                </c:ext>
              </c:extLst>
            </c:dLbl>
            <c:dLbl>
              <c:idx val="5"/>
              <c:layout>
                <c:manualLayout>
                  <c:x val="5.932864949258392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882-4F3F-9D44-1752F9A3129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FINANCIEROS'!$F$401:$F$404,'INDICADORES FINANCIEROS'!$F$405:$F$406)</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FINANCIEROS'!$I$401:$I$404,'INDICADORES FINANCIEROS'!$I$405:$I$406)</c:f>
              <c:numCache>
                <c:formatCode>0.00%</c:formatCode>
                <c:ptCount val="6"/>
                <c:pt idx="0">
                  <c:v>4.5187512444843696E-2</c:v>
                </c:pt>
                <c:pt idx="1">
                  <c:v>0</c:v>
                </c:pt>
                <c:pt idx="2">
                  <c:v>0.95058694062802573</c:v>
                </c:pt>
                <c:pt idx="3">
                  <c:v>21.036496350364963</c:v>
                </c:pt>
                <c:pt idx="4">
                  <c:v>4.7536433032616239E-2</c:v>
                </c:pt>
                <c:pt idx="5">
                  <c:v>1</c:v>
                </c:pt>
              </c:numCache>
            </c:numRef>
          </c:val>
          <c:extLst>
            <c:ext xmlns:c16="http://schemas.microsoft.com/office/drawing/2014/chart" uri="{C3380CC4-5D6E-409C-BE32-E72D297353CC}">
              <c16:uniqueId val="{00000002-1A04-B54D-952B-5A0F7B104B2F}"/>
            </c:ext>
          </c:extLst>
        </c:ser>
        <c:dLbls>
          <c:showLegendKey val="0"/>
          <c:showVal val="1"/>
          <c:showCatName val="0"/>
          <c:showSerName val="0"/>
          <c:showPercent val="0"/>
          <c:showBubbleSize val="0"/>
        </c:dLbls>
        <c:gapWidth val="150"/>
        <c:shape val="box"/>
        <c:axId val="-338944992"/>
        <c:axId val="-338935200"/>
        <c:axId val="0"/>
      </c:bar3DChart>
      <c:catAx>
        <c:axId val="-33894499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35200"/>
        <c:crosses val="autoZero"/>
        <c:auto val="1"/>
        <c:lblAlgn val="ctr"/>
        <c:lblOffset val="100"/>
        <c:noMultiLvlLbl val="0"/>
      </c:catAx>
      <c:valAx>
        <c:axId val="-33893520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449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INDICADORES RENTABILIDAD 2014</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FINANCIEROS'!$F$409:$F$413</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FINANCIEROS'!$G$409:$G$413</c:f>
              <c:numCache>
                <c:formatCode>General</c:formatCode>
                <c:ptCount val="5"/>
              </c:numCache>
            </c:numRef>
          </c:val>
          <c:extLst>
            <c:ext xmlns:c16="http://schemas.microsoft.com/office/drawing/2014/chart" uri="{C3380CC4-5D6E-409C-BE32-E72D297353CC}">
              <c16:uniqueId val="{00000000-3CCE-8A42-903F-56CF32098EB7}"/>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FINANCIEROS'!$F$409:$F$413</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FINANCIEROS'!$H$409:$H$413</c:f>
              <c:numCache>
                <c:formatCode>General</c:formatCode>
                <c:ptCount val="5"/>
              </c:numCache>
            </c:numRef>
          </c:val>
          <c:extLst>
            <c:ext xmlns:c16="http://schemas.microsoft.com/office/drawing/2014/chart" uri="{C3380CC4-5D6E-409C-BE32-E72D297353CC}">
              <c16:uniqueId val="{00000001-3CCE-8A42-903F-56CF32098EB7}"/>
            </c:ext>
          </c:extLst>
        </c:ser>
        <c:ser>
          <c:idx val="2"/>
          <c:order val="2"/>
          <c:invertIfNegative val="0"/>
          <c:dLbls>
            <c:dLbl>
              <c:idx val="3"/>
              <c:layout>
                <c:manualLayout>
                  <c:x val="4.059328649492578E-2"/>
                  <c:y val="-4.770523431576578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520-409E-B89C-4EC828A6F84B}"/>
                </c:ext>
              </c:extLst>
            </c:dLbl>
            <c:dLbl>
              <c:idx val="4"/>
              <c:layout>
                <c:manualLayout>
                  <c:x val="3.747072599531610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520-409E-B89C-4EC828A6F84B}"/>
                </c:ext>
              </c:extLst>
            </c:dLbl>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FINANCIEROS'!$F$409:$F$413</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FINANCIEROS'!$I$409:$I$413</c:f>
              <c:numCache>
                <c:formatCode>0.00%</c:formatCode>
                <c:ptCount val="5"/>
                <c:pt idx="0">
                  <c:v>0.16311713455953533</c:v>
                </c:pt>
                <c:pt idx="1">
                  <c:v>0.13188125201677961</c:v>
                </c:pt>
                <c:pt idx="2">
                  <c:v>0.13188125201677961</c:v>
                </c:pt>
                <c:pt idx="3">
                  <c:v>1.3070160570776182E-2</c:v>
                </c:pt>
                <c:pt idx="4">
                  <c:v>1.2424323950491182E-2</c:v>
                </c:pt>
              </c:numCache>
            </c:numRef>
          </c:val>
          <c:extLst>
            <c:ext xmlns:c16="http://schemas.microsoft.com/office/drawing/2014/chart" uri="{C3380CC4-5D6E-409C-BE32-E72D297353CC}">
              <c16:uniqueId val="{00000002-3CCE-8A42-903F-56CF32098EB7}"/>
            </c:ext>
          </c:extLst>
        </c:ser>
        <c:dLbls>
          <c:showLegendKey val="0"/>
          <c:showVal val="1"/>
          <c:showCatName val="0"/>
          <c:showSerName val="0"/>
          <c:showPercent val="0"/>
          <c:showBubbleSize val="0"/>
        </c:dLbls>
        <c:gapWidth val="150"/>
        <c:shape val="box"/>
        <c:axId val="-338930848"/>
        <c:axId val="-338940096"/>
        <c:axId val="0"/>
      </c:bar3DChart>
      <c:catAx>
        <c:axId val="-33893084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338940096"/>
        <c:crosses val="autoZero"/>
        <c:auto val="1"/>
        <c:lblAlgn val="ctr"/>
        <c:lblOffset val="100"/>
        <c:noMultiLvlLbl val="0"/>
      </c:catAx>
      <c:valAx>
        <c:axId val="-338940096"/>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338930848"/>
        <c:crosses val="autoZero"/>
        <c:crossBetween val="between"/>
      </c:valAx>
    </c:plotArea>
    <c:plotVisOnly val="1"/>
    <c:dispBlanksAs val="gap"/>
    <c:showDLblsOverMax val="0"/>
  </c:chart>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2"/>
    </mc:Choice>
    <mc:Fallback>
      <c:style val="22"/>
    </mc:Fallback>
  </mc:AlternateContent>
  <c:chart>
    <c:title>
      <c:tx>
        <c:rich>
          <a:bodyPr rot="0" vert="horz"/>
          <a:lstStyle/>
          <a:p>
            <a:pPr>
              <a:defRPr/>
            </a:pPr>
            <a:r>
              <a:rPr lang="es-CO"/>
              <a:t>INDICADORES DE ACTIVIDAD 2014</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cat>
            <c:strRef>
              <c:f>('INDICADORES FINANCIEROS'!$F$394,'INDICADORES FINANCIEROS'!$F$395,'INDICADORES FINANCIEROS'!$F$396:$F$398)</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FINANCIEROS'!$G$394,'INDICADORES FINANCIEROS'!$G$395,'INDICADORES FINANCIEROS'!$G$396:$G$398)</c:f>
              <c:numCache>
                <c:formatCode>General</c:formatCode>
                <c:ptCount val="5"/>
              </c:numCache>
            </c:numRef>
          </c:val>
          <c:extLst>
            <c:ext xmlns:c16="http://schemas.microsoft.com/office/drawing/2014/chart" uri="{C3380CC4-5D6E-409C-BE32-E72D297353CC}">
              <c16:uniqueId val="{00000000-DD46-CD45-A231-47C03B9DDB4C}"/>
            </c:ext>
          </c:extLst>
        </c:ser>
        <c:ser>
          <c:idx val="1"/>
          <c:order val="1"/>
          <c:invertIfNegative val="0"/>
          <c:cat>
            <c:strRef>
              <c:f>('INDICADORES FINANCIEROS'!$F$394,'INDICADORES FINANCIEROS'!$F$395,'INDICADORES FINANCIEROS'!$F$396:$F$398)</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FINANCIEROS'!$H$394,'INDICADORES FINANCIEROS'!$H$395,'INDICADORES FINANCIEROS'!$H$396:$H$398)</c:f>
              <c:numCache>
                <c:formatCode>General</c:formatCode>
                <c:ptCount val="5"/>
              </c:numCache>
            </c:numRef>
          </c:val>
          <c:extLst>
            <c:ext xmlns:c16="http://schemas.microsoft.com/office/drawing/2014/chart" uri="{C3380CC4-5D6E-409C-BE32-E72D297353CC}">
              <c16:uniqueId val="{00000001-DD46-CD45-A231-47C03B9DDB4C}"/>
            </c:ext>
          </c:extLst>
        </c:ser>
        <c:ser>
          <c:idx val="2"/>
          <c:order val="2"/>
          <c:invertIfNegative val="0"/>
          <c:cat>
            <c:strRef>
              <c:f>('INDICADORES FINANCIEROS'!$F$394,'INDICADORES FINANCIEROS'!$F$395,'INDICADORES FINANCIEROS'!$F$396:$F$398)</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FINANCIEROS'!$I$394,'INDICADORES FINANCIEROS'!$I$395,'INDICADORES FINANCIEROS'!$I$396:$I$398)</c:f>
              <c:numCache>
                <c:formatCode>0.00</c:formatCode>
                <c:ptCount val="5"/>
                <c:pt idx="0">
                  <c:v>70.874785591766724</c:v>
                </c:pt>
                <c:pt idx="1">
                  <c:v>0.1033</c:v>
                </c:pt>
                <c:pt idx="2">
                  <c:v>5.0793804453049374</c:v>
                </c:pt>
                <c:pt idx="3">
                  <c:v>9.4208416742285722E-2</c:v>
                </c:pt>
                <c:pt idx="4">
                  <c:v>9.1</c:v>
                </c:pt>
              </c:numCache>
            </c:numRef>
          </c:val>
          <c:extLst>
            <c:ext xmlns:c16="http://schemas.microsoft.com/office/drawing/2014/chart" uri="{C3380CC4-5D6E-409C-BE32-E72D297353CC}">
              <c16:uniqueId val="{00000002-DD46-CD45-A231-47C03B9DDB4C}"/>
            </c:ext>
          </c:extLst>
        </c:ser>
        <c:dLbls>
          <c:showLegendKey val="0"/>
          <c:showVal val="0"/>
          <c:showCatName val="0"/>
          <c:showSerName val="0"/>
          <c:showPercent val="0"/>
          <c:showBubbleSize val="0"/>
        </c:dLbls>
        <c:gapWidth val="150"/>
        <c:shape val="box"/>
        <c:axId val="-338928672"/>
        <c:axId val="-338927584"/>
        <c:axId val="0"/>
      </c:bar3DChart>
      <c:catAx>
        <c:axId val="-338928672"/>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338927584"/>
        <c:crosses val="autoZero"/>
        <c:auto val="1"/>
        <c:lblAlgn val="ctr"/>
        <c:lblOffset val="100"/>
        <c:noMultiLvlLbl val="0"/>
      </c:catAx>
      <c:valAx>
        <c:axId val="-338927584"/>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338928672"/>
        <c:crosses val="autoZero"/>
        <c:crossBetween val="between"/>
      </c:valAx>
    </c:plotArea>
    <c:plotVisOnly val="1"/>
    <c:dispBlanksAs val="gap"/>
    <c:showDLblsOverMax val="0"/>
  </c:chart>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INDICADORES DE LIQUIDEZ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6">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FINANCIEROS'!$F$389,'INDICADORES FINANCIEROS'!$F$391)</c:f>
              <c:strCache>
                <c:ptCount val="2"/>
                <c:pt idx="0">
                  <c:v>RAZON CORRIENTE (Veces)</c:v>
                </c:pt>
                <c:pt idx="1">
                  <c:v>CAPITAL NETO DE TRABAJO ($)</c:v>
                </c:pt>
              </c:strCache>
            </c:strRef>
          </c:cat>
          <c:val>
            <c:numRef>
              <c:f>('INDICADORES FINANCIEROS'!$G$389,'INDICADORES FINANCIEROS'!$G$391)</c:f>
              <c:numCache>
                <c:formatCode>General</c:formatCode>
                <c:ptCount val="2"/>
              </c:numCache>
            </c:numRef>
          </c:val>
          <c:extLst>
            <c:ext xmlns:c16="http://schemas.microsoft.com/office/drawing/2014/chart" uri="{C3380CC4-5D6E-409C-BE32-E72D297353CC}">
              <c16:uniqueId val="{00000000-DCF5-0541-B30B-C4AC68D25516}"/>
            </c:ext>
          </c:extLst>
        </c:ser>
        <c:ser>
          <c:idx val="1"/>
          <c:order val="1"/>
          <c:spPr>
            <a:solidFill>
              <a:schemeClr val="accent6"/>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FINANCIEROS'!$F$389,'INDICADORES FINANCIEROS'!$F$391)</c:f>
              <c:strCache>
                <c:ptCount val="2"/>
                <c:pt idx="0">
                  <c:v>RAZON CORRIENTE (Veces)</c:v>
                </c:pt>
                <c:pt idx="1">
                  <c:v>CAPITAL NETO DE TRABAJO ($)</c:v>
                </c:pt>
              </c:strCache>
            </c:strRef>
          </c:cat>
          <c:val>
            <c:numRef>
              <c:f>('INDICADORES FINANCIEROS'!$H$389,'INDICADORES FINANCIEROS'!$H$391)</c:f>
              <c:numCache>
                <c:formatCode>General</c:formatCode>
                <c:ptCount val="2"/>
              </c:numCache>
            </c:numRef>
          </c:val>
          <c:extLst>
            <c:ext xmlns:c16="http://schemas.microsoft.com/office/drawing/2014/chart" uri="{C3380CC4-5D6E-409C-BE32-E72D297353CC}">
              <c16:uniqueId val="{00000001-DCF5-0541-B30B-C4AC68D25516}"/>
            </c:ext>
          </c:extLst>
        </c:ser>
        <c:ser>
          <c:idx val="2"/>
          <c:order val="2"/>
          <c:spPr>
            <a:solidFill>
              <a:schemeClr val="accent6">
                <a:tint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FINANCIEROS'!$F$389,'INDICADORES FINANCIEROS'!$F$391)</c:f>
              <c:strCache>
                <c:ptCount val="2"/>
                <c:pt idx="0">
                  <c:v>RAZON CORRIENTE (Veces)</c:v>
                </c:pt>
                <c:pt idx="1">
                  <c:v>CAPITAL NETO DE TRABAJO ($)</c:v>
                </c:pt>
              </c:strCache>
            </c:strRef>
          </c:cat>
          <c:val>
            <c:numRef>
              <c:f>('INDICADORES FINANCIEROS'!$I$389,'INDICADORES FINANCIEROS'!$I$391)</c:f>
              <c:numCache>
                <c:formatCode>"$"\ #,##0</c:formatCode>
                <c:ptCount val="2"/>
                <c:pt idx="0" formatCode="0.00">
                  <c:v>1.9476941706750983</c:v>
                </c:pt>
                <c:pt idx="1">
                  <c:v>28174000</c:v>
                </c:pt>
              </c:numCache>
            </c:numRef>
          </c:val>
          <c:extLst>
            <c:ext xmlns:c16="http://schemas.microsoft.com/office/drawing/2014/chart" uri="{C3380CC4-5D6E-409C-BE32-E72D297353CC}">
              <c16:uniqueId val="{00000002-DCF5-0541-B30B-C4AC68D25516}"/>
            </c:ext>
          </c:extLst>
        </c:ser>
        <c:dLbls>
          <c:showLegendKey val="0"/>
          <c:showVal val="1"/>
          <c:showCatName val="0"/>
          <c:showSerName val="0"/>
          <c:showPercent val="0"/>
          <c:showBubbleSize val="0"/>
        </c:dLbls>
        <c:gapWidth val="150"/>
        <c:shape val="box"/>
        <c:axId val="-338955328"/>
        <c:axId val="-338954784"/>
        <c:axId val="0"/>
      </c:bar3DChart>
      <c:catAx>
        <c:axId val="-33895532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54784"/>
        <c:crosses val="autoZero"/>
        <c:auto val="1"/>
        <c:lblAlgn val="ctr"/>
        <c:lblOffset val="100"/>
        <c:noMultiLvlLbl val="0"/>
      </c:catAx>
      <c:valAx>
        <c:axId val="-33895478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553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ACTIVOS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FINANCIEROS'!$C$7</c:f>
              <c:strCache>
                <c:ptCount val="1"/>
                <c:pt idx="0">
                  <c:v>2017</c:v>
                </c:pt>
              </c:strCache>
            </c:strRef>
          </c:tx>
          <c:spPr>
            <a:solidFill>
              <a:schemeClr val="accent1"/>
            </a:solidFill>
            <a:ln>
              <a:noFill/>
            </a:ln>
            <a:effectLst/>
            <a:sp3d/>
          </c:spPr>
          <c:invertIfNegative val="0"/>
          <c:cat>
            <c:numRef>
              <c:f>'INDICADORES FINANCIEROS'!$M$725:$M$728</c:f>
              <c:numCache>
                <c:formatCode>General</c:formatCode>
                <c:ptCount val="4"/>
              </c:numCache>
            </c:numRef>
          </c:cat>
          <c:val>
            <c:numRef>
              <c:f>'INDICADORES FINANCIEROS'!$C$62</c:f>
              <c:numCache>
                <c:formatCode>"$"\ #,##0_);[Red]\("$"\ #,##0\)</c:formatCode>
                <c:ptCount val="1"/>
                <c:pt idx="0">
                  <c:v>1010330000</c:v>
                </c:pt>
              </c:numCache>
            </c:numRef>
          </c:val>
          <c:extLst>
            <c:ext xmlns:c16="http://schemas.microsoft.com/office/drawing/2014/chart" uri="{C3380CC4-5D6E-409C-BE32-E72D297353CC}">
              <c16:uniqueId val="{00000000-1C9C-4DEA-AD83-A15325757F75}"/>
            </c:ext>
          </c:extLst>
        </c:ser>
        <c:ser>
          <c:idx val="1"/>
          <c:order val="1"/>
          <c:tx>
            <c:strRef>
              <c:f>'INDICADORES FINANCIEROS'!$F$7</c:f>
              <c:strCache>
                <c:ptCount val="1"/>
                <c:pt idx="0">
                  <c:v>2016</c:v>
                </c:pt>
              </c:strCache>
            </c:strRef>
          </c:tx>
          <c:spPr>
            <a:solidFill>
              <a:schemeClr val="accent2"/>
            </a:solidFill>
            <a:ln>
              <a:noFill/>
            </a:ln>
            <a:effectLst/>
            <a:sp3d/>
          </c:spPr>
          <c:invertIfNegative val="0"/>
          <c:cat>
            <c:numRef>
              <c:f>'INDICADORES FINANCIEROS'!$M$725:$M$728</c:f>
              <c:numCache>
                <c:formatCode>General</c:formatCode>
                <c:ptCount val="4"/>
              </c:numCache>
            </c:numRef>
          </c:cat>
          <c:val>
            <c:numRef>
              <c:f>'INDICADORES FINANCIEROS'!$F$62</c:f>
              <c:numCache>
                <c:formatCode>"$"\ #,##0</c:formatCode>
                <c:ptCount val="1"/>
                <c:pt idx="0">
                  <c:v>859045000</c:v>
                </c:pt>
              </c:numCache>
            </c:numRef>
          </c:val>
          <c:extLst>
            <c:ext xmlns:c16="http://schemas.microsoft.com/office/drawing/2014/chart" uri="{C3380CC4-5D6E-409C-BE32-E72D297353CC}">
              <c16:uniqueId val="{00000001-1C9C-4DEA-AD83-A15325757F75}"/>
            </c:ext>
          </c:extLst>
        </c:ser>
        <c:ser>
          <c:idx val="2"/>
          <c:order val="2"/>
          <c:tx>
            <c:strRef>
              <c:f>'INDICADORES FINANCIEROS'!$F$23</c:f>
              <c:strCache>
                <c:ptCount val="1"/>
                <c:pt idx="0">
                  <c:v>2015</c:v>
                </c:pt>
              </c:strCache>
            </c:strRef>
          </c:tx>
          <c:spPr>
            <a:solidFill>
              <a:schemeClr val="accent3"/>
            </a:solidFill>
            <a:ln>
              <a:noFill/>
            </a:ln>
            <a:effectLst/>
            <a:sp3d/>
          </c:spPr>
          <c:invertIfNegative val="0"/>
          <c:cat>
            <c:numRef>
              <c:f>'INDICADORES FINANCIEROS'!$M$725:$M$728</c:f>
              <c:numCache>
                <c:formatCode>General</c:formatCode>
                <c:ptCount val="4"/>
              </c:numCache>
            </c:numRef>
          </c:cat>
          <c:val>
            <c:numRef>
              <c:f>'INDICADORES FINANCIEROS'!$F$93</c:f>
              <c:numCache>
                <c:formatCode>"$"\ #,##0</c:formatCode>
                <c:ptCount val="1"/>
                <c:pt idx="0">
                  <c:v>798251000</c:v>
                </c:pt>
              </c:numCache>
            </c:numRef>
          </c:val>
          <c:extLst>
            <c:ext xmlns:c16="http://schemas.microsoft.com/office/drawing/2014/chart" uri="{C3380CC4-5D6E-409C-BE32-E72D297353CC}">
              <c16:uniqueId val="{00000002-1C9C-4DEA-AD83-A15325757F75}"/>
            </c:ext>
          </c:extLst>
        </c:ser>
        <c:ser>
          <c:idx val="3"/>
          <c:order val="3"/>
          <c:tx>
            <c:strRef>
              <c:f>'INDICADORES FINANCIEROS'!$F$39</c:f>
              <c:strCache>
                <c:ptCount val="1"/>
                <c:pt idx="0">
                  <c:v>2014</c:v>
                </c:pt>
              </c:strCache>
            </c:strRef>
          </c:tx>
          <c:spPr>
            <a:solidFill>
              <a:schemeClr val="accent4"/>
            </a:solidFill>
            <a:ln>
              <a:noFill/>
            </a:ln>
            <a:effectLst/>
            <a:sp3d/>
          </c:spPr>
          <c:invertIfNegative val="0"/>
          <c:cat>
            <c:numRef>
              <c:f>'INDICADORES FINANCIEROS'!$M$725:$M$728</c:f>
              <c:numCache>
                <c:formatCode>General</c:formatCode>
                <c:ptCount val="4"/>
              </c:numCache>
            </c:numRef>
          </c:cat>
          <c:val>
            <c:numRef>
              <c:f>'INDICADORES FINANCIEROS'!$F$122</c:f>
              <c:numCache>
                <c:formatCode>"$"\ #,##0</c:formatCode>
                <c:ptCount val="1"/>
                <c:pt idx="0">
                  <c:v>657903000</c:v>
                </c:pt>
              </c:numCache>
            </c:numRef>
          </c:val>
          <c:extLst>
            <c:ext xmlns:c16="http://schemas.microsoft.com/office/drawing/2014/chart" uri="{C3380CC4-5D6E-409C-BE32-E72D297353CC}">
              <c16:uniqueId val="{00000003-1C9C-4DEA-AD83-A15325757F75}"/>
            </c:ext>
          </c:extLst>
        </c:ser>
        <c:dLbls>
          <c:showLegendKey val="0"/>
          <c:showVal val="0"/>
          <c:showCatName val="0"/>
          <c:showSerName val="0"/>
          <c:showPercent val="0"/>
          <c:showBubbleSize val="0"/>
        </c:dLbls>
        <c:gapWidth val="150"/>
        <c:shape val="box"/>
        <c:axId val="-338898208"/>
        <c:axId val="-338892768"/>
        <c:axId val="0"/>
      </c:bar3DChart>
      <c:catAx>
        <c:axId val="-338898208"/>
        <c:scaling>
          <c:orientation val="minMax"/>
        </c:scaling>
        <c:delete val="1"/>
        <c:axPos val="b"/>
        <c:numFmt formatCode="General" sourceLinked="1"/>
        <c:majorTickMark val="none"/>
        <c:minorTickMark val="none"/>
        <c:tickLblPos val="nextTo"/>
        <c:crossAx val="-338892768"/>
        <c:crosses val="autoZero"/>
        <c:auto val="1"/>
        <c:lblAlgn val="ctr"/>
        <c:lblOffset val="100"/>
        <c:noMultiLvlLbl val="0"/>
      </c:catAx>
      <c:valAx>
        <c:axId val="-33889276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8982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PASIVOS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FINANCIEROS'!$C$74</c:f>
              <c:strCache>
                <c:ptCount val="1"/>
                <c:pt idx="0">
                  <c:v>2017</c:v>
                </c:pt>
              </c:strCache>
            </c:strRef>
          </c:tx>
          <c:spPr>
            <a:solidFill>
              <a:schemeClr val="accent1"/>
            </a:solidFill>
            <a:ln>
              <a:noFill/>
            </a:ln>
            <a:effectLst/>
            <a:sp3d/>
          </c:spPr>
          <c:invertIfNegative val="0"/>
          <c:val>
            <c:numRef>
              <c:f>'INDICADORES FINANCIEROS'!$B$72</c:f>
              <c:numCache>
                <c:formatCode>General</c:formatCode>
                <c:ptCount val="1"/>
                <c:pt idx="0">
                  <c:v>0</c:v>
                </c:pt>
              </c:numCache>
            </c:numRef>
          </c:val>
          <c:extLst>
            <c:ext xmlns:c16="http://schemas.microsoft.com/office/drawing/2014/chart" uri="{C3380CC4-5D6E-409C-BE32-E72D297353CC}">
              <c16:uniqueId val="{00000000-F4D2-42C1-BBA9-79756E8B8C26}"/>
            </c:ext>
          </c:extLst>
        </c:ser>
        <c:ser>
          <c:idx val="1"/>
          <c:order val="1"/>
          <c:tx>
            <c:strRef>
              <c:f>'INDICADORES FINANCIEROS'!$F$74</c:f>
              <c:strCache>
                <c:ptCount val="1"/>
                <c:pt idx="0">
                  <c:v>2016</c:v>
                </c:pt>
              </c:strCache>
            </c:strRef>
          </c:tx>
          <c:spPr>
            <a:solidFill>
              <a:schemeClr val="accent2"/>
            </a:solidFill>
            <a:ln>
              <a:noFill/>
            </a:ln>
            <a:effectLst/>
            <a:sp3d/>
          </c:spPr>
          <c:invertIfNegative val="0"/>
          <c:val>
            <c:numRef>
              <c:f>'INDICADORES FINANCIEROS'!$C$72</c:f>
              <c:numCache>
                <c:formatCode>"$"\ #,##0</c:formatCode>
                <c:ptCount val="1"/>
                <c:pt idx="0">
                  <c:v>281788000</c:v>
                </c:pt>
              </c:numCache>
            </c:numRef>
          </c:val>
          <c:extLst>
            <c:ext xmlns:c16="http://schemas.microsoft.com/office/drawing/2014/chart" uri="{C3380CC4-5D6E-409C-BE32-E72D297353CC}">
              <c16:uniqueId val="{00000001-F4D2-42C1-BBA9-79756E8B8C26}"/>
            </c:ext>
          </c:extLst>
        </c:ser>
        <c:ser>
          <c:idx val="2"/>
          <c:order val="2"/>
          <c:tx>
            <c:strRef>
              <c:f>'INDICADORES FINANCIEROS'!$F$85</c:f>
              <c:strCache>
                <c:ptCount val="1"/>
                <c:pt idx="0">
                  <c:v>2015</c:v>
                </c:pt>
              </c:strCache>
            </c:strRef>
          </c:tx>
          <c:spPr>
            <a:solidFill>
              <a:schemeClr val="accent3"/>
            </a:solidFill>
            <a:ln>
              <a:noFill/>
            </a:ln>
            <a:effectLst/>
            <a:sp3d/>
          </c:spPr>
          <c:invertIfNegative val="0"/>
          <c:val>
            <c:numRef>
              <c:f>'INDICADORES FINANCIEROS'!$F$72</c:f>
              <c:numCache>
                <c:formatCode>[$$-240A]\ #,##0</c:formatCode>
                <c:ptCount val="1"/>
                <c:pt idx="0">
                  <c:v>162080000</c:v>
                </c:pt>
              </c:numCache>
            </c:numRef>
          </c:val>
          <c:extLst>
            <c:ext xmlns:c16="http://schemas.microsoft.com/office/drawing/2014/chart" uri="{C3380CC4-5D6E-409C-BE32-E72D297353CC}">
              <c16:uniqueId val="{00000002-F4D2-42C1-BBA9-79756E8B8C26}"/>
            </c:ext>
          </c:extLst>
        </c:ser>
        <c:ser>
          <c:idx val="3"/>
          <c:order val="3"/>
          <c:tx>
            <c:strRef>
              <c:f>'INDICADORES FINANCIEROS'!$F$115</c:f>
              <c:strCache>
                <c:ptCount val="1"/>
                <c:pt idx="0">
                  <c:v>2014</c:v>
                </c:pt>
              </c:strCache>
            </c:strRef>
          </c:tx>
          <c:spPr>
            <a:solidFill>
              <a:schemeClr val="accent4"/>
            </a:solidFill>
            <a:ln>
              <a:noFill/>
            </a:ln>
            <a:effectLst/>
            <a:sp3d/>
          </c:spPr>
          <c:invertIfNegative val="0"/>
          <c:val>
            <c:numRef>
              <c:f>'INDICADORES FINANCIEROS'!$F$103</c:f>
              <c:numCache>
                <c:formatCode>[$$-240A]\ #,##0</c:formatCode>
                <c:ptCount val="1"/>
                <c:pt idx="0">
                  <c:v>125039000</c:v>
                </c:pt>
              </c:numCache>
            </c:numRef>
          </c:val>
          <c:extLst>
            <c:ext xmlns:c16="http://schemas.microsoft.com/office/drawing/2014/chart" uri="{C3380CC4-5D6E-409C-BE32-E72D297353CC}">
              <c16:uniqueId val="{00000003-F4D2-42C1-BBA9-79756E8B8C26}"/>
            </c:ext>
          </c:extLst>
        </c:ser>
        <c:dLbls>
          <c:showLegendKey val="0"/>
          <c:showVal val="0"/>
          <c:showCatName val="0"/>
          <c:showSerName val="0"/>
          <c:showPercent val="0"/>
          <c:showBubbleSize val="0"/>
        </c:dLbls>
        <c:gapWidth val="150"/>
        <c:shape val="box"/>
        <c:axId val="-338900928"/>
        <c:axId val="-338910176"/>
        <c:axId val="0"/>
      </c:bar3DChart>
      <c:catAx>
        <c:axId val="-338900928"/>
        <c:scaling>
          <c:orientation val="minMax"/>
        </c:scaling>
        <c:delete val="1"/>
        <c:axPos val="b"/>
        <c:majorTickMark val="none"/>
        <c:minorTickMark val="none"/>
        <c:tickLblPos val="nextTo"/>
        <c:crossAx val="-338910176"/>
        <c:crosses val="autoZero"/>
        <c:auto val="1"/>
        <c:lblAlgn val="ctr"/>
        <c:lblOffset val="100"/>
        <c:noMultiLvlLbl val="0"/>
      </c:catAx>
      <c:valAx>
        <c:axId val="-3389101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009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PATRIMONIO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FINANCIEROS'!$C$74</c:f>
              <c:strCache>
                <c:ptCount val="1"/>
                <c:pt idx="0">
                  <c:v>2017</c:v>
                </c:pt>
              </c:strCache>
            </c:strRef>
          </c:tx>
          <c:spPr>
            <a:solidFill>
              <a:schemeClr val="accent1"/>
            </a:solidFill>
            <a:ln>
              <a:noFill/>
            </a:ln>
            <a:effectLst/>
            <a:sp3d/>
          </c:spPr>
          <c:invertIfNegative val="0"/>
          <c:val>
            <c:numRef>
              <c:f>'INDICADORES FINANCIEROS'!$C$79</c:f>
              <c:numCache>
                <c:formatCode>"$"\ #,##0</c:formatCode>
                <c:ptCount val="1"/>
                <c:pt idx="0">
                  <c:v>728542000</c:v>
                </c:pt>
              </c:numCache>
            </c:numRef>
          </c:val>
          <c:extLst>
            <c:ext xmlns:c16="http://schemas.microsoft.com/office/drawing/2014/chart" uri="{C3380CC4-5D6E-409C-BE32-E72D297353CC}">
              <c16:uniqueId val="{00000000-8301-4C1F-8078-B674A0977F4A}"/>
            </c:ext>
          </c:extLst>
        </c:ser>
        <c:ser>
          <c:idx val="1"/>
          <c:order val="1"/>
          <c:tx>
            <c:strRef>
              <c:f>'INDICADORES FINANCIEROS'!$F$74</c:f>
              <c:strCache>
                <c:ptCount val="1"/>
                <c:pt idx="0">
                  <c:v>2016</c:v>
                </c:pt>
              </c:strCache>
            </c:strRef>
          </c:tx>
          <c:spPr>
            <a:solidFill>
              <a:schemeClr val="accent2"/>
            </a:solidFill>
            <a:ln>
              <a:noFill/>
            </a:ln>
            <a:effectLst/>
            <a:sp3d/>
          </c:spPr>
          <c:invertIfNegative val="0"/>
          <c:val>
            <c:numRef>
              <c:f>'INDICADORES FINANCIEROS'!$F$79</c:f>
              <c:numCache>
                <c:formatCode>"$"\ #,##0</c:formatCode>
                <c:ptCount val="1"/>
                <c:pt idx="0">
                  <c:v>696965000</c:v>
                </c:pt>
              </c:numCache>
            </c:numRef>
          </c:val>
          <c:extLst>
            <c:ext xmlns:c16="http://schemas.microsoft.com/office/drawing/2014/chart" uri="{C3380CC4-5D6E-409C-BE32-E72D297353CC}">
              <c16:uniqueId val="{00000001-8301-4C1F-8078-B674A0977F4A}"/>
            </c:ext>
          </c:extLst>
        </c:ser>
        <c:ser>
          <c:idx val="2"/>
          <c:order val="2"/>
          <c:tx>
            <c:strRef>
              <c:f>'INDICADORES FINANCIEROS'!$F$85</c:f>
              <c:strCache>
                <c:ptCount val="1"/>
                <c:pt idx="0">
                  <c:v>2015</c:v>
                </c:pt>
              </c:strCache>
            </c:strRef>
          </c:tx>
          <c:spPr>
            <a:solidFill>
              <a:schemeClr val="accent3"/>
            </a:solidFill>
            <a:ln>
              <a:noFill/>
            </a:ln>
            <a:effectLst/>
            <a:sp3d/>
          </c:spPr>
          <c:invertIfNegative val="0"/>
          <c:val>
            <c:numRef>
              <c:f>'INDICADORES FINANCIEROS'!$B$79</c:f>
              <c:numCache>
                <c:formatCode>General</c:formatCode>
                <c:ptCount val="1"/>
                <c:pt idx="0">
                  <c:v>0</c:v>
                </c:pt>
              </c:numCache>
            </c:numRef>
          </c:val>
          <c:extLst>
            <c:ext xmlns:c16="http://schemas.microsoft.com/office/drawing/2014/chart" uri="{C3380CC4-5D6E-409C-BE32-E72D297353CC}">
              <c16:uniqueId val="{00000002-8301-4C1F-8078-B674A0977F4A}"/>
            </c:ext>
          </c:extLst>
        </c:ser>
        <c:ser>
          <c:idx val="3"/>
          <c:order val="3"/>
          <c:tx>
            <c:strRef>
              <c:f>'INDICADORES FINANCIEROS'!$F$115</c:f>
              <c:strCache>
                <c:ptCount val="1"/>
                <c:pt idx="0">
                  <c:v>2014</c:v>
                </c:pt>
              </c:strCache>
            </c:strRef>
          </c:tx>
          <c:spPr>
            <a:solidFill>
              <a:schemeClr val="accent4"/>
            </a:solidFill>
            <a:ln>
              <a:noFill/>
            </a:ln>
            <a:effectLst/>
            <a:sp3d/>
          </c:spPr>
          <c:invertIfNegative val="0"/>
          <c:val>
            <c:numRef>
              <c:f>'INDICADORES FINANCIEROS'!$F$110</c:f>
              <c:numCache>
                <c:formatCode>"$"\ #,##0</c:formatCode>
                <c:ptCount val="1"/>
                <c:pt idx="0">
                  <c:v>673212000</c:v>
                </c:pt>
              </c:numCache>
            </c:numRef>
          </c:val>
          <c:extLst>
            <c:ext xmlns:c16="http://schemas.microsoft.com/office/drawing/2014/chart" uri="{C3380CC4-5D6E-409C-BE32-E72D297353CC}">
              <c16:uniqueId val="{00000003-8301-4C1F-8078-B674A0977F4A}"/>
            </c:ext>
          </c:extLst>
        </c:ser>
        <c:dLbls>
          <c:showLegendKey val="0"/>
          <c:showVal val="0"/>
          <c:showCatName val="0"/>
          <c:showSerName val="0"/>
          <c:showPercent val="0"/>
          <c:showBubbleSize val="0"/>
        </c:dLbls>
        <c:gapWidth val="150"/>
        <c:shape val="box"/>
        <c:axId val="-338916704"/>
        <c:axId val="-338894944"/>
        <c:axId val="0"/>
      </c:bar3DChart>
      <c:catAx>
        <c:axId val="-338916704"/>
        <c:scaling>
          <c:orientation val="minMax"/>
        </c:scaling>
        <c:delete val="1"/>
        <c:axPos val="b"/>
        <c:majorTickMark val="none"/>
        <c:minorTickMark val="none"/>
        <c:tickLblPos val="nextTo"/>
        <c:crossAx val="-338894944"/>
        <c:crosses val="autoZero"/>
        <c:auto val="1"/>
        <c:lblAlgn val="ctr"/>
        <c:lblOffset val="100"/>
        <c:noMultiLvlLbl val="0"/>
      </c:catAx>
      <c:valAx>
        <c:axId val="-33889494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167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INGRESOS OPERACIONALES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FINANCIEROS'!$C$7</c:f>
              <c:strCache>
                <c:ptCount val="1"/>
                <c:pt idx="0">
                  <c:v>2017</c:v>
                </c:pt>
              </c:strCache>
            </c:strRef>
          </c:tx>
          <c:spPr>
            <a:solidFill>
              <a:schemeClr val="accent1"/>
            </a:solidFill>
            <a:ln>
              <a:noFill/>
            </a:ln>
            <a:effectLst/>
            <a:sp3d/>
          </c:spPr>
          <c:invertIfNegative val="0"/>
          <c:val>
            <c:numRef>
              <c:f>'INDICADORES FINANCIEROS'!$C$8</c:f>
              <c:numCache>
                <c:formatCode>"$"#,##0_);\("$"#,##0\)</c:formatCode>
                <c:ptCount val="1"/>
                <c:pt idx="0">
                  <c:v>1148878000</c:v>
                </c:pt>
              </c:numCache>
            </c:numRef>
          </c:val>
          <c:extLst>
            <c:ext xmlns:c16="http://schemas.microsoft.com/office/drawing/2014/chart" uri="{C3380CC4-5D6E-409C-BE32-E72D297353CC}">
              <c16:uniqueId val="{00000000-43C3-40A8-9652-20E8458EABA9}"/>
            </c:ext>
          </c:extLst>
        </c:ser>
        <c:ser>
          <c:idx val="1"/>
          <c:order val="1"/>
          <c:tx>
            <c:strRef>
              <c:f>'INDICADORES FINANCIEROS'!$F$7</c:f>
              <c:strCache>
                <c:ptCount val="1"/>
                <c:pt idx="0">
                  <c:v>2016</c:v>
                </c:pt>
              </c:strCache>
            </c:strRef>
          </c:tx>
          <c:spPr>
            <a:solidFill>
              <a:schemeClr val="accent2"/>
            </a:solidFill>
            <a:ln>
              <a:noFill/>
            </a:ln>
            <a:effectLst/>
            <a:sp3d/>
          </c:spPr>
          <c:invertIfNegative val="0"/>
          <c:val>
            <c:numRef>
              <c:f>'INDICADORES FINANCIEROS'!$F$8</c:f>
              <c:numCache>
                <c:formatCode>"$"\ #,##0</c:formatCode>
                <c:ptCount val="1"/>
                <c:pt idx="0">
                  <c:v>663086000</c:v>
                </c:pt>
              </c:numCache>
            </c:numRef>
          </c:val>
          <c:extLst>
            <c:ext xmlns:c16="http://schemas.microsoft.com/office/drawing/2014/chart" uri="{C3380CC4-5D6E-409C-BE32-E72D297353CC}">
              <c16:uniqueId val="{00000001-43C3-40A8-9652-20E8458EABA9}"/>
            </c:ext>
          </c:extLst>
        </c:ser>
        <c:ser>
          <c:idx val="2"/>
          <c:order val="2"/>
          <c:tx>
            <c:strRef>
              <c:f>'INDICADORES FINANCIEROS'!$F$23</c:f>
              <c:strCache>
                <c:ptCount val="1"/>
                <c:pt idx="0">
                  <c:v>2015</c:v>
                </c:pt>
              </c:strCache>
            </c:strRef>
          </c:tx>
          <c:spPr>
            <a:solidFill>
              <a:schemeClr val="accent3"/>
            </a:solidFill>
            <a:ln>
              <a:noFill/>
            </a:ln>
            <a:effectLst/>
            <a:sp3d/>
          </c:spPr>
          <c:invertIfNegative val="0"/>
          <c:val>
            <c:numRef>
              <c:f>'INDICADORES FINANCIEROS'!$F$24</c:f>
              <c:numCache>
                <c:formatCode>"$"\ #,##0</c:formatCode>
                <c:ptCount val="1"/>
                <c:pt idx="0">
                  <c:v>344142000</c:v>
                </c:pt>
              </c:numCache>
            </c:numRef>
          </c:val>
          <c:extLst>
            <c:ext xmlns:c16="http://schemas.microsoft.com/office/drawing/2014/chart" uri="{C3380CC4-5D6E-409C-BE32-E72D297353CC}">
              <c16:uniqueId val="{00000002-43C3-40A8-9652-20E8458EABA9}"/>
            </c:ext>
          </c:extLst>
        </c:ser>
        <c:ser>
          <c:idx val="3"/>
          <c:order val="3"/>
          <c:tx>
            <c:strRef>
              <c:f>'INDICADORES FINANCIEROS'!$F$39</c:f>
              <c:strCache>
                <c:ptCount val="1"/>
                <c:pt idx="0">
                  <c:v>2014</c:v>
                </c:pt>
              </c:strCache>
            </c:strRef>
          </c:tx>
          <c:spPr>
            <a:solidFill>
              <a:schemeClr val="accent4"/>
            </a:solidFill>
            <a:ln>
              <a:noFill/>
            </a:ln>
            <a:effectLst/>
            <a:sp3d/>
          </c:spPr>
          <c:invertIfNegative val="0"/>
          <c:val>
            <c:numRef>
              <c:f>'INDICADORES FINANCIEROS'!$F$40</c:f>
              <c:numCache>
                <c:formatCode>[$$-240A]\ #,##0</c:formatCode>
                <c:ptCount val="1"/>
                <c:pt idx="0">
                  <c:v>61980000</c:v>
                </c:pt>
              </c:numCache>
            </c:numRef>
          </c:val>
          <c:extLst>
            <c:ext xmlns:c16="http://schemas.microsoft.com/office/drawing/2014/chart" uri="{C3380CC4-5D6E-409C-BE32-E72D297353CC}">
              <c16:uniqueId val="{00000003-43C3-40A8-9652-20E8458EABA9}"/>
            </c:ext>
          </c:extLst>
        </c:ser>
        <c:dLbls>
          <c:showLegendKey val="0"/>
          <c:showVal val="0"/>
          <c:showCatName val="0"/>
          <c:showSerName val="0"/>
          <c:showPercent val="0"/>
          <c:showBubbleSize val="0"/>
        </c:dLbls>
        <c:gapWidth val="150"/>
        <c:shape val="box"/>
        <c:axId val="-338903648"/>
        <c:axId val="-338899296"/>
        <c:axId val="0"/>
      </c:bar3DChart>
      <c:catAx>
        <c:axId val="-338903648"/>
        <c:scaling>
          <c:orientation val="minMax"/>
        </c:scaling>
        <c:delete val="1"/>
        <c:axPos val="b"/>
        <c:majorTickMark val="none"/>
        <c:minorTickMark val="none"/>
        <c:tickLblPos val="nextTo"/>
        <c:crossAx val="-338899296"/>
        <c:crosses val="autoZero"/>
        <c:auto val="1"/>
        <c:lblAlgn val="ctr"/>
        <c:lblOffset val="100"/>
        <c:noMultiLvlLbl val="0"/>
      </c:catAx>
      <c:valAx>
        <c:axId val="-338899296"/>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0364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COSTOS DE VENTAS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FINANCIEROS'!$C$7</c:f>
              <c:strCache>
                <c:ptCount val="1"/>
                <c:pt idx="0">
                  <c:v>2017</c:v>
                </c:pt>
              </c:strCache>
            </c:strRef>
          </c:tx>
          <c:spPr>
            <a:solidFill>
              <a:schemeClr val="accent1"/>
            </a:solidFill>
            <a:ln>
              <a:noFill/>
            </a:ln>
            <a:effectLst/>
            <a:sp3d/>
          </c:spPr>
          <c:invertIfNegative val="0"/>
          <c:val>
            <c:numRef>
              <c:f>'INDICADORES FINANCIEROS'!$C$9</c:f>
              <c:numCache>
                <c:formatCode>"$"#,##0_);\("$"#,##0\)</c:formatCode>
                <c:ptCount val="1"/>
                <c:pt idx="0">
                  <c:v>1010660000</c:v>
                </c:pt>
              </c:numCache>
            </c:numRef>
          </c:val>
          <c:extLst>
            <c:ext xmlns:c16="http://schemas.microsoft.com/office/drawing/2014/chart" uri="{C3380CC4-5D6E-409C-BE32-E72D297353CC}">
              <c16:uniqueId val="{00000000-B08A-47A0-835D-5479C4C0024A}"/>
            </c:ext>
          </c:extLst>
        </c:ser>
        <c:ser>
          <c:idx val="1"/>
          <c:order val="1"/>
          <c:tx>
            <c:strRef>
              <c:f>'INDICADORES FINANCIEROS'!$F$7</c:f>
              <c:strCache>
                <c:ptCount val="1"/>
                <c:pt idx="0">
                  <c:v>2016</c:v>
                </c:pt>
              </c:strCache>
            </c:strRef>
          </c:tx>
          <c:spPr>
            <a:solidFill>
              <a:schemeClr val="accent2"/>
            </a:solidFill>
            <a:ln>
              <a:noFill/>
            </a:ln>
            <a:effectLst/>
            <a:sp3d/>
          </c:spPr>
          <c:invertIfNegative val="0"/>
          <c:val>
            <c:numRef>
              <c:f>'INDICADORES FINANCIEROS'!$F$9</c:f>
              <c:numCache>
                <c:formatCode>"$"\ #,##0</c:formatCode>
                <c:ptCount val="1"/>
                <c:pt idx="0">
                  <c:v>569555000</c:v>
                </c:pt>
              </c:numCache>
            </c:numRef>
          </c:val>
          <c:extLst>
            <c:ext xmlns:c16="http://schemas.microsoft.com/office/drawing/2014/chart" uri="{C3380CC4-5D6E-409C-BE32-E72D297353CC}">
              <c16:uniqueId val="{00000001-B08A-47A0-835D-5479C4C0024A}"/>
            </c:ext>
          </c:extLst>
        </c:ser>
        <c:ser>
          <c:idx val="2"/>
          <c:order val="2"/>
          <c:tx>
            <c:strRef>
              <c:f>'INDICADORES FINANCIEROS'!$F$23</c:f>
              <c:strCache>
                <c:ptCount val="1"/>
                <c:pt idx="0">
                  <c:v>2015</c:v>
                </c:pt>
              </c:strCache>
            </c:strRef>
          </c:tx>
          <c:spPr>
            <a:solidFill>
              <a:schemeClr val="accent3"/>
            </a:solidFill>
            <a:ln>
              <a:noFill/>
            </a:ln>
            <a:effectLst/>
            <a:sp3d/>
          </c:spPr>
          <c:invertIfNegative val="0"/>
          <c:val>
            <c:numRef>
              <c:f>'INDICADORES FINANCIEROS'!$F$25</c:f>
              <c:numCache>
                <c:formatCode>"$"\ #,##0</c:formatCode>
                <c:ptCount val="1"/>
                <c:pt idx="0">
                  <c:v>243387000</c:v>
                </c:pt>
              </c:numCache>
            </c:numRef>
          </c:val>
          <c:extLst>
            <c:ext xmlns:c16="http://schemas.microsoft.com/office/drawing/2014/chart" uri="{C3380CC4-5D6E-409C-BE32-E72D297353CC}">
              <c16:uniqueId val="{00000002-B08A-47A0-835D-5479C4C0024A}"/>
            </c:ext>
          </c:extLst>
        </c:ser>
        <c:ser>
          <c:idx val="3"/>
          <c:order val="3"/>
          <c:tx>
            <c:strRef>
              <c:f>'INDICADORES FINANCIEROS'!$F$39</c:f>
              <c:strCache>
                <c:ptCount val="1"/>
                <c:pt idx="0">
                  <c:v>2014</c:v>
                </c:pt>
              </c:strCache>
            </c:strRef>
          </c:tx>
          <c:spPr>
            <a:solidFill>
              <a:schemeClr val="accent4"/>
            </a:solidFill>
            <a:ln>
              <a:noFill/>
            </a:ln>
            <a:effectLst/>
            <a:sp3d/>
          </c:spPr>
          <c:invertIfNegative val="0"/>
          <c:val>
            <c:numRef>
              <c:f>'INDICADORES FINANCIEROS'!$F$41</c:f>
              <c:numCache>
                <c:formatCode>[$$-240A]\ #,##0</c:formatCode>
                <c:ptCount val="1"/>
                <c:pt idx="0">
                  <c:v>51870000</c:v>
                </c:pt>
              </c:numCache>
            </c:numRef>
          </c:val>
          <c:extLst>
            <c:ext xmlns:c16="http://schemas.microsoft.com/office/drawing/2014/chart" uri="{C3380CC4-5D6E-409C-BE32-E72D297353CC}">
              <c16:uniqueId val="{00000003-B08A-47A0-835D-5479C4C0024A}"/>
            </c:ext>
          </c:extLst>
        </c:ser>
        <c:dLbls>
          <c:showLegendKey val="0"/>
          <c:showVal val="0"/>
          <c:showCatName val="0"/>
          <c:showSerName val="0"/>
          <c:showPercent val="0"/>
          <c:showBubbleSize val="0"/>
        </c:dLbls>
        <c:gapWidth val="150"/>
        <c:shape val="box"/>
        <c:axId val="-338918880"/>
        <c:axId val="-338909632"/>
        <c:axId val="0"/>
      </c:bar3DChart>
      <c:catAx>
        <c:axId val="-338918880"/>
        <c:scaling>
          <c:orientation val="minMax"/>
        </c:scaling>
        <c:delete val="1"/>
        <c:axPos val="b"/>
        <c:majorTickMark val="none"/>
        <c:minorTickMark val="none"/>
        <c:tickLblPos val="nextTo"/>
        <c:crossAx val="-338909632"/>
        <c:crosses val="autoZero"/>
        <c:auto val="1"/>
        <c:lblAlgn val="ctr"/>
        <c:lblOffset val="100"/>
        <c:noMultiLvlLbl val="0"/>
      </c:catAx>
      <c:valAx>
        <c:axId val="-338909632"/>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1888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HIST.'!$B$8</c:f>
              <c:strCache>
                <c:ptCount val="1"/>
                <c:pt idx="0">
                  <c:v>INGRESOS OPERACIONALES</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'EST. RESUL. HIST.'!$C$7:$F$7</c:f>
              <c:numCache>
                <c:formatCode>General</c:formatCode>
                <c:ptCount val="4"/>
                <c:pt idx="0">
                  <c:v>2017</c:v>
                </c:pt>
                <c:pt idx="1">
                  <c:v>2016</c:v>
                </c:pt>
                <c:pt idx="2">
                  <c:v>2015</c:v>
                </c:pt>
                <c:pt idx="3">
                  <c:v>2014</c:v>
                </c:pt>
              </c:numCache>
            </c:numRef>
          </c:cat>
          <c:val>
            <c:numRef>
              <c:f>'EST. RESUL. HIST.'!$C$8:$F$8</c:f>
              <c:numCache>
                <c:formatCode>"$"\ #,##0</c:formatCode>
                <c:ptCount val="4"/>
                <c:pt idx="0" formatCode="&quot;$&quot;#,##0_);\(&quot;$&quot;#,##0\)">
                  <c:v>1148878000</c:v>
                </c:pt>
                <c:pt idx="1">
                  <c:v>663086000</c:v>
                </c:pt>
                <c:pt idx="2">
                  <c:v>344142000</c:v>
                </c:pt>
                <c:pt idx="3" formatCode="[$$-240A]\ #,##0">
                  <c:v>61980000</c:v>
                </c:pt>
              </c:numCache>
            </c:numRef>
          </c:val>
          <c:extLst>
            <c:ext xmlns:c16="http://schemas.microsoft.com/office/drawing/2014/chart" uri="{C3380CC4-5D6E-409C-BE32-E72D297353CC}">
              <c16:uniqueId val="{00000000-445A-443A-9AB8-104FA30E9ACC}"/>
            </c:ext>
          </c:extLst>
        </c:ser>
        <c:dLbls>
          <c:showLegendKey val="0"/>
          <c:showVal val="0"/>
          <c:showCatName val="0"/>
          <c:showSerName val="0"/>
          <c:showPercent val="0"/>
          <c:showBubbleSize val="0"/>
        </c:dLbls>
        <c:gapWidth val="150"/>
        <c:shape val="box"/>
        <c:axId val="-338891680"/>
        <c:axId val="-338908000"/>
        <c:axId val="0"/>
      </c:bar3DChart>
      <c:catAx>
        <c:axId val="-33889168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08000"/>
        <c:crosses val="autoZero"/>
        <c:auto val="1"/>
        <c:lblAlgn val="ctr"/>
        <c:lblOffset val="100"/>
        <c:noMultiLvlLbl val="0"/>
      </c:catAx>
      <c:valAx>
        <c:axId val="-338908000"/>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8916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HIST.'!$B$13</c:f>
              <c:strCache>
                <c:ptCount val="1"/>
                <c:pt idx="0">
                  <c:v>UTILIDAD OPERACIONAL</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'EST. RESUL. HIST.'!$C$7:$F$7</c:f>
              <c:numCache>
                <c:formatCode>General</c:formatCode>
                <c:ptCount val="4"/>
                <c:pt idx="0">
                  <c:v>2017</c:v>
                </c:pt>
                <c:pt idx="1">
                  <c:v>2016</c:v>
                </c:pt>
                <c:pt idx="2">
                  <c:v>2015</c:v>
                </c:pt>
                <c:pt idx="3">
                  <c:v>2014</c:v>
                </c:pt>
              </c:numCache>
            </c:numRef>
          </c:cat>
          <c:val>
            <c:numRef>
              <c:f>'EST. RESUL. HIST.'!$C$13:$F$13</c:f>
              <c:numCache>
                <c:formatCode>"$"\ #,##0</c:formatCode>
                <c:ptCount val="4"/>
                <c:pt idx="0" formatCode="&quot;$&quot;#,##0_);\(&quot;$&quot;#,##0\)">
                  <c:v>60171000</c:v>
                </c:pt>
                <c:pt idx="1">
                  <c:v>38383000</c:v>
                </c:pt>
                <c:pt idx="2">
                  <c:v>72212000</c:v>
                </c:pt>
                <c:pt idx="3" formatCode="[$$-240A]\ #,##0">
                  <c:v>8174000</c:v>
                </c:pt>
              </c:numCache>
            </c:numRef>
          </c:val>
          <c:extLst>
            <c:ext xmlns:c16="http://schemas.microsoft.com/office/drawing/2014/chart" uri="{C3380CC4-5D6E-409C-BE32-E72D297353CC}">
              <c16:uniqueId val="{00000000-017C-4373-8694-50DBAC340214}"/>
            </c:ext>
          </c:extLst>
        </c:ser>
        <c:dLbls>
          <c:showLegendKey val="0"/>
          <c:showVal val="0"/>
          <c:showCatName val="0"/>
          <c:showSerName val="0"/>
          <c:showPercent val="0"/>
          <c:showBubbleSize val="0"/>
        </c:dLbls>
        <c:gapWidth val="150"/>
        <c:shape val="box"/>
        <c:axId val="-338903104"/>
        <c:axId val="-338902016"/>
        <c:axId val="0"/>
      </c:bar3DChart>
      <c:catAx>
        <c:axId val="-33890310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02016"/>
        <c:crosses val="autoZero"/>
        <c:auto val="1"/>
        <c:lblAlgn val="ctr"/>
        <c:lblOffset val="100"/>
        <c:noMultiLvlLbl val="0"/>
      </c:catAx>
      <c:valAx>
        <c:axId val="-338902016"/>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03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HIST.'!$B$9</c:f>
              <c:strCache>
                <c:ptCount val="1"/>
                <c:pt idx="0">
                  <c:v>COSTO DE VENTAS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val>
            <c:numRef>
              <c:f>'EST. RESUL. HIST.'!$C$9:$F$9</c:f>
              <c:numCache>
                <c:formatCode>"$"\ #,##0</c:formatCode>
                <c:ptCount val="4"/>
                <c:pt idx="0" formatCode="&quot;$&quot;#,##0_);\(&quot;$&quot;#,##0\)">
                  <c:v>1010660000</c:v>
                </c:pt>
                <c:pt idx="1">
                  <c:v>569555000</c:v>
                </c:pt>
                <c:pt idx="2">
                  <c:v>243387000</c:v>
                </c:pt>
                <c:pt idx="3" formatCode="[$$-240A]\ #,##0">
                  <c:v>51870000</c:v>
                </c:pt>
              </c:numCache>
            </c:numRef>
          </c:val>
          <c:extLst>
            <c:ext xmlns:c16="http://schemas.microsoft.com/office/drawing/2014/chart" uri="{C3380CC4-5D6E-409C-BE32-E72D297353CC}">
              <c16:uniqueId val="{00000000-2615-48FB-98FE-B59CF88C2C5D}"/>
            </c:ext>
          </c:extLst>
        </c:ser>
        <c:dLbls>
          <c:showLegendKey val="0"/>
          <c:showVal val="0"/>
          <c:showCatName val="0"/>
          <c:showSerName val="0"/>
          <c:showPercent val="0"/>
          <c:showBubbleSize val="0"/>
        </c:dLbls>
        <c:gapWidth val="150"/>
        <c:shape val="box"/>
        <c:axId val="-338897120"/>
        <c:axId val="-338896032"/>
        <c:axId val="0"/>
      </c:bar3DChart>
      <c:catAx>
        <c:axId val="-338897120"/>
        <c:scaling>
          <c:orientation val="minMax"/>
        </c:scaling>
        <c:delete val="0"/>
        <c:axPos val="b"/>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896032"/>
        <c:crosses val="autoZero"/>
        <c:auto val="1"/>
        <c:lblAlgn val="ctr"/>
        <c:lblOffset val="100"/>
        <c:noMultiLvlLbl val="0"/>
      </c:catAx>
      <c:valAx>
        <c:axId val="-338896032"/>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89712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HIST.'!$B$19</c:f>
              <c:strCache>
                <c:ptCount val="1"/>
                <c:pt idx="0">
                  <c:v>UTILIDAD NETA</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'EST. RESUL. HIST.'!$C$7:$F$7</c:f>
              <c:numCache>
                <c:formatCode>General</c:formatCode>
                <c:ptCount val="4"/>
                <c:pt idx="0">
                  <c:v>2017</c:v>
                </c:pt>
                <c:pt idx="1">
                  <c:v>2016</c:v>
                </c:pt>
                <c:pt idx="2">
                  <c:v>2015</c:v>
                </c:pt>
                <c:pt idx="3">
                  <c:v>2014</c:v>
                </c:pt>
              </c:numCache>
            </c:numRef>
          </c:cat>
          <c:val>
            <c:numRef>
              <c:f>'EST. RESUL. HIST.'!$C$19:$F$19</c:f>
              <c:numCache>
                <c:formatCode>"$"\ #,##0</c:formatCode>
                <c:ptCount val="4"/>
                <c:pt idx="0" formatCode="&quot;$&quot;#,##0_);\(&quot;$&quot;#,##0\)">
                  <c:v>31577000</c:v>
                </c:pt>
                <c:pt idx="1">
                  <c:v>23753000</c:v>
                </c:pt>
                <c:pt idx="2">
                  <c:v>47818000</c:v>
                </c:pt>
                <c:pt idx="3" formatCode="[$$-240A]\ #,##0">
                  <c:v>8174000</c:v>
                </c:pt>
              </c:numCache>
            </c:numRef>
          </c:val>
          <c:extLst>
            <c:ext xmlns:c16="http://schemas.microsoft.com/office/drawing/2014/chart" uri="{C3380CC4-5D6E-409C-BE32-E72D297353CC}">
              <c16:uniqueId val="{00000000-A6A3-4042-9364-9FA65E454DDE}"/>
            </c:ext>
          </c:extLst>
        </c:ser>
        <c:dLbls>
          <c:showLegendKey val="0"/>
          <c:showVal val="0"/>
          <c:showCatName val="0"/>
          <c:showSerName val="0"/>
          <c:showPercent val="0"/>
          <c:showBubbleSize val="0"/>
        </c:dLbls>
        <c:gapWidth val="150"/>
        <c:shape val="box"/>
        <c:axId val="-338922144"/>
        <c:axId val="-338924864"/>
        <c:axId val="0"/>
      </c:bar3DChart>
      <c:catAx>
        <c:axId val="-33892214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24864"/>
        <c:crosses val="autoZero"/>
        <c:auto val="1"/>
        <c:lblAlgn val="ctr"/>
        <c:lblOffset val="100"/>
        <c:noMultiLvlLbl val="0"/>
      </c:catAx>
      <c:valAx>
        <c:axId val="-33892486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3389221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withinLinear" id="17">
  <a:schemeClr val="accent4"/>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withinLinear" id="19">
  <a:schemeClr val="accent6"/>
</cs:colorStyle>
</file>

<file path=xl/charts/colors14.xml><?xml version="1.0" encoding="utf-8"?>
<cs:colorStyle xmlns:cs="http://schemas.microsoft.com/office/drawing/2012/chartStyle" xmlns:a="http://schemas.openxmlformats.org/drawingml/2006/main" meth="withinLinear" id="15">
  <a:schemeClr val="accent2"/>
</cs:colorStyle>
</file>

<file path=xl/charts/colors15.xml><?xml version="1.0" encoding="utf-8"?>
<cs:colorStyle xmlns:cs="http://schemas.microsoft.com/office/drawing/2012/chartStyle" xmlns:a="http://schemas.openxmlformats.org/drawingml/2006/main" meth="withinLinear" id="19">
  <a:schemeClr val="accent6"/>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withinLinear" id="17">
  <a:schemeClr val="accent4"/>
</cs:colorStyle>
</file>

<file path=xl/charts/colors2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2.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3.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4.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3" Type="http://schemas.openxmlformats.org/officeDocument/2006/relationships/chart" Target="../charts/chart13.xml"/><Relationship Id="rId18" Type="http://schemas.openxmlformats.org/officeDocument/2006/relationships/chart" Target="../charts/chart18.xml"/><Relationship Id="rId26" Type="http://schemas.openxmlformats.org/officeDocument/2006/relationships/chart" Target="../charts/chart26.xml"/><Relationship Id="rId39" Type="http://schemas.openxmlformats.org/officeDocument/2006/relationships/chart" Target="../charts/chart39.xml"/><Relationship Id="rId21" Type="http://schemas.openxmlformats.org/officeDocument/2006/relationships/chart" Target="../charts/chart21.xml"/><Relationship Id="rId34" Type="http://schemas.openxmlformats.org/officeDocument/2006/relationships/chart" Target="../charts/chart34.xml"/><Relationship Id="rId42" Type="http://schemas.openxmlformats.org/officeDocument/2006/relationships/chart" Target="../charts/chart42.xml"/><Relationship Id="rId47" Type="http://schemas.openxmlformats.org/officeDocument/2006/relationships/chart" Target="../charts/chart47.xml"/><Relationship Id="rId7" Type="http://schemas.openxmlformats.org/officeDocument/2006/relationships/chart" Target="../charts/chart7.xml"/><Relationship Id="rId2" Type="http://schemas.openxmlformats.org/officeDocument/2006/relationships/chart" Target="../charts/chart2.xml"/><Relationship Id="rId16" Type="http://schemas.openxmlformats.org/officeDocument/2006/relationships/chart" Target="../charts/chart16.xml"/><Relationship Id="rId29" Type="http://schemas.openxmlformats.org/officeDocument/2006/relationships/chart" Target="../charts/chart29.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37" Type="http://schemas.openxmlformats.org/officeDocument/2006/relationships/chart" Target="../charts/chart37.xml"/><Relationship Id="rId40" Type="http://schemas.openxmlformats.org/officeDocument/2006/relationships/chart" Target="../charts/chart40.xml"/><Relationship Id="rId45" Type="http://schemas.openxmlformats.org/officeDocument/2006/relationships/chart" Target="../charts/chart45.xml"/><Relationship Id="rId5" Type="http://schemas.openxmlformats.org/officeDocument/2006/relationships/chart" Target="../charts/chart5.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36" Type="http://schemas.openxmlformats.org/officeDocument/2006/relationships/chart" Target="../charts/chart36.xml"/><Relationship Id="rId49" Type="http://schemas.openxmlformats.org/officeDocument/2006/relationships/chart" Target="../charts/chart49.xml"/><Relationship Id="rId10" Type="http://schemas.openxmlformats.org/officeDocument/2006/relationships/chart" Target="../charts/chart10.xml"/><Relationship Id="rId19" Type="http://schemas.openxmlformats.org/officeDocument/2006/relationships/chart" Target="../charts/chart19.xml"/><Relationship Id="rId31" Type="http://schemas.openxmlformats.org/officeDocument/2006/relationships/chart" Target="../charts/chart31.xml"/><Relationship Id="rId44" Type="http://schemas.openxmlformats.org/officeDocument/2006/relationships/chart" Target="../charts/chart44.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43" Type="http://schemas.openxmlformats.org/officeDocument/2006/relationships/chart" Target="../charts/chart43.xml"/><Relationship Id="rId48" Type="http://schemas.openxmlformats.org/officeDocument/2006/relationships/chart" Target="../charts/chart48.xml"/><Relationship Id="rId8" Type="http://schemas.openxmlformats.org/officeDocument/2006/relationships/chart" Target="../charts/chart8.xml"/><Relationship Id="rId3" Type="http://schemas.openxmlformats.org/officeDocument/2006/relationships/chart" Target="../charts/chart3.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38" Type="http://schemas.openxmlformats.org/officeDocument/2006/relationships/chart" Target="../charts/chart38.xml"/><Relationship Id="rId46" Type="http://schemas.openxmlformats.org/officeDocument/2006/relationships/chart" Target="../charts/chart46.xml"/><Relationship Id="rId20" Type="http://schemas.openxmlformats.org/officeDocument/2006/relationships/chart" Target="../charts/chart20.xml"/><Relationship Id="rId41" Type="http://schemas.openxmlformats.org/officeDocument/2006/relationships/chart" Target="../charts/chart41.xml"/><Relationship Id="rId1" Type="http://schemas.openxmlformats.org/officeDocument/2006/relationships/chart" Target="../charts/chart1.xml"/><Relationship Id="rId6" Type="http://schemas.openxmlformats.org/officeDocument/2006/relationships/chart" Target="../charts/chart6.xml"/></Relationships>
</file>

<file path=xl/drawings/_rels/drawing2.xml.rels><?xml version="1.0" encoding="UTF-8" standalone="yes"?>
<Relationships xmlns="http://schemas.openxmlformats.org/package/2006/relationships"><Relationship Id="rId3" Type="http://schemas.openxmlformats.org/officeDocument/2006/relationships/chart" Target="../charts/chart52.xml"/><Relationship Id="rId2" Type="http://schemas.openxmlformats.org/officeDocument/2006/relationships/chart" Target="../charts/chart51.xml"/><Relationship Id="rId1" Type="http://schemas.openxmlformats.org/officeDocument/2006/relationships/chart" Target="../charts/chart50.xml"/><Relationship Id="rId4" Type="http://schemas.openxmlformats.org/officeDocument/2006/relationships/chart" Target="../charts/chart53.xml"/></Relationships>
</file>

<file path=xl/drawings/drawing1.xml><?xml version="1.0" encoding="utf-8"?>
<xdr:wsDr xmlns:xdr="http://schemas.openxmlformats.org/drawingml/2006/spreadsheetDrawing" xmlns:a="http://schemas.openxmlformats.org/drawingml/2006/main">
  <xdr:twoCellAnchor>
    <xdr:from>
      <xdr:col>4</xdr:col>
      <xdr:colOff>409233</xdr:colOff>
      <xdr:row>168</xdr:row>
      <xdr:rowOff>102732</xdr:rowOff>
    </xdr:from>
    <xdr:to>
      <xdr:col>9</xdr:col>
      <xdr:colOff>654843</xdr:colOff>
      <xdr:row>178</xdr:row>
      <xdr:rowOff>35934</xdr:rowOff>
    </xdr:to>
    <xdr:graphicFrame macro="">
      <xdr:nvGraphicFramePr>
        <xdr:cNvPr id="5" name="4 Gráfico">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404473</xdr:colOff>
      <xdr:row>178</xdr:row>
      <xdr:rowOff>129947</xdr:rowOff>
    </xdr:from>
    <xdr:to>
      <xdr:col>9</xdr:col>
      <xdr:colOff>678655</xdr:colOff>
      <xdr:row>188</xdr:row>
      <xdr:rowOff>54944</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28574</xdr:colOff>
      <xdr:row>505</xdr:row>
      <xdr:rowOff>161925</xdr:rowOff>
    </xdr:from>
    <xdr:to>
      <xdr:col>9</xdr:col>
      <xdr:colOff>200025</xdr:colOff>
      <xdr:row>518</xdr:row>
      <xdr:rowOff>72538</xdr:rowOff>
    </xdr:to>
    <xdr:graphicFrame macro="">
      <xdr:nvGraphicFramePr>
        <xdr:cNvPr id="14" name="13 Gráfico">
          <a:extLst>
            <a:ext uri="{FF2B5EF4-FFF2-40B4-BE49-F238E27FC236}">
              <a16:creationId xmlns:a16="http://schemas.microsoft.com/office/drawing/2014/main" id="{00000000-0008-0000-06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66676</xdr:colOff>
      <xdr:row>541</xdr:row>
      <xdr:rowOff>9525</xdr:rowOff>
    </xdr:from>
    <xdr:to>
      <xdr:col>9</xdr:col>
      <xdr:colOff>238126</xdr:colOff>
      <xdr:row>551</xdr:row>
      <xdr:rowOff>140162</xdr:rowOff>
    </xdr:to>
    <xdr:graphicFrame macro="">
      <xdr:nvGraphicFramePr>
        <xdr:cNvPr id="16" name="15 Gráfico">
          <a:extLst>
            <a:ext uri="{FF2B5EF4-FFF2-40B4-BE49-F238E27FC236}">
              <a16:creationId xmlns:a16="http://schemas.microsoft.com/office/drawing/2014/main" id="{00000000-0008-0000-06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361949</xdr:colOff>
      <xdr:row>629</xdr:row>
      <xdr:rowOff>9524</xdr:rowOff>
    </xdr:from>
    <xdr:to>
      <xdr:col>10</xdr:col>
      <xdr:colOff>38100</xdr:colOff>
      <xdr:row>642</xdr:row>
      <xdr:rowOff>120565</xdr:rowOff>
    </xdr:to>
    <xdr:graphicFrame macro="">
      <xdr:nvGraphicFramePr>
        <xdr:cNvPr id="19" name="18 Gráfico">
          <a:extLst>
            <a:ext uri="{FF2B5EF4-FFF2-40B4-BE49-F238E27FC236}">
              <a16:creationId xmlns:a16="http://schemas.microsoft.com/office/drawing/2014/main" id="{00000000-0008-0000-06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495299</xdr:colOff>
      <xdr:row>250</xdr:row>
      <xdr:rowOff>171450</xdr:rowOff>
    </xdr:from>
    <xdr:to>
      <xdr:col>9</xdr:col>
      <xdr:colOff>654844</xdr:colOff>
      <xdr:row>260</xdr:row>
      <xdr:rowOff>83343</xdr:rowOff>
    </xdr:to>
    <xdr:graphicFrame macro="">
      <xdr:nvGraphicFramePr>
        <xdr:cNvPr id="4" name="Gráfico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502785</xdr:colOff>
      <xdr:row>260</xdr:row>
      <xdr:rowOff>151037</xdr:rowOff>
    </xdr:from>
    <xdr:to>
      <xdr:col>9</xdr:col>
      <xdr:colOff>678656</xdr:colOff>
      <xdr:row>270</xdr:row>
      <xdr:rowOff>47624</xdr:rowOff>
    </xdr:to>
    <xdr:graphicFrame macro="">
      <xdr:nvGraphicFramePr>
        <xdr:cNvPr id="6" name="Gráfico 5">
          <a:extLst>
            <a:ext uri="{FF2B5EF4-FFF2-40B4-BE49-F238E27FC236}">
              <a16:creationId xmlns:a16="http://schemas.microsoft.com/office/drawing/2014/main" id="{00000000-0008-0000-06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450056</xdr:colOff>
      <xdr:row>333</xdr:row>
      <xdr:rowOff>0</xdr:rowOff>
    </xdr:from>
    <xdr:to>
      <xdr:col>9</xdr:col>
      <xdr:colOff>642938</xdr:colOff>
      <xdr:row>341</xdr:row>
      <xdr:rowOff>166687</xdr:rowOff>
    </xdr:to>
    <xdr:graphicFrame macro="">
      <xdr:nvGraphicFramePr>
        <xdr:cNvPr id="7" name="Gráfico 6">
          <a:extLst>
            <a:ext uri="{FF2B5EF4-FFF2-40B4-BE49-F238E27FC236}">
              <a16:creationId xmlns:a16="http://schemas.microsoft.com/office/drawing/2014/main" id="{00000000-0008-0000-06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457541</xdr:colOff>
      <xdr:row>342</xdr:row>
      <xdr:rowOff>88786</xdr:rowOff>
    </xdr:from>
    <xdr:to>
      <xdr:col>9</xdr:col>
      <xdr:colOff>654843</xdr:colOff>
      <xdr:row>352</xdr:row>
      <xdr:rowOff>11905</xdr:rowOff>
    </xdr:to>
    <xdr:graphicFrame macro="">
      <xdr:nvGraphicFramePr>
        <xdr:cNvPr id="2" name="Gráfico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433387</xdr:colOff>
      <xdr:row>413</xdr:row>
      <xdr:rowOff>104775</xdr:rowOff>
    </xdr:from>
    <xdr:to>
      <xdr:col>9</xdr:col>
      <xdr:colOff>695324</xdr:colOff>
      <xdr:row>424</xdr:row>
      <xdr:rowOff>38100</xdr:rowOff>
    </xdr:to>
    <xdr:graphicFrame macro="">
      <xdr:nvGraphicFramePr>
        <xdr:cNvPr id="3" name="Gráfico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434746</xdr:colOff>
      <xdr:row>424</xdr:row>
      <xdr:rowOff>133350</xdr:rowOff>
    </xdr:from>
    <xdr:to>
      <xdr:col>9</xdr:col>
      <xdr:colOff>685799</xdr:colOff>
      <xdr:row>433</xdr:row>
      <xdr:rowOff>195261</xdr:rowOff>
    </xdr:to>
    <xdr:graphicFrame macro="">
      <xdr:nvGraphicFramePr>
        <xdr:cNvPr id="8" name="Gráfico 7">
          <a:extLst>
            <a:ext uri="{FF2B5EF4-FFF2-40B4-BE49-F238E27FC236}">
              <a16:creationId xmlns:a16="http://schemas.microsoft.com/office/drawing/2014/main" id="{00000000-0008-0000-06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123825</xdr:colOff>
      <xdr:row>569</xdr:row>
      <xdr:rowOff>23812</xdr:rowOff>
    </xdr:from>
    <xdr:to>
      <xdr:col>3</xdr:col>
      <xdr:colOff>748382</xdr:colOff>
      <xdr:row>580</xdr:row>
      <xdr:rowOff>151447</xdr:rowOff>
    </xdr:to>
    <xdr:graphicFrame macro="">
      <xdr:nvGraphicFramePr>
        <xdr:cNvPr id="12" name="Gráfico 11">
          <a:extLst>
            <a:ext uri="{FF2B5EF4-FFF2-40B4-BE49-F238E27FC236}">
              <a16:creationId xmlns:a16="http://schemas.microsoft.com/office/drawing/2014/main" id="{00000000-0008-0000-06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219075</xdr:colOff>
      <xdr:row>598</xdr:row>
      <xdr:rowOff>76200</xdr:rowOff>
    </xdr:from>
    <xdr:to>
      <xdr:col>4</xdr:col>
      <xdr:colOff>126895</xdr:colOff>
      <xdr:row>609</xdr:row>
      <xdr:rowOff>43815</xdr:rowOff>
    </xdr:to>
    <xdr:graphicFrame macro="">
      <xdr:nvGraphicFramePr>
        <xdr:cNvPr id="20" name="Gráfico 19">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152400</xdr:colOff>
      <xdr:row>505</xdr:row>
      <xdr:rowOff>161925</xdr:rowOff>
    </xdr:from>
    <xdr:to>
      <xdr:col>3</xdr:col>
      <xdr:colOff>733425</xdr:colOff>
      <xdr:row>518</xdr:row>
      <xdr:rowOff>62335</xdr:rowOff>
    </xdr:to>
    <xdr:graphicFrame macro="">
      <xdr:nvGraphicFramePr>
        <xdr:cNvPr id="21" name="13 Gráfico">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xdr:col>
      <xdr:colOff>28575</xdr:colOff>
      <xdr:row>519</xdr:row>
      <xdr:rowOff>142875</xdr:rowOff>
    </xdr:from>
    <xdr:to>
      <xdr:col>9</xdr:col>
      <xdr:colOff>200026</xdr:colOff>
      <xdr:row>532</xdr:row>
      <xdr:rowOff>53488</xdr:rowOff>
    </xdr:to>
    <xdr:graphicFrame macro="">
      <xdr:nvGraphicFramePr>
        <xdr:cNvPr id="22" name="13 Gráfico">
          <a:extLst>
            <a:ext uri="{FF2B5EF4-FFF2-40B4-BE49-F238E27FC236}">
              <a16:creationId xmlns:a16="http://schemas.microsoft.com/office/drawing/2014/main" id="{00000000-0008-0000-06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142875</xdr:colOff>
      <xdr:row>519</xdr:row>
      <xdr:rowOff>133350</xdr:rowOff>
    </xdr:from>
    <xdr:to>
      <xdr:col>3</xdr:col>
      <xdr:colOff>742951</xdr:colOff>
      <xdr:row>532</xdr:row>
      <xdr:rowOff>43963</xdr:rowOff>
    </xdr:to>
    <xdr:graphicFrame macro="">
      <xdr:nvGraphicFramePr>
        <xdr:cNvPr id="23" name="13 Gráfico">
          <a:extLst>
            <a:ext uri="{FF2B5EF4-FFF2-40B4-BE49-F238E27FC236}">
              <a16:creationId xmlns:a16="http://schemas.microsoft.com/office/drawing/2014/main" id="{00000000-0008-0000-06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114300</xdr:colOff>
      <xdr:row>541</xdr:row>
      <xdr:rowOff>9525</xdr:rowOff>
    </xdr:from>
    <xdr:to>
      <xdr:col>3</xdr:col>
      <xdr:colOff>714375</xdr:colOff>
      <xdr:row>551</xdr:row>
      <xdr:rowOff>140162</xdr:rowOff>
    </xdr:to>
    <xdr:graphicFrame macro="">
      <xdr:nvGraphicFramePr>
        <xdr:cNvPr id="24" name="15 Gráfico">
          <a:extLst>
            <a:ext uri="{FF2B5EF4-FFF2-40B4-BE49-F238E27FC236}">
              <a16:creationId xmlns:a16="http://schemas.microsoft.com/office/drawing/2014/main" id="{00000000-0008-0000-06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2771775</xdr:colOff>
      <xdr:row>553</xdr:row>
      <xdr:rowOff>0</xdr:rowOff>
    </xdr:from>
    <xdr:to>
      <xdr:col>7</xdr:col>
      <xdr:colOff>38100</xdr:colOff>
      <xdr:row>563</xdr:row>
      <xdr:rowOff>130637</xdr:rowOff>
    </xdr:to>
    <xdr:graphicFrame macro="">
      <xdr:nvGraphicFramePr>
        <xdr:cNvPr id="25" name="15 Gráfico">
          <a:extLst>
            <a:ext uri="{FF2B5EF4-FFF2-40B4-BE49-F238E27FC236}">
              <a16:creationId xmlns:a16="http://schemas.microsoft.com/office/drawing/2014/main" id="{00000000-0008-0000-06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xdr:col>
      <xdr:colOff>152399</xdr:colOff>
      <xdr:row>569</xdr:row>
      <xdr:rowOff>28575</xdr:rowOff>
    </xdr:from>
    <xdr:to>
      <xdr:col>9</xdr:col>
      <xdr:colOff>377613</xdr:colOff>
      <xdr:row>580</xdr:row>
      <xdr:rowOff>156210</xdr:rowOff>
    </xdr:to>
    <xdr:graphicFrame macro="">
      <xdr:nvGraphicFramePr>
        <xdr:cNvPr id="26" name="Gráfico 25">
          <a:extLst>
            <a:ext uri="{FF2B5EF4-FFF2-40B4-BE49-F238E27FC236}">
              <a16:creationId xmlns:a16="http://schemas.microsoft.com/office/drawing/2014/main" id="{00000000-0008-0000-06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2381250</xdr:colOff>
      <xdr:row>582</xdr:row>
      <xdr:rowOff>123825</xdr:rowOff>
    </xdr:from>
    <xdr:to>
      <xdr:col>6</xdr:col>
      <xdr:colOff>457200</xdr:colOff>
      <xdr:row>594</xdr:row>
      <xdr:rowOff>60960</xdr:rowOff>
    </xdr:to>
    <xdr:graphicFrame macro="">
      <xdr:nvGraphicFramePr>
        <xdr:cNvPr id="27" name="Gráfico 26">
          <a:extLst>
            <a:ext uri="{FF2B5EF4-FFF2-40B4-BE49-F238E27FC236}">
              <a16:creationId xmlns:a16="http://schemas.microsoft.com/office/drawing/2014/main" id="{00000000-0008-0000-06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371474</xdr:colOff>
      <xdr:row>598</xdr:row>
      <xdr:rowOff>76200</xdr:rowOff>
    </xdr:from>
    <xdr:to>
      <xdr:col>9</xdr:col>
      <xdr:colOff>705006</xdr:colOff>
      <xdr:row>609</xdr:row>
      <xdr:rowOff>43815</xdr:rowOff>
    </xdr:to>
    <xdr:graphicFrame macro="">
      <xdr:nvGraphicFramePr>
        <xdr:cNvPr id="28" name="Gráfico 27">
          <a:extLst>
            <a:ext uri="{FF2B5EF4-FFF2-40B4-BE49-F238E27FC236}">
              <a16:creationId xmlns:a16="http://schemas.microsoft.com/office/drawing/2014/main" id="{00000000-0008-0000-06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2352675</xdr:colOff>
      <xdr:row>610</xdr:row>
      <xdr:rowOff>0</xdr:rowOff>
    </xdr:from>
    <xdr:to>
      <xdr:col>6</xdr:col>
      <xdr:colOff>533400</xdr:colOff>
      <xdr:row>620</xdr:row>
      <xdr:rowOff>158115</xdr:rowOff>
    </xdr:to>
    <xdr:graphicFrame macro="">
      <xdr:nvGraphicFramePr>
        <xdr:cNvPr id="29" name="Gráfico 28">
          <a:extLst>
            <a:ext uri="{FF2B5EF4-FFF2-40B4-BE49-F238E27FC236}">
              <a16:creationId xmlns:a16="http://schemas.microsoft.com/office/drawing/2014/main" id="{00000000-0008-0000-06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85725</xdr:colOff>
      <xdr:row>629</xdr:row>
      <xdr:rowOff>0</xdr:rowOff>
    </xdr:from>
    <xdr:to>
      <xdr:col>4</xdr:col>
      <xdr:colOff>133351</xdr:colOff>
      <xdr:row>642</xdr:row>
      <xdr:rowOff>101516</xdr:rowOff>
    </xdr:to>
    <xdr:graphicFrame macro="">
      <xdr:nvGraphicFramePr>
        <xdr:cNvPr id="30" name="18 Gráfico">
          <a:extLst>
            <a:ext uri="{FF2B5EF4-FFF2-40B4-BE49-F238E27FC236}">
              <a16:creationId xmlns:a16="http://schemas.microsoft.com/office/drawing/2014/main" id="{00000000-0008-0000-06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85725</xdr:colOff>
      <xdr:row>644</xdr:row>
      <xdr:rowOff>47625</xdr:rowOff>
    </xdr:from>
    <xdr:to>
      <xdr:col>4</xdr:col>
      <xdr:colOff>133351</xdr:colOff>
      <xdr:row>657</xdr:row>
      <xdr:rowOff>158666</xdr:rowOff>
    </xdr:to>
    <xdr:graphicFrame macro="">
      <xdr:nvGraphicFramePr>
        <xdr:cNvPr id="31" name="18 Gráfico">
          <a:extLst>
            <a:ext uri="{FF2B5EF4-FFF2-40B4-BE49-F238E27FC236}">
              <a16:creationId xmlns:a16="http://schemas.microsoft.com/office/drawing/2014/main" id="{00000000-0008-0000-06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4</xdr:col>
      <xdr:colOff>371475</xdr:colOff>
      <xdr:row>644</xdr:row>
      <xdr:rowOff>28575</xdr:rowOff>
    </xdr:from>
    <xdr:to>
      <xdr:col>10</xdr:col>
      <xdr:colOff>47626</xdr:colOff>
      <xdr:row>657</xdr:row>
      <xdr:rowOff>139616</xdr:rowOff>
    </xdr:to>
    <xdr:graphicFrame macro="">
      <xdr:nvGraphicFramePr>
        <xdr:cNvPr id="32" name="18 Gráfico">
          <a:extLst>
            <a:ext uri="{FF2B5EF4-FFF2-40B4-BE49-F238E27FC236}">
              <a16:creationId xmlns:a16="http://schemas.microsoft.com/office/drawing/2014/main" id="{00000000-0008-0000-06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xdr:col>
      <xdr:colOff>209550</xdr:colOff>
      <xdr:row>661</xdr:row>
      <xdr:rowOff>171450</xdr:rowOff>
    </xdr:from>
    <xdr:to>
      <xdr:col>4</xdr:col>
      <xdr:colOff>104775</xdr:colOff>
      <xdr:row>676</xdr:row>
      <xdr:rowOff>57150</xdr:rowOff>
    </xdr:to>
    <xdr:graphicFrame macro="">
      <xdr:nvGraphicFramePr>
        <xdr:cNvPr id="33" name="Gráfico 32">
          <a:extLst>
            <a:ext uri="{FF2B5EF4-FFF2-40B4-BE49-F238E27FC236}">
              <a16:creationId xmlns:a16="http://schemas.microsoft.com/office/drawing/2014/main" id="{00000000-0008-0000-06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352425</xdr:colOff>
      <xdr:row>661</xdr:row>
      <xdr:rowOff>171450</xdr:rowOff>
    </xdr:from>
    <xdr:to>
      <xdr:col>9</xdr:col>
      <xdr:colOff>581025</xdr:colOff>
      <xdr:row>676</xdr:row>
      <xdr:rowOff>76200</xdr:rowOff>
    </xdr:to>
    <xdr:graphicFrame macro="">
      <xdr:nvGraphicFramePr>
        <xdr:cNvPr id="34" name="Gráfico 33">
          <a:extLst>
            <a:ext uri="{FF2B5EF4-FFF2-40B4-BE49-F238E27FC236}">
              <a16:creationId xmlns:a16="http://schemas.microsoft.com/office/drawing/2014/main" id="{00000000-0008-0000-06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2800350</xdr:colOff>
      <xdr:row>677</xdr:row>
      <xdr:rowOff>28575</xdr:rowOff>
    </xdr:from>
    <xdr:to>
      <xdr:col>7</xdr:col>
      <xdr:colOff>123825</xdr:colOff>
      <xdr:row>691</xdr:row>
      <xdr:rowOff>70485</xdr:rowOff>
    </xdr:to>
    <xdr:graphicFrame macro="">
      <xdr:nvGraphicFramePr>
        <xdr:cNvPr id="35" name="Gráfico 34">
          <a:extLst>
            <a:ext uri="{FF2B5EF4-FFF2-40B4-BE49-F238E27FC236}">
              <a16:creationId xmlns:a16="http://schemas.microsoft.com/office/drawing/2014/main" id="{00000000-0008-0000-06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0</xdr:col>
      <xdr:colOff>440530</xdr:colOff>
      <xdr:row>204</xdr:row>
      <xdr:rowOff>130970</xdr:rowOff>
    </xdr:from>
    <xdr:to>
      <xdr:col>3</xdr:col>
      <xdr:colOff>762000</xdr:colOff>
      <xdr:row>218</xdr:row>
      <xdr:rowOff>35719</xdr:rowOff>
    </xdr:to>
    <xdr:graphicFrame macro="">
      <xdr:nvGraphicFramePr>
        <xdr:cNvPr id="55" name="Gráfico 54">
          <a:extLst>
            <a:ext uri="{FF2B5EF4-FFF2-40B4-BE49-F238E27FC236}">
              <a16:creationId xmlns:a16="http://schemas.microsoft.com/office/drawing/2014/main" id="{00000000-0008-0000-06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4</xdr:col>
      <xdr:colOff>392907</xdr:colOff>
      <xdr:row>204</xdr:row>
      <xdr:rowOff>130969</xdr:rowOff>
    </xdr:from>
    <xdr:to>
      <xdr:col>9</xdr:col>
      <xdr:colOff>678656</xdr:colOff>
      <xdr:row>218</xdr:row>
      <xdr:rowOff>23812</xdr:rowOff>
    </xdr:to>
    <xdr:graphicFrame macro="">
      <xdr:nvGraphicFramePr>
        <xdr:cNvPr id="56" name="Gráfico 55">
          <a:extLst>
            <a:ext uri="{FF2B5EF4-FFF2-40B4-BE49-F238E27FC236}">
              <a16:creationId xmlns:a16="http://schemas.microsoft.com/office/drawing/2014/main" id="{00000000-0008-0000-06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xdr:col>
      <xdr:colOff>404814</xdr:colOff>
      <xdr:row>189</xdr:row>
      <xdr:rowOff>130966</xdr:rowOff>
    </xdr:from>
    <xdr:to>
      <xdr:col>9</xdr:col>
      <xdr:colOff>690562</xdr:colOff>
      <xdr:row>203</xdr:row>
      <xdr:rowOff>11906</xdr:rowOff>
    </xdr:to>
    <xdr:graphicFrame macro="">
      <xdr:nvGraphicFramePr>
        <xdr:cNvPr id="57" name="Gráfico 56">
          <a:extLst>
            <a:ext uri="{FF2B5EF4-FFF2-40B4-BE49-F238E27FC236}">
              <a16:creationId xmlns:a16="http://schemas.microsoft.com/office/drawing/2014/main" id="{00000000-0008-0000-0600-00003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0</xdr:col>
      <xdr:colOff>452437</xdr:colOff>
      <xdr:row>189</xdr:row>
      <xdr:rowOff>130969</xdr:rowOff>
    </xdr:from>
    <xdr:to>
      <xdr:col>3</xdr:col>
      <xdr:colOff>750094</xdr:colOff>
      <xdr:row>203</xdr:row>
      <xdr:rowOff>23812</xdr:rowOff>
    </xdr:to>
    <xdr:graphicFrame macro="">
      <xdr:nvGraphicFramePr>
        <xdr:cNvPr id="58" name="Gráfico 57">
          <a:extLst>
            <a:ext uri="{FF2B5EF4-FFF2-40B4-BE49-F238E27FC236}">
              <a16:creationId xmlns:a16="http://schemas.microsoft.com/office/drawing/2014/main" id="{00000000-0008-0000-06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xdr:col>
      <xdr:colOff>1</xdr:colOff>
      <xdr:row>286</xdr:row>
      <xdr:rowOff>71437</xdr:rowOff>
    </xdr:from>
    <xdr:to>
      <xdr:col>3</xdr:col>
      <xdr:colOff>750094</xdr:colOff>
      <xdr:row>299</xdr:row>
      <xdr:rowOff>166686</xdr:rowOff>
    </xdr:to>
    <xdr:graphicFrame macro="">
      <xdr:nvGraphicFramePr>
        <xdr:cNvPr id="59" name="Gráfico 58">
          <a:extLst>
            <a:ext uri="{FF2B5EF4-FFF2-40B4-BE49-F238E27FC236}">
              <a16:creationId xmlns:a16="http://schemas.microsoft.com/office/drawing/2014/main" id="{00000000-0008-0000-0600-00003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4</xdr:col>
      <xdr:colOff>500063</xdr:colOff>
      <xdr:row>286</xdr:row>
      <xdr:rowOff>71438</xdr:rowOff>
    </xdr:from>
    <xdr:to>
      <xdr:col>9</xdr:col>
      <xdr:colOff>666749</xdr:colOff>
      <xdr:row>299</xdr:row>
      <xdr:rowOff>178594</xdr:rowOff>
    </xdr:to>
    <xdr:graphicFrame macro="">
      <xdr:nvGraphicFramePr>
        <xdr:cNvPr id="60" name="Gráfico 59">
          <a:extLst>
            <a:ext uri="{FF2B5EF4-FFF2-40B4-BE49-F238E27FC236}">
              <a16:creationId xmlns:a16="http://schemas.microsoft.com/office/drawing/2014/main" id="{00000000-0008-0000-06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xdr:col>
      <xdr:colOff>500063</xdr:colOff>
      <xdr:row>272</xdr:row>
      <xdr:rowOff>-1</xdr:rowOff>
    </xdr:from>
    <xdr:to>
      <xdr:col>9</xdr:col>
      <xdr:colOff>666750</xdr:colOff>
      <xdr:row>285</xdr:row>
      <xdr:rowOff>95248</xdr:rowOff>
    </xdr:to>
    <xdr:graphicFrame macro="">
      <xdr:nvGraphicFramePr>
        <xdr:cNvPr id="62" name="Gráfico 61">
          <a:extLst>
            <a:ext uri="{FF2B5EF4-FFF2-40B4-BE49-F238E27FC236}">
              <a16:creationId xmlns:a16="http://schemas.microsoft.com/office/drawing/2014/main" id="{00000000-0008-0000-0600-00003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xdr:col>
      <xdr:colOff>0</xdr:colOff>
      <xdr:row>272</xdr:row>
      <xdr:rowOff>0</xdr:rowOff>
    </xdr:from>
    <xdr:to>
      <xdr:col>3</xdr:col>
      <xdr:colOff>750094</xdr:colOff>
      <xdr:row>285</xdr:row>
      <xdr:rowOff>95250</xdr:rowOff>
    </xdr:to>
    <xdr:graphicFrame macro="">
      <xdr:nvGraphicFramePr>
        <xdr:cNvPr id="66" name="Gráfico 65">
          <a:extLst>
            <a:ext uri="{FF2B5EF4-FFF2-40B4-BE49-F238E27FC236}">
              <a16:creationId xmlns:a16="http://schemas.microsoft.com/office/drawing/2014/main" id="{00000000-0008-0000-0600-00004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0</xdr:col>
      <xdr:colOff>452437</xdr:colOff>
      <xdr:row>368</xdr:row>
      <xdr:rowOff>35718</xdr:rowOff>
    </xdr:from>
    <xdr:to>
      <xdr:col>3</xdr:col>
      <xdr:colOff>619125</xdr:colOff>
      <xdr:row>382</xdr:row>
      <xdr:rowOff>11906</xdr:rowOff>
    </xdr:to>
    <xdr:graphicFrame macro="">
      <xdr:nvGraphicFramePr>
        <xdr:cNvPr id="67" name="Gráfico 66">
          <a:extLst>
            <a:ext uri="{FF2B5EF4-FFF2-40B4-BE49-F238E27FC236}">
              <a16:creationId xmlns:a16="http://schemas.microsoft.com/office/drawing/2014/main" id="{00000000-0008-0000-0600-00004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4</xdr:col>
      <xdr:colOff>440533</xdr:colOff>
      <xdr:row>368</xdr:row>
      <xdr:rowOff>71438</xdr:rowOff>
    </xdr:from>
    <xdr:to>
      <xdr:col>9</xdr:col>
      <xdr:colOff>654845</xdr:colOff>
      <xdr:row>382</xdr:row>
      <xdr:rowOff>35718</xdr:rowOff>
    </xdr:to>
    <xdr:graphicFrame macro="">
      <xdr:nvGraphicFramePr>
        <xdr:cNvPr id="68" name="Gráfico 67">
          <a:extLst>
            <a:ext uri="{FF2B5EF4-FFF2-40B4-BE49-F238E27FC236}">
              <a16:creationId xmlns:a16="http://schemas.microsoft.com/office/drawing/2014/main" id="{00000000-0008-0000-0600-00004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4</xdr:col>
      <xdr:colOff>428624</xdr:colOff>
      <xdr:row>353</xdr:row>
      <xdr:rowOff>154779</xdr:rowOff>
    </xdr:from>
    <xdr:to>
      <xdr:col>9</xdr:col>
      <xdr:colOff>654844</xdr:colOff>
      <xdr:row>367</xdr:row>
      <xdr:rowOff>119062</xdr:rowOff>
    </xdr:to>
    <xdr:graphicFrame macro="">
      <xdr:nvGraphicFramePr>
        <xdr:cNvPr id="69" name="Gráfico 68">
          <a:extLst>
            <a:ext uri="{FF2B5EF4-FFF2-40B4-BE49-F238E27FC236}">
              <a16:creationId xmlns:a16="http://schemas.microsoft.com/office/drawing/2014/main" id="{00000000-0008-0000-0600-00004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1</xdr:col>
      <xdr:colOff>0</xdr:colOff>
      <xdr:row>354</xdr:row>
      <xdr:rowOff>0</xdr:rowOff>
    </xdr:from>
    <xdr:to>
      <xdr:col>3</xdr:col>
      <xdr:colOff>619126</xdr:colOff>
      <xdr:row>367</xdr:row>
      <xdr:rowOff>107156</xdr:rowOff>
    </xdr:to>
    <xdr:graphicFrame macro="">
      <xdr:nvGraphicFramePr>
        <xdr:cNvPr id="75" name="Gráfico 74">
          <a:extLst>
            <a:ext uri="{FF2B5EF4-FFF2-40B4-BE49-F238E27FC236}">
              <a16:creationId xmlns:a16="http://schemas.microsoft.com/office/drawing/2014/main" id="{00000000-0008-0000-0600-00004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xdr:col>
      <xdr:colOff>35719</xdr:colOff>
      <xdr:row>449</xdr:row>
      <xdr:rowOff>154781</xdr:rowOff>
    </xdr:from>
    <xdr:to>
      <xdr:col>3</xdr:col>
      <xdr:colOff>726281</xdr:colOff>
      <xdr:row>463</xdr:row>
      <xdr:rowOff>190499</xdr:rowOff>
    </xdr:to>
    <xdr:graphicFrame macro="">
      <xdr:nvGraphicFramePr>
        <xdr:cNvPr id="76" name="Gráfico 75">
          <a:extLst>
            <a:ext uri="{FF2B5EF4-FFF2-40B4-BE49-F238E27FC236}">
              <a16:creationId xmlns:a16="http://schemas.microsoft.com/office/drawing/2014/main" id="{00000000-0008-0000-0600-00004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4</xdr:col>
      <xdr:colOff>428627</xdr:colOff>
      <xdr:row>449</xdr:row>
      <xdr:rowOff>142873</xdr:rowOff>
    </xdr:from>
    <xdr:to>
      <xdr:col>9</xdr:col>
      <xdr:colOff>631032</xdr:colOff>
      <xdr:row>463</xdr:row>
      <xdr:rowOff>154780</xdr:rowOff>
    </xdr:to>
    <xdr:graphicFrame macro="">
      <xdr:nvGraphicFramePr>
        <xdr:cNvPr id="77" name="Gráfico 76">
          <a:extLst>
            <a:ext uri="{FF2B5EF4-FFF2-40B4-BE49-F238E27FC236}">
              <a16:creationId xmlns:a16="http://schemas.microsoft.com/office/drawing/2014/main" id="{00000000-0008-0000-0600-00004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4</xdr:col>
      <xdr:colOff>416717</xdr:colOff>
      <xdr:row>434</xdr:row>
      <xdr:rowOff>71437</xdr:rowOff>
    </xdr:from>
    <xdr:to>
      <xdr:col>9</xdr:col>
      <xdr:colOff>642937</xdr:colOff>
      <xdr:row>448</xdr:row>
      <xdr:rowOff>71437</xdr:rowOff>
    </xdr:to>
    <xdr:graphicFrame macro="">
      <xdr:nvGraphicFramePr>
        <xdr:cNvPr id="78" name="Gráfico 77">
          <a:extLst>
            <a:ext uri="{FF2B5EF4-FFF2-40B4-BE49-F238E27FC236}">
              <a16:creationId xmlns:a16="http://schemas.microsoft.com/office/drawing/2014/main" id="{00000000-0008-0000-0600-00004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1</xdr:col>
      <xdr:colOff>35719</xdr:colOff>
      <xdr:row>434</xdr:row>
      <xdr:rowOff>83343</xdr:rowOff>
    </xdr:from>
    <xdr:to>
      <xdr:col>3</xdr:col>
      <xdr:colOff>714376</xdr:colOff>
      <xdr:row>448</xdr:row>
      <xdr:rowOff>59530</xdr:rowOff>
    </xdr:to>
    <xdr:graphicFrame macro="">
      <xdr:nvGraphicFramePr>
        <xdr:cNvPr id="81" name="Gráfico 80">
          <a:extLst>
            <a:ext uri="{FF2B5EF4-FFF2-40B4-BE49-F238E27FC236}">
              <a16:creationId xmlns:a16="http://schemas.microsoft.com/office/drawing/2014/main" id="{00000000-0008-0000-0600-00005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1</xdr:col>
      <xdr:colOff>357187</xdr:colOff>
      <xdr:row>725</xdr:row>
      <xdr:rowOff>166687</xdr:rowOff>
    </xdr:from>
    <xdr:to>
      <xdr:col>4</xdr:col>
      <xdr:colOff>305591</xdr:colOff>
      <xdr:row>742</xdr:row>
      <xdr:rowOff>59530</xdr:rowOff>
    </xdr:to>
    <xdr:graphicFrame macro="">
      <xdr:nvGraphicFramePr>
        <xdr:cNvPr id="48" name="Gráfico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4</xdr:col>
      <xdr:colOff>392906</xdr:colOff>
      <xdr:row>725</xdr:row>
      <xdr:rowOff>166687</xdr:rowOff>
    </xdr:from>
    <xdr:to>
      <xdr:col>9</xdr:col>
      <xdr:colOff>722311</xdr:colOff>
      <xdr:row>742</xdr:row>
      <xdr:rowOff>59530</xdr:rowOff>
    </xdr:to>
    <xdr:graphicFrame macro="">
      <xdr:nvGraphicFramePr>
        <xdr:cNvPr id="50" name="Gráfico 4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1</xdr:col>
      <xdr:colOff>345280</xdr:colOff>
      <xdr:row>743</xdr:row>
      <xdr:rowOff>107156</xdr:rowOff>
    </xdr:from>
    <xdr:to>
      <xdr:col>4</xdr:col>
      <xdr:colOff>309561</xdr:colOff>
      <xdr:row>760</xdr:row>
      <xdr:rowOff>9524</xdr:rowOff>
    </xdr:to>
    <xdr:graphicFrame macro="">
      <xdr:nvGraphicFramePr>
        <xdr:cNvPr id="52" name="Gráfico 5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4</xdr:col>
      <xdr:colOff>392906</xdr:colOff>
      <xdr:row>743</xdr:row>
      <xdr:rowOff>107155</xdr:rowOff>
    </xdr:from>
    <xdr:to>
      <xdr:col>9</xdr:col>
      <xdr:colOff>726281</xdr:colOff>
      <xdr:row>760</xdr:row>
      <xdr:rowOff>2379</xdr:rowOff>
    </xdr:to>
    <xdr:graphicFrame macro="">
      <xdr:nvGraphicFramePr>
        <xdr:cNvPr id="54" name="Gráfico 5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xdr:col>
      <xdr:colOff>380999</xdr:colOff>
      <xdr:row>761</xdr:row>
      <xdr:rowOff>42333</xdr:rowOff>
    </xdr:from>
    <xdr:to>
      <xdr:col>4</xdr:col>
      <xdr:colOff>285749</xdr:colOff>
      <xdr:row>777</xdr:row>
      <xdr:rowOff>126999</xdr:rowOff>
    </xdr:to>
    <xdr:graphicFrame macro="">
      <xdr:nvGraphicFramePr>
        <xdr:cNvPr id="51" name="Gráfico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20</xdr:row>
      <xdr:rowOff>100012</xdr:rowOff>
    </xdr:from>
    <xdr:to>
      <xdr:col>2</xdr:col>
      <xdr:colOff>33338</xdr:colOff>
      <xdr:row>31</xdr:row>
      <xdr:rowOff>161925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32</xdr:row>
      <xdr:rowOff>61912</xdr:rowOff>
    </xdr:from>
    <xdr:to>
      <xdr:col>2</xdr:col>
      <xdr:colOff>19050</xdr:colOff>
      <xdr:row>44</xdr:row>
      <xdr:rowOff>24324</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142875</xdr:colOff>
      <xdr:row>20</xdr:row>
      <xdr:rowOff>90487</xdr:rowOff>
    </xdr:from>
    <xdr:to>
      <xdr:col>5</xdr:col>
      <xdr:colOff>827088</xdr:colOff>
      <xdr:row>31</xdr:row>
      <xdr:rowOff>171450</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142875</xdr:colOff>
      <xdr:row>32</xdr:row>
      <xdr:rowOff>71437</xdr:rowOff>
    </xdr:from>
    <xdr:to>
      <xdr:col>5</xdr:col>
      <xdr:colOff>847725</xdr:colOff>
      <xdr:row>44</xdr:row>
      <xdr:rowOff>42862</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os\Fernando%20Rincon%202018\Objetivo%201\ESTADOS%20FINANCIEROS%20LABS%202014%20-%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F CONSOLI 17-16"/>
      <sheetName val="ESF CONSOLI 16-15"/>
      <sheetName val="ESF CONSOLI 15-14"/>
      <sheetName val="ER 2017"/>
      <sheetName val="ESF 2017"/>
      <sheetName val="EFE"/>
      <sheetName val=" ER 2016"/>
      <sheetName val="ESF 2016"/>
      <sheetName val="ER 2015"/>
      <sheetName val="ESF 2015"/>
      <sheetName val="ER 2014"/>
      <sheetName val="BALANCE 2014"/>
    </sheetNames>
    <sheetDataSet>
      <sheetData sheetId="0"/>
      <sheetData sheetId="1"/>
      <sheetData sheetId="2"/>
      <sheetData sheetId="3">
        <row r="76">
          <cell r="B76">
            <v>9709000</v>
          </cell>
        </row>
      </sheetData>
      <sheetData sheetId="4"/>
      <sheetData sheetId="5"/>
      <sheetData sheetId="6">
        <row r="63">
          <cell r="C63">
            <v>2394000</v>
          </cell>
        </row>
      </sheetData>
      <sheetData sheetId="7"/>
      <sheetData sheetId="8"/>
      <sheetData sheetId="9"/>
      <sheetData sheetId="10"/>
      <sheetData sheetId="11">
        <row r="41">
          <cell r="C41">
            <v>2780000</v>
          </cell>
        </row>
        <row r="43">
          <cell r="C43">
            <v>32509000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725"/>
  <sheetViews>
    <sheetView showGridLines="0" zoomScale="90" zoomScaleNormal="90" zoomScaleSheetLayoutView="100" workbookViewId="0"/>
  </sheetViews>
  <sheetFormatPr baseColWidth="10" defaultColWidth="11.42578125" defaultRowHeight="15.75"/>
  <cols>
    <col min="1" max="1" width="7" style="19" customWidth="1"/>
    <col min="2" max="2" width="52.28515625" style="19" customWidth="1"/>
    <col min="3" max="3" width="17.140625" style="19" bestFit="1" customWidth="1"/>
    <col min="4" max="4" width="14.5703125" style="19" customWidth="1"/>
    <col min="5" max="5" width="16.85546875" style="19" customWidth="1"/>
    <col min="6" max="6" width="14.140625" style="19" bestFit="1" customWidth="1"/>
    <col min="7" max="7" width="15" style="19" customWidth="1"/>
    <col min="8" max="8" width="17.85546875" style="19" customWidth="1"/>
    <col min="9" max="9" width="14.7109375" style="20" customWidth="1"/>
    <col min="10" max="10" width="13.7109375" style="19" customWidth="1"/>
    <col min="11" max="11" width="16.85546875" style="392" customWidth="1"/>
    <col min="12" max="12" width="13" style="392" bestFit="1" customWidth="1"/>
    <col min="13" max="15" width="11.42578125" style="392"/>
    <col min="16" max="16384" width="11.42578125" style="19"/>
  </cols>
  <sheetData>
    <row r="2" spans="2:11">
      <c r="B2" s="408" t="s">
        <v>85</v>
      </c>
      <c r="C2" s="408"/>
      <c r="D2" s="408"/>
      <c r="E2" s="408"/>
      <c r="F2" s="408"/>
      <c r="G2" s="408"/>
    </row>
    <row r="3" spans="2:11">
      <c r="B3" s="408" t="s">
        <v>86</v>
      </c>
      <c r="C3" s="408"/>
      <c r="D3" s="408"/>
      <c r="E3" s="408"/>
      <c r="F3" s="408"/>
      <c r="G3" s="408"/>
    </row>
    <row r="5" spans="2:11">
      <c r="B5" s="408" t="s">
        <v>278</v>
      </c>
      <c r="C5" s="409"/>
      <c r="D5" s="409"/>
      <c r="E5" s="409"/>
      <c r="F5" s="409"/>
      <c r="G5" s="409"/>
    </row>
    <row r="7" spans="2:11" ht="31.5">
      <c r="B7" s="368" t="s">
        <v>0</v>
      </c>
      <c r="C7" s="368">
        <v>2017</v>
      </c>
      <c r="D7" s="368" t="s">
        <v>1</v>
      </c>
      <c r="E7" s="368" t="s">
        <v>2</v>
      </c>
      <c r="F7" s="368">
        <v>2016</v>
      </c>
      <c r="G7" s="368" t="s">
        <v>1</v>
      </c>
      <c r="H7" s="21"/>
      <c r="I7" s="363"/>
      <c r="J7" s="363"/>
      <c r="K7" s="393"/>
    </row>
    <row r="8" spans="2:11">
      <c r="B8" s="23" t="s">
        <v>3</v>
      </c>
      <c r="C8" s="87">
        <f>'ER 2017'!C10</f>
        <v>1148878000</v>
      </c>
      <c r="D8" s="24">
        <f>(C8/$C$8)*100%</f>
        <v>1</v>
      </c>
      <c r="E8" s="24">
        <f>((C8/F8)-1)*100%</f>
        <v>0.73262291769091803</v>
      </c>
      <c r="F8" s="25">
        <f>' ER 2016'!C10</f>
        <v>663086000</v>
      </c>
      <c r="G8" s="24">
        <f>(F8/$F$8)/100%</f>
        <v>1</v>
      </c>
      <c r="H8" s="26"/>
      <c r="I8" s="364"/>
      <c r="J8" s="363"/>
      <c r="K8" s="394"/>
    </row>
    <row r="9" spans="2:11">
      <c r="B9" s="28" t="s">
        <v>4</v>
      </c>
      <c r="C9" s="88">
        <f>'ER 2017'!C33</f>
        <v>1010660000</v>
      </c>
      <c r="D9" s="29">
        <f t="shared" ref="D9:D19" si="0">(C9/$C$8)*100%</f>
        <v>0.87969305705218481</v>
      </c>
      <c r="E9" s="29">
        <f t="shared" ref="E9:E19" si="1">((C9/F9)-1)*100%</f>
        <v>0.77447305352424256</v>
      </c>
      <c r="F9" s="30">
        <f>' ER 2016'!C31</f>
        <v>569555000</v>
      </c>
      <c r="G9" s="29">
        <f t="shared" ref="G9:G19" si="2">(F9/$F$8)/100%</f>
        <v>0.85894589842041602</v>
      </c>
      <c r="I9" s="82"/>
      <c r="J9" s="363"/>
      <c r="K9" s="394"/>
    </row>
    <row r="10" spans="2:11">
      <c r="B10" s="23" t="s">
        <v>5</v>
      </c>
      <c r="C10" s="87">
        <f>'ER 2017'!C35</f>
        <v>138218000</v>
      </c>
      <c r="D10" s="24">
        <f t="shared" si="0"/>
        <v>0.12030694294781517</v>
      </c>
      <c r="E10" s="24">
        <f t="shared" si="1"/>
        <v>0.4777774213896997</v>
      </c>
      <c r="F10" s="25">
        <f>' ER 2016'!C33</f>
        <v>93531000</v>
      </c>
      <c r="G10" s="24">
        <f t="shared" si="2"/>
        <v>0.14105410157958395</v>
      </c>
      <c r="I10" s="82"/>
      <c r="J10" s="363"/>
      <c r="K10" s="394"/>
    </row>
    <row r="11" spans="2:11">
      <c r="B11" s="28" t="s">
        <v>43</v>
      </c>
      <c r="C11" s="88">
        <f>'ER 2017'!C50</f>
        <v>76822000</v>
      </c>
      <c r="D11" s="29">
        <f>(C11/$C$8)*100%</f>
        <v>6.6866978042925365E-2</v>
      </c>
      <c r="E11" s="29">
        <f t="shared" si="1"/>
        <v>0.40025153564332983</v>
      </c>
      <c r="F11" s="30">
        <f>' ER 2016'!C44</f>
        <v>54863000</v>
      </c>
      <c r="G11" s="29">
        <f t="shared" si="2"/>
        <v>8.273889058131223E-2</v>
      </c>
      <c r="I11" s="82"/>
      <c r="J11" s="363"/>
      <c r="K11" s="394"/>
    </row>
    <row r="12" spans="2:11">
      <c r="B12" s="23" t="s">
        <v>6</v>
      </c>
      <c r="C12" s="87">
        <f>'ER 2017'!C56</f>
        <v>1225000</v>
      </c>
      <c r="D12" s="24">
        <f t="shared" si="0"/>
        <v>1.0662576879355336E-3</v>
      </c>
      <c r="E12" s="24">
        <f t="shared" si="1"/>
        <v>3.2982456140350873</v>
      </c>
      <c r="F12" s="25">
        <f>' ER 2016'!C48</f>
        <v>285000</v>
      </c>
      <c r="G12" s="24">
        <f t="shared" si="2"/>
        <v>4.298085014613489E-4</v>
      </c>
      <c r="I12" s="82"/>
      <c r="J12" s="363"/>
      <c r="K12" s="394"/>
    </row>
    <row r="13" spans="2:11">
      <c r="B13" s="28" t="s">
        <v>7</v>
      </c>
      <c r="C13" s="88">
        <f>'ER 2017'!C60</f>
        <v>60171000</v>
      </c>
      <c r="D13" s="29">
        <f t="shared" si="0"/>
        <v>5.2373707216954279E-2</v>
      </c>
      <c r="E13" s="29">
        <f t="shared" si="1"/>
        <v>0.56764713545059009</v>
      </c>
      <c r="F13" s="30">
        <f>' ER 2016'!C52</f>
        <v>38383000</v>
      </c>
      <c r="G13" s="29">
        <f t="shared" si="2"/>
        <v>5.7885402496810366E-2</v>
      </c>
      <c r="I13" s="82"/>
      <c r="J13" s="363"/>
      <c r="K13" s="394"/>
    </row>
    <row r="14" spans="2:11">
      <c r="B14" s="23" t="s">
        <v>8</v>
      </c>
      <c r="C14" s="87">
        <f>'ER 2017'!C73</f>
        <v>756000</v>
      </c>
      <c r="D14" s="24">
        <f t="shared" si="0"/>
        <v>6.5803331598307221E-4</v>
      </c>
      <c r="E14" s="24">
        <v>0</v>
      </c>
      <c r="F14" s="25"/>
      <c r="G14" s="24">
        <f t="shared" si="2"/>
        <v>0</v>
      </c>
      <c r="I14" s="82"/>
      <c r="J14" s="363"/>
      <c r="K14" s="394"/>
    </row>
    <row r="15" spans="2:11">
      <c r="B15" s="28" t="s">
        <v>9</v>
      </c>
      <c r="C15" s="88">
        <f>'ER 2017'!C78</f>
        <v>13083000</v>
      </c>
      <c r="D15" s="29">
        <f t="shared" si="0"/>
        <v>1.1387632107151499E-2</v>
      </c>
      <c r="E15" s="29">
        <f t="shared" si="1"/>
        <v>4.4649122807017543</v>
      </c>
      <c r="F15" s="30">
        <f>' ER 2016'!C63</f>
        <v>2394000</v>
      </c>
      <c r="G15" s="29">
        <f t="shared" si="2"/>
        <v>3.6103914122753307E-3</v>
      </c>
      <c r="I15" s="82"/>
      <c r="J15" s="363"/>
      <c r="K15" s="394"/>
    </row>
    <row r="16" spans="2:11">
      <c r="B16" s="23" t="s">
        <v>10</v>
      </c>
      <c r="C16" s="87">
        <f>'ER 2017'!C80</f>
        <v>47844000</v>
      </c>
      <c r="D16" s="24">
        <f t="shared" si="0"/>
        <v>4.1644108425785857E-2</v>
      </c>
      <c r="E16" s="24">
        <f t="shared" si="1"/>
        <v>0.329406207452277</v>
      </c>
      <c r="F16" s="25">
        <f>' ER 2016'!C65</f>
        <v>35989000</v>
      </c>
      <c r="G16" s="24">
        <f t="shared" si="2"/>
        <v>5.4275011084535037E-2</v>
      </c>
      <c r="I16" s="82"/>
      <c r="J16" s="363"/>
      <c r="K16" s="394"/>
    </row>
    <row r="17" spans="2:11">
      <c r="B17" s="31" t="s">
        <v>12</v>
      </c>
      <c r="C17" s="89"/>
      <c r="D17" s="32">
        <f t="shared" si="0"/>
        <v>0</v>
      </c>
      <c r="E17" s="32">
        <f t="shared" si="1"/>
        <v>-1</v>
      </c>
      <c r="F17" s="33">
        <f>' ER 2016'!B69</f>
        <v>3239000</v>
      </c>
      <c r="G17" s="32">
        <f t="shared" si="2"/>
        <v>4.8847359166081022E-3</v>
      </c>
      <c r="I17" s="27"/>
      <c r="J17" s="22"/>
      <c r="K17" s="394"/>
    </row>
    <row r="18" spans="2:11">
      <c r="B18" s="34" t="s">
        <v>13</v>
      </c>
      <c r="C18" s="90">
        <f>'ER 2017'!B83</f>
        <v>16267000.000000002</v>
      </c>
      <c r="D18" s="35">
        <f t="shared" si="0"/>
        <v>1.4159031681344757E-2</v>
      </c>
      <c r="E18" s="35">
        <f t="shared" si="1"/>
        <v>0.80804712682005131</v>
      </c>
      <c r="F18" s="36">
        <f>' ER 2016'!B68</f>
        <v>8997000</v>
      </c>
      <c r="G18" s="35">
        <f t="shared" si="2"/>
        <v>1.3568375746132478E-2</v>
      </c>
      <c r="I18" s="27"/>
      <c r="J18" s="22"/>
      <c r="K18" s="394"/>
    </row>
    <row r="19" spans="2:11">
      <c r="B19" s="31" t="s">
        <v>14</v>
      </c>
      <c r="C19" s="89">
        <f>'ER 2017'!C86</f>
        <v>31577000</v>
      </c>
      <c r="D19" s="32">
        <f t="shared" si="0"/>
        <v>2.74850767444411E-2</v>
      </c>
      <c r="E19" s="32">
        <f t="shared" si="1"/>
        <v>0.32938997179303664</v>
      </c>
      <c r="F19" s="33">
        <f>' ER 2016'!C72</f>
        <v>23753000</v>
      </c>
      <c r="G19" s="32">
        <f t="shared" si="2"/>
        <v>3.5821899421794458E-2</v>
      </c>
      <c r="I19" s="27"/>
      <c r="J19" s="22"/>
      <c r="K19" s="394"/>
    </row>
    <row r="21" spans="2:11">
      <c r="B21" s="408" t="s">
        <v>279</v>
      </c>
      <c r="C21" s="409"/>
      <c r="D21" s="409"/>
      <c r="E21" s="409"/>
      <c r="F21" s="409"/>
      <c r="G21" s="409"/>
    </row>
    <row r="23" spans="2:11" ht="31.5">
      <c r="B23" s="368" t="s">
        <v>0</v>
      </c>
      <c r="C23" s="368">
        <v>2016</v>
      </c>
      <c r="D23" s="368" t="s">
        <v>1</v>
      </c>
      <c r="E23" s="368" t="s">
        <v>2</v>
      </c>
      <c r="F23" s="368">
        <v>2015</v>
      </c>
      <c r="G23" s="368" t="s">
        <v>1</v>
      </c>
      <c r="H23" s="21"/>
      <c r="I23" s="365"/>
      <c r="J23" s="366"/>
    </row>
    <row r="24" spans="2:11">
      <c r="B24" s="23" t="s">
        <v>3</v>
      </c>
      <c r="C24" s="37">
        <f t="shared" ref="C24:C29" si="3">F8</f>
        <v>663086000</v>
      </c>
      <c r="D24" s="24">
        <f>(C24/$C$24)*100%</f>
        <v>1</v>
      </c>
      <c r="E24" s="24">
        <f>((C24/F24)-1)*100%</f>
        <v>0.92678022444223607</v>
      </c>
      <c r="F24" s="25">
        <f>'ER 2015'!C11</f>
        <v>344142000</v>
      </c>
      <c r="G24" s="24">
        <f>(F24/$F$24)*100%</f>
        <v>1</v>
      </c>
      <c r="H24" s="38"/>
      <c r="I24" s="82"/>
      <c r="J24" s="366"/>
    </row>
    <row r="25" spans="2:11">
      <c r="B25" s="28" t="s">
        <v>4</v>
      </c>
      <c r="C25" s="39">
        <f t="shared" si="3"/>
        <v>569555000</v>
      </c>
      <c r="D25" s="29">
        <f t="shared" ref="D25:D35" si="4">(C25/$C$24)*100%</f>
        <v>0.85894589842041602</v>
      </c>
      <c r="E25" s="29">
        <f t="shared" ref="E25:E35" si="5">((C25/F25)-1)*100%</f>
        <v>1.3401208774503157</v>
      </c>
      <c r="F25" s="30">
        <f>'ER 2015'!C22</f>
        <v>243387000</v>
      </c>
      <c r="G25" s="29">
        <f t="shared" ref="G25:G35" si="6">(F25/$F$24)*100%</f>
        <v>0.70722841152779958</v>
      </c>
      <c r="H25" s="38"/>
      <c r="I25" s="384"/>
      <c r="J25" s="366"/>
    </row>
    <row r="26" spans="2:11">
      <c r="B26" s="23" t="s">
        <v>5</v>
      </c>
      <c r="C26" s="40">
        <f t="shared" si="3"/>
        <v>93531000</v>
      </c>
      <c r="D26" s="24">
        <f t="shared" si="4"/>
        <v>0.14105410157958395</v>
      </c>
      <c r="E26" s="24">
        <f t="shared" si="5"/>
        <v>-7.1698675003721846E-2</v>
      </c>
      <c r="F26" s="25">
        <f>'ER 2015'!C24</f>
        <v>100755000</v>
      </c>
      <c r="G26" s="24">
        <f t="shared" si="6"/>
        <v>0.29277158847220042</v>
      </c>
      <c r="H26" s="38"/>
      <c r="I26" s="384"/>
      <c r="J26" s="366"/>
    </row>
    <row r="27" spans="2:11">
      <c r="B27" s="28" t="s">
        <v>11</v>
      </c>
      <c r="C27" s="39">
        <f t="shared" si="3"/>
        <v>54863000</v>
      </c>
      <c r="D27" s="29">
        <f t="shared" si="4"/>
        <v>8.273889058131223E-2</v>
      </c>
      <c r="E27" s="29">
        <f t="shared" si="5"/>
        <v>0.92211750691938477</v>
      </c>
      <c r="F27" s="30">
        <f>'ER 2015'!C32</f>
        <v>28543000</v>
      </c>
      <c r="G27" s="29">
        <f t="shared" si="6"/>
        <v>8.2939600513741427E-2</v>
      </c>
      <c r="H27" s="38"/>
      <c r="I27" s="384"/>
      <c r="J27" s="366"/>
    </row>
    <row r="28" spans="2:11">
      <c r="B28" s="23" t="s">
        <v>6</v>
      </c>
      <c r="C28" s="40">
        <f t="shared" si="3"/>
        <v>285000</v>
      </c>
      <c r="D28" s="24">
        <f t="shared" si="4"/>
        <v>4.298085014613489E-4</v>
      </c>
      <c r="E28" s="24">
        <v>0</v>
      </c>
      <c r="F28" s="25"/>
      <c r="G28" s="24">
        <f t="shared" si="6"/>
        <v>0</v>
      </c>
      <c r="H28" s="38"/>
      <c r="I28" s="82"/>
      <c r="J28" s="366"/>
    </row>
    <row r="29" spans="2:11">
      <c r="B29" s="28" t="s">
        <v>7</v>
      </c>
      <c r="C29" s="39">
        <f t="shared" si="3"/>
        <v>38383000</v>
      </c>
      <c r="D29" s="29">
        <f t="shared" si="4"/>
        <v>5.7885402496810366E-2</v>
      </c>
      <c r="E29" s="29">
        <f t="shared" si="5"/>
        <v>-0.4684678446795546</v>
      </c>
      <c r="F29" s="30">
        <f>'ER 2015'!C36</f>
        <v>72212000</v>
      </c>
      <c r="G29" s="29">
        <f t="shared" si="6"/>
        <v>0.209831987958459</v>
      </c>
      <c r="H29" s="38"/>
      <c r="I29" s="27"/>
    </row>
    <row r="30" spans="2:11">
      <c r="B30" s="23" t="s">
        <v>8</v>
      </c>
      <c r="C30" s="40"/>
      <c r="D30" s="24">
        <f t="shared" si="4"/>
        <v>0</v>
      </c>
      <c r="E30" s="24">
        <f t="shared" si="5"/>
        <v>-1</v>
      </c>
      <c r="F30" s="25">
        <f>'ER 2015'!B39</f>
        <v>25000</v>
      </c>
      <c r="G30" s="24">
        <f t="shared" si="6"/>
        <v>7.2644431659024474E-5</v>
      </c>
      <c r="H30" s="38"/>
      <c r="I30" s="27"/>
    </row>
    <row r="31" spans="2:11">
      <c r="B31" s="28" t="s">
        <v>9</v>
      </c>
      <c r="C31" s="39">
        <f>F15</f>
        <v>2394000</v>
      </c>
      <c r="D31" s="29">
        <f t="shared" si="4"/>
        <v>3.6103914122753307E-3</v>
      </c>
      <c r="E31" s="29">
        <f t="shared" si="5"/>
        <v>-0.30729166666666663</v>
      </c>
      <c r="F31" s="30">
        <f>'ER 2015'!C44</f>
        <v>3456000</v>
      </c>
      <c r="G31" s="29">
        <f t="shared" si="6"/>
        <v>1.0042366232543544E-2</v>
      </c>
      <c r="H31" s="38"/>
      <c r="I31" s="27"/>
    </row>
    <row r="32" spans="2:11">
      <c r="B32" s="23" t="s">
        <v>10</v>
      </c>
      <c r="C32" s="40">
        <f>F16</f>
        <v>35989000</v>
      </c>
      <c r="D32" s="24">
        <f t="shared" si="4"/>
        <v>5.4275011084535037E-2</v>
      </c>
      <c r="E32" s="24">
        <f t="shared" si="5"/>
        <v>-0.47675957023015081</v>
      </c>
      <c r="F32" s="25">
        <f>'ER 2015'!C46</f>
        <v>68781000</v>
      </c>
      <c r="G32" s="24">
        <f t="shared" si="6"/>
        <v>0.19986226615757449</v>
      </c>
      <c r="H32" s="38"/>
      <c r="I32" s="27"/>
    </row>
    <row r="33" spans="2:9">
      <c r="B33" s="31" t="s">
        <v>12</v>
      </c>
      <c r="C33" s="39">
        <f>F17</f>
        <v>3239000</v>
      </c>
      <c r="D33" s="32">
        <f t="shared" si="4"/>
        <v>4.8847359166081022E-3</v>
      </c>
      <c r="E33" s="32">
        <f t="shared" si="5"/>
        <v>-0.14039278131634825</v>
      </c>
      <c r="F33" s="33">
        <f>'ER 2015'!B50</f>
        <v>3768000</v>
      </c>
      <c r="G33" s="32">
        <f t="shared" si="6"/>
        <v>1.0948968739648169E-2</v>
      </c>
      <c r="H33" s="38"/>
      <c r="I33" s="27"/>
    </row>
    <row r="34" spans="2:9">
      <c r="B34" s="34" t="s">
        <v>13</v>
      </c>
      <c r="C34" s="41">
        <f>F18</f>
        <v>8997000</v>
      </c>
      <c r="D34" s="35">
        <f t="shared" si="4"/>
        <v>1.3568375746132478E-2</v>
      </c>
      <c r="E34" s="35">
        <f t="shared" si="5"/>
        <v>-0.47676650189008429</v>
      </c>
      <c r="F34" s="36">
        <f>'ER 2015'!B49</f>
        <v>17195000</v>
      </c>
      <c r="G34" s="35">
        <f t="shared" si="6"/>
        <v>4.9964840095077033E-2</v>
      </c>
      <c r="H34" s="38"/>
      <c r="I34" s="27"/>
    </row>
    <row r="35" spans="2:9">
      <c r="B35" s="31" t="s">
        <v>14</v>
      </c>
      <c r="C35" s="42">
        <f>F19</f>
        <v>23753000</v>
      </c>
      <c r="D35" s="32">
        <f t="shared" si="4"/>
        <v>3.5821899421794458E-2</v>
      </c>
      <c r="E35" s="32">
        <f t="shared" si="5"/>
        <v>-0.50326236981889672</v>
      </c>
      <c r="F35" s="33">
        <f>'ER 2015'!C53</f>
        <v>47818000</v>
      </c>
      <c r="G35" s="32">
        <f t="shared" si="6"/>
        <v>0.1389484573228493</v>
      </c>
      <c r="H35" s="38"/>
      <c r="I35" s="27"/>
    </row>
    <row r="36" spans="2:9">
      <c r="C36" s="38"/>
    </row>
    <row r="37" spans="2:9">
      <c r="B37" s="410" t="s">
        <v>15</v>
      </c>
      <c r="C37" s="411"/>
      <c r="D37" s="411"/>
      <c r="E37" s="411"/>
      <c r="F37" s="411"/>
      <c r="G37" s="412"/>
    </row>
    <row r="38" spans="2:9">
      <c r="B38" s="43"/>
      <c r="C38" s="44"/>
      <c r="D38" s="20"/>
      <c r="E38" s="20"/>
      <c r="F38" s="20"/>
      <c r="G38" s="45"/>
    </row>
    <row r="39" spans="2:9" ht="31.5">
      <c r="B39" s="368" t="s">
        <v>0</v>
      </c>
      <c r="C39" s="368">
        <v>2015</v>
      </c>
      <c r="D39" s="368" t="s">
        <v>1</v>
      </c>
      <c r="E39" s="368" t="s">
        <v>2</v>
      </c>
      <c r="F39" s="368">
        <v>2014</v>
      </c>
      <c r="G39" s="368" t="s">
        <v>1</v>
      </c>
      <c r="H39" s="21"/>
    </row>
    <row r="40" spans="2:9">
      <c r="B40" s="23" t="s">
        <v>3</v>
      </c>
      <c r="C40" s="25">
        <f>F24</f>
        <v>344142000</v>
      </c>
      <c r="D40" s="24">
        <f>(C40/$C$40)*100%</f>
        <v>1</v>
      </c>
      <c r="E40" s="24">
        <f>((C40/F40)-1)*100%</f>
        <v>4.5524685382381413</v>
      </c>
      <c r="F40" s="46">
        <f>'ER 2014'!C9</f>
        <v>61980000</v>
      </c>
      <c r="G40" s="24">
        <f>(F40/$F$40)*100%</f>
        <v>1</v>
      </c>
      <c r="H40" s="47"/>
    </row>
    <row r="41" spans="2:9">
      <c r="B41" s="28" t="s">
        <v>4</v>
      </c>
      <c r="C41" s="30">
        <f>F25</f>
        <v>243387000</v>
      </c>
      <c r="D41" s="29">
        <f t="shared" ref="D41:D50" si="7">(C41/$C$40)*100%</f>
        <v>0.70722841152779958</v>
      </c>
      <c r="E41" s="29">
        <f t="shared" ref="E41:E50" si="8">((C41/F41)-1)*100%</f>
        <v>3.6922498554077503</v>
      </c>
      <c r="F41" s="48">
        <f>'ER 2014'!C22</f>
        <v>51870000</v>
      </c>
      <c r="G41" s="29">
        <f t="shared" ref="G41:G50" si="9">(F41/$F$40)*100%</f>
        <v>0.83688286544046464</v>
      </c>
    </row>
    <row r="42" spans="2:9">
      <c r="B42" s="23" t="s">
        <v>5</v>
      </c>
      <c r="C42" s="25">
        <f>F26</f>
        <v>100755000</v>
      </c>
      <c r="D42" s="24">
        <f t="shared" si="7"/>
        <v>0.29277158847220042</v>
      </c>
      <c r="E42" s="24">
        <f t="shared" si="8"/>
        <v>8.965875370919882</v>
      </c>
      <c r="F42" s="46">
        <f>'ER 2014'!C24</f>
        <v>10110000</v>
      </c>
      <c r="G42" s="24">
        <f t="shared" si="9"/>
        <v>0.16311713455953533</v>
      </c>
    </row>
    <row r="43" spans="2:9">
      <c r="B43" s="28" t="s">
        <v>11</v>
      </c>
      <c r="C43" s="30">
        <f>F27</f>
        <v>28543000</v>
      </c>
      <c r="D43" s="29">
        <f t="shared" si="7"/>
        <v>8.2939600513741427E-2</v>
      </c>
      <c r="E43" s="29">
        <f t="shared" si="8"/>
        <v>13.743285123966942</v>
      </c>
      <c r="F43" s="48">
        <f>'ER 2014'!C32</f>
        <v>1936000</v>
      </c>
      <c r="G43" s="29">
        <f t="shared" si="9"/>
        <v>3.1235882542755729E-2</v>
      </c>
    </row>
    <row r="44" spans="2:9">
      <c r="B44" s="34" t="s">
        <v>7</v>
      </c>
      <c r="C44" s="36">
        <f t="shared" ref="C44:C50" si="10">F29</f>
        <v>72212000</v>
      </c>
      <c r="D44" s="35">
        <f t="shared" si="7"/>
        <v>0.209831987958459</v>
      </c>
      <c r="E44" s="35">
        <f t="shared" si="8"/>
        <v>7.8343528260337649</v>
      </c>
      <c r="F44" s="49">
        <f>'ER 2014'!C36</f>
        <v>8174000</v>
      </c>
      <c r="G44" s="35">
        <f t="shared" si="9"/>
        <v>0.13188125201677961</v>
      </c>
    </row>
    <row r="45" spans="2:9">
      <c r="B45" s="28" t="s">
        <v>8</v>
      </c>
      <c r="C45" s="30">
        <f t="shared" si="10"/>
        <v>25000</v>
      </c>
      <c r="D45" s="29">
        <f t="shared" si="7"/>
        <v>7.2644431659024474E-5</v>
      </c>
      <c r="E45" s="29">
        <v>0</v>
      </c>
      <c r="F45" s="48"/>
      <c r="G45" s="29">
        <f t="shared" si="9"/>
        <v>0</v>
      </c>
    </row>
    <row r="46" spans="2:9">
      <c r="B46" s="34" t="s">
        <v>9</v>
      </c>
      <c r="C46" s="36">
        <f t="shared" si="10"/>
        <v>3456000</v>
      </c>
      <c r="D46" s="35">
        <f t="shared" si="7"/>
        <v>1.0042366232543544E-2</v>
      </c>
      <c r="E46" s="35">
        <v>0</v>
      </c>
      <c r="F46" s="49"/>
      <c r="G46" s="35">
        <f t="shared" si="9"/>
        <v>0</v>
      </c>
    </row>
    <row r="47" spans="2:9">
      <c r="B47" s="28" t="s">
        <v>10</v>
      </c>
      <c r="C47" s="30">
        <f t="shared" si="10"/>
        <v>68781000</v>
      </c>
      <c r="D47" s="29">
        <f t="shared" si="7"/>
        <v>0.19986226615757449</v>
      </c>
      <c r="E47" s="29">
        <f t="shared" si="8"/>
        <v>7.4146072914117926</v>
      </c>
      <c r="F47" s="48">
        <f>F44</f>
        <v>8174000</v>
      </c>
      <c r="G47" s="29">
        <f t="shared" si="9"/>
        <v>0.13188125201677961</v>
      </c>
    </row>
    <row r="48" spans="2:9">
      <c r="B48" s="23" t="s">
        <v>12</v>
      </c>
      <c r="C48" s="25">
        <f t="shared" si="10"/>
        <v>3768000</v>
      </c>
      <c r="D48" s="24">
        <f t="shared" si="7"/>
        <v>1.0948968739648169E-2</v>
      </c>
      <c r="E48" s="24">
        <v>0</v>
      </c>
      <c r="F48" s="46">
        <v>0</v>
      </c>
      <c r="G48" s="24">
        <f t="shared" si="9"/>
        <v>0</v>
      </c>
    </row>
    <row r="49" spans="2:8">
      <c r="B49" s="28" t="s">
        <v>13</v>
      </c>
      <c r="C49" s="30">
        <f t="shared" si="10"/>
        <v>17195000</v>
      </c>
      <c r="D49" s="29">
        <f t="shared" si="7"/>
        <v>4.9964840095077033E-2</v>
      </c>
      <c r="E49" s="29">
        <v>0</v>
      </c>
      <c r="F49" s="48">
        <v>0</v>
      </c>
      <c r="G49" s="29">
        <f t="shared" si="9"/>
        <v>0</v>
      </c>
    </row>
    <row r="50" spans="2:8">
      <c r="B50" s="23" t="s">
        <v>14</v>
      </c>
      <c r="C50" s="25">
        <f t="shared" si="10"/>
        <v>47818000</v>
      </c>
      <c r="D50" s="24">
        <f t="shared" si="7"/>
        <v>0.1389484573228493</v>
      </c>
      <c r="E50" s="24">
        <f t="shared" si="8"/>
        <v>4.8500122339124054</v>
      </c>
      <c r="F50" s="46">
        <f>'ER 2014'!C36</f>
        <v>8174000</v>
      </c>
      <c r="G50" s="24">
        <f t="shared" si="9"/>
        <v>0.13188125201677961</v>
      </c>
    </row>
    <row r="51" spans="2:8">
      <c r="B51" s="50"/>
      <c r="C51" s="51">
        <v>0</v>
      </c>
      <c r="D51" s="52"/>
      <c r="E51" s="52"/>
      <c r="F51" s="52"/>
      <c r="G51" s="53"/>
    </row>
    <row r="52" spans="2:8">
      <c r="B52" s="408" t="s">
        <v>273</v>
      </c>
      <c r="C52" s="408"/>
      <c r="D52" s="408"/>
      <c r="E52" s="408"/>
      <c r="F52" s="408"/>
      <c r="G52" s="408"/>
    </row>
    <row r="53" spans="2:8" ht="15" customHeight="1">
      <c r="B53" s="54"/>
      <c r="C53" s="54"/>
      <c r="D53" s="54"/>
      <c r="E53" s="54"/>
      <c r="F53" s="54"/>
      <c r="G53" s="54"/>
    </row>
    <row r="54" spans="2:8" ht="33.75" customHeight="1">
      <c r="B54" s="368" t="s">
        <v>0</v>
      </c>
      <c r="C54" s="368">
        <v>2017</v>
      </c>
      <c r="D54" s="368" t="s">
        <v>1</v>
      </c>
      <c r="E54" s="368" t="s">
        <v>2</v>
      </c>
      <c r="F54" s="368">
        <v>2016</v>
      </c>
      <c r="G54" s="368" t="s">
        <v>1</v>
      </c>
    </row>
    <row r="55" spans="2:8" ht="15" customHeight="1">
      <c r="B55" s="23" t="s">
        <v>16</v>
      </c>
      <c r="C55" s="55">
        <f>'ESF 2017'!C12</f>
        <v>13274000</v>
      </c>
      <c r="D55" s="24">
        <f>(C55/$C$62)*100%</f>
        <v>1.3138281551572258E-2</v>
      </c>
      <c r="E55" s="24">
        <f>((C55/F55)-1)*100%</f>
        <v>2.633725704900082</v>
      </c>
      <c r="F55" s="25">
        <f t="shared" ref="F55:F62" si="11">C86</f>
        <v>3653000</v>
      </c>
      <c r="G55" s="24">
        <f>(F55/$F$62)*100%</f>
        <v>4.2523965566413869E-3</v>
      </c>
    </row>
    <row r="56" spans="2:8" ht="15" customHeight="1">
      <c r="B56" s="28" t="s">
        <v>17</v>
      </c>
      <c r="C56" s="56">
        <f>'ESF 2017'!C19</f>
        <v>423430000</v>
      </c>
      <c r="D56" s="29">
        <f t="shared" ref="D56:D62" si="12">(C56/$C$62)*100%</f>
        <v>0.41910068987360566</v>
      </c>
      <c r="E56" s="29">
        <f t="shared" ref="E56:E59" si="13">((C56/F56)-1)*100%</f>
        <v>2.1740665502275061</v>
      </c>
      <c r="F56" s="30">
        <f t="shared" si="11"/>
        <v>133403000</v>
      </c>
      <c r="G56" s="29">
        <f t="shared" ref="G56:G62" si="14">(F56/$F$62)*100%</f>
        <v>0.15529221402836871</v>
      </c>
    </row>
    <row r="57" spans="2:8" ht="15" customHeight="1">
      <c r="B57" s="57" t="s">
        <v>18</v>
      </c>
      <c r="C57" s="58">
        <f>'ESF 2017'!B15</f>
        <v>221026000</v>
      </c>
      <c r="D57" s="59">
        <f t="shared" si="12"/>
        <v>0.21876614571476646</v>
      </c>
      <c r="E57" s="59">
        <f t="shared" si="13"/>
        <v>0.91283351651680245</v>
      </c>
      <c r="F57" s="60">
        <f t="shared" si="11"/>
        <v>115549000</v>
      </c>
      <c r="G57" s="59">
        <f t="shared" si="14"/>
        <v>0.13450866951091037</v>
      </c>
    </row>
    <row r="58" spans="2:8" ht="15" customHeight="1">
      <c r="B58" s="61" t="s">
        <v>19</v>
      </c>
      <c r="C58" s="56">
        <f>'ESF 2017'!C21</f>
        <v>436704000</v>
      </c>
      <c r="D58" s="29">
        <f t="shared" si="12"/>
        <v>0.43223897142517792</v>
      </c>
      <c r="E58" s="29">
        <f t="shared" si="13"/>
        <v>2.1863180014008874</v>
      </c>
      <c r="F58" s="30">
        <f t="shared" si="11"/>
        <v>137056000</v>
      </c>
      <c r="G58" s="29">
        <f t="shared" si="14"/>
        <v>0.1595446105850101</v>
      </c>
      <c r="H58" s="38"/>
    </row>
    <row r="59" spans="2:8" ht="15" customHeight="1">
      <c r="B59" s="57" t="s">
        <v>22</v>
      </c>
      <c r="C59" s="58">
        <f>'ESF 2017'!C29+'ESF 2017'!C34+'ESF 2017'!C39</f>
        <v>569567000</v>
      </c>
      <c r="D59" s="59">
        <f t="shared" si="12"/>
        <v>0.5637435293418982</v>
      </c>
      <c r="E59" s="59">
        <f t="shared" si="13"/>
        <v>-0.20950563481929718</v>
      </c>
      <c r="F59" s="60">
        <f t="shared" si="11"/>
        <v>720520000</v>
      </c>
      <c r="G59" s="59">
        <f t="shared" si="14"/>
        <v>0.83874535094203451</v>
      </c>
    </row>
    <row r="60" spans="2:8" ht="15" customHeight="1">
      <c r="B60" s="28" t="s">
        <v>23</v>
      </c>
      <c r="C60" s="56">
        <f>'ESF 2017'!C43</f>
        <v>4059000</v>
      </c>
      <c r="D60" s="29">
        <f t="shared" si="12"/>
        <v>4.0174992329238962E-3</v>
      </c>
      <c r="E60" s="29">
        <v>0</v>
      </c>
      <c r="F60" s="30">
        <f t="shared" si="11"/>
        <v>1469000</v>
      </c>
      <c r="G60" s="29">
        <f t="shared" si="14"/>
        <v>1.7100384729554332E-3</v>
      </c>
    </row>
    <row r="61" spans="2:8" ht="15" customHeight="1">
      <c r="B61" s="62" t="s">
        <v>24</v>
      </c>
      <c r="C61" s="58">
        <f>'ESF 2017'!C45</f>
        <v>573626000</v>
      </c>
      <c r="D61" s="59">
        <f t="shared" si="12"/>
        <v>0.56776102857482214</v>
      </c>
      <c r="E61" s="59">
        <f t="shared" ref="E61:E62" si="15">((C61/F61)-1)*100%</f>
        <v>-0.20549205043290131</v>
      </c>
      <c r="F61" s="60">
        <f t="shared" si="11"/>
        <v>721989000</v>
      </c>
      <c r="G61" s="59">
        <f t="shared" si="14"/>
        <v>0.84045538941498987</v>
      </c>
    </row>
    <row r="62" spans="2:8" ht="15" customHeight="1">
      <c r="B62" s="61" t="s">
        <v>25</v>
      </c>
      <c r="C62" s="56">
        <f>'ESF 2017'!C47</f>
        <v>1010330000</v>
      </c>
      <c r="D62" s="29">
        <f t="shared" si="12"/>
        <v>1</v>
      </c>
      <c r="E62" s="29">
        <f t="shared" si="15"/>
        <v>0.17610835288023319</v>
      </c>
      <c r="F62" s="30">
        <f t="shared" si="11"/>
        <v>859045000</v>
      </c>
      <c r="G62" s="29">
        <f t="shared" si="14"/>
        <v>1</v>
      </c>
    </row>
    <row r="63" spans="2:8" ht="15" customHeight="1"/>
    <row r="64" spans="2:8" ht="30.75" customHeight="1">
      <c r="B64" s="368" t="s">
        <v>0</v>
      </c>
      <c r="C64" s="368">
        <v>2017</v>
      </c>
      <c r="D64" s="368" t="s">
        <v>1</v>
      </c>
      <c r="E64" s="368" t="s">
        <v>2</v>
      </c>
      <c r="F64" s="368">
        <v>2016</v>
      </c>
      <c r="G64" s="368" t="s">
        <v>1</v>
      </c>
    </row>
    <row r="65" spans="2:10" ht="15" customHeight="1">
      <c r="B65" s="23" t="s">
        <v>26</v>
      </c>
      <c r="C65" s="25">
        <f>'ESF 2017'!B57</f>
        <v>53044000</v>
      </c>
      <c r="D65" s="24">
        <f>(C65/$C$80)*100%</f>
        <v>5.2501657874159925E-2</v>
      </c>
      <c r="E65" s="24">
        <v>0</v>
      </c>
      <c r="F65" s="46">
        <f t="shared" ref="F65:F72" si="16">C96</f>
        <v>0</v>
      </c>
      <c r="G65" s="24">
        <f>(F65/$F$80)*100%</f>
        <v>0</v>
      </c>
    </row>
    <row r="66" spans="2:10" ht="15" customHeight="1">
      <c r="B66" s="28" t="s">
        <v>27</v>
      </c>
      <c r="C66" s="30">
        <f>'ESF 2017'!B61</f>
        <v>30699000</v>
      </c>
      <c r="D66" s="29">
        <f t="shared" ref="D66:D72" si="17">(C66/$C$80)*100%</f>
        <v>3.0385121692912218E-2</v>
      </c>
      <c r="E66" s="29">
        <v>0</v>
      </c>
      <c r="F66" s="48">
        <f t="shared" si="16"/>
        <v>38622000</v>
      </c>
      <c r="G66" s="29">
        <f t="shared" ref="G66:G72" si="18">(F66/$F$80)*100%</f>
        <v>4.4959227979907923E-2</v>
      </c>
    </row>
    <row r="67" spans="2:10" ht="15" customHeight="1">
      <c r="B67" s="23" t="s">
        <v>28</v>
      </c>
      <c r="C67" s="25">
        <f>'ESF 2017'!C66</f>
        <v>1064000</v>
      </c>
      <c r="D67" s="24">
        <f t="shared" si="17"/>
        <v>1.053121257410945E-3</v>
      </c>
      <c r="E67" s="24">
        <f t="shared" ref="E67:E68" si="19">((C67/F67)-1)*100%</f>
        <v>-0.98509052183173584</v>
      </c>
      <c r="F67" s="46">
        <f t="shared" si="16"/>
        <v>71364000</v>
      </c>
      <c r="G67" s="24">
        <f t="shared" si="18"/>
        <v>8.3073645734507512E-2</v>
      </c>
      <c r="I67" s="22"/>
      <c r="J67" s="63"/>
    </row>
    <row r="68" spans="2:10" ht="15" customHeight="1">
      <c r="B68" s="28" t="s">
        <v>29</v>
      </c>
      <c r="C68" s="30">
        <f>'ESF 2017'!C75</f>
        <v>16267000.000000002</v>
      </c>
      <c r="D68" s="29">
        <f t="shared" si="17"/>
        <v>1.6100679975849477E-2</v>
      </c>
      <c r="E68" s="29">
        <f t="shared" si="19"/>
        <v>0.32943772474664934</v>
      </c>
      <c r="F68" s="48">
        <f t="shared" si="16"/>
        <v>12236000</v>
      </c>
      <c r="G68" s="29">
        <f t="shared" si="18"/>
        <v>1.4243724135522585E-2</v>
      </c>
      <c r="I68" s="22"/>
      <c r="J68" s="63"/>
    </row>
    <row r="69" spans="2:10" ht="15" customHeight="1">
      <c r="B69" s="23" t="s">
        <v>30</v>
      </c>
      <c r="C69" s="25">
        <v>0</v>
      </c>
      <c r="D69" s="24">
        <f t="shared" si="17"/>
        <v>0</v>
      </c>
      <c r="E69" s="24">
        <v>0</v>
      </c>
      <c r="F69" s="46">
        <f t="shared" si="16"/>
        <v>2190000</v>
      </c>
      <c r="G69" s="24">
        <f t="shared" si="18"/>
        <v>2.5493425839158601E-3</v>
      </c>
      <c r="I69" s="22"/>
      <c r="J69" s="63"/>
    </row>
    <row r="70" spans="2:10" ht="15" customHeight="1">
      <c r="B70" s="28" t="s">
        <v>33</v>
      </c>
      <c r="C70" s="30">
        <f>'ESF 2017'!C71</f>
        <v>180714000</v>
      </c>
      <c r="D70" s="29">
        <f t="shared" si="17"/>
        <v>0.17886631100729464</v>
      </c>
      <c r="E70" s="29">
        <v>0</v>
      </c>
      <c r="F70" s="48">
        <f t="shared" si="16"/>
        <v>37668000</v>
      </c>
      <c r="G70" s="29">
        <f t="shared" si="18"/>
        <v>4.3848692443352794E-2</v>
      </c>
      <c r="I70" s="22"/>
      <c r="J70" s="63"/>
    </row>
    <row r="71" spans="2:10" ht="15" customHeight="1">
      <c r="B71" s="62" t="s">
        <v>31</v>
      </c>
      <c r="C71" s="60">
        <f>'ESF 2017'!C77</f>
        <v>281788000</v>
      </c>
      <c r="D71" s="59">
        <f t="shared" si="17"/>
        <v>0.27890689180762723</v>
      </c>
      <c r="E71" s="59">
        <f t="shared" ref="E71:E72" si="20">((C71/F71)-1)*100%</f>
        <v>0.73857354392892405</v>
      </c>
      <c r="F71" s="64">
        <f t="shared" si="16"/>
        <v>162080000</v>
      </c>
      <c r="G71" s="59">
        <f t="shared" si="18"/>
        <v>0.18867463287720668</v>
      </c>
      <c r="I71" s="22"/>
      <c r="J71" s="63"/>
    </row>
    <row r="72" spans="2:10" ht="15" customHeight="1">
      <c r="B72" s="61" t="s">
        <v>32</v>
      </c>
      <c r="C72" s="30">
        <f>+C71</f>
        <v>281788000</v>
      </c>
      <c r="D72" s="29">
        <f t="shared" si="17"/>
        <v>0.27890689180762723</v>
      </c>
      <c r="E72" s="29">
        <f t="shared" si="20"/>
        <v>0.73857354392892405</v>
      </c>
      <c r="F72" s="48">
        <f t="shared" si="16"/>
        <v>162080000</v>
      </c>
      <c r="G72" s="29">
        <f t="shared" si="18"/>
        <v>0.18867463287720668</v>
      </c>
      <c r="I72" s="22"/>
      <c r="J72" s="63"/>
    </row>
    <row r="73" spans="2:10" ht="15" customHeight="1">
      <c r="I73" s="22"/>
      <c r="J73" s="63"/>
    </row>
    <row r="74" spans="2:10" ht="30.75" customHeight="1">
      <c r="B74" s="368" t="s">
        <v>0</v>
      </c>
      <c r="C74" s="368">
        <v>2017</v>
      </c>
      <c r="D74" s="368" t="s">
        <v>1</v>
      </c>
      <c r="E74" s="368" t="s">
        <v>2</v>
      </c>
      <c r="F74" s="368">
        <v>2016</v>
      </c>
      <c r="G74" s="368" t="s">
        <v>1</v>
      </c>
      <c r="I74" s="22"/>
      <c r="J74" s="63"/>
    </row>
    <row r="75" spans="2:10" ht="15" customHeight="1">
      <c r="B75" s="23" t="s">
        <v>34</v>
      </c>
      <c r="C75" s="25">
        <f>'ESF 2017'!B81</f>
        <v>620000000</v>
      </c>
      <c r="D75" s="35">
        <f>(C75/$C$80)*100%</f>
        <v>0.61366088307780631</v>
      </c>
      <c r="E75" s="35">
        <f>((C75/F75)-1)*100%</f>
        <v>0</v>
      </c>
      <c r="F75" s="36">
        <f t="shared" ref="F75:F80" si="21">C106</f>
        <v>620000000</v>
      </c>
      <c r="G75" s="35">
        <f>(F75/$F$80)*100%</f>
        <v>0.72173169042366814</v>
      </c>
      <c r="I75" s="22"/>
      <c r="J75" s="63"/>
    </row>
    <row r="76" spans="2:10" ht="15" customHeight="1">
      <c r="B76" s="28" t="s">
        <v>35</v>
      </c>
      <c r="C76" s="30">
        <f>'ESF 2017'!B85</f>
        <v>7696000</v>
      </c>
      <c r="D76" s="29">
        <f t="shared" ref="D76:D80" si="22">(C76/$C$80)*100%</f>
        <v>7.6173131551077371E-3</v>
      </c>
      <c r="E76" s="29">
        <v>0</v>
      </c>
      <c r="F76" s="30">
        <f t="shared" si="21"/>
        <v>5321000</v>
      </c>
      <c r="G76" s="29">
        <f t="shared" ref="G76:G80" si="23">(F76/$F$80)*100%</f>
        <v>6.194087620555384E-3</v>
      </c>
      <c r="I76" s="22"/>
      <c r="J76" s="63"/>
    </row>
    <row r="77" spans="2:10" ht="15" customHeight="1">
      <c r="B77" s="57" t="s">
        <v>36</v>
      </c>
      <c r="C77" s="60">
        <f>'ESF 2017'!B89</f>
        <v>31577000</v>
      </c>
      <c r="D77" s="59">
        <f t="shared" si="22"/>
        <v>3.1254144685399818E-2</v>
      </c>
      <c r="E77" s="59">
        <f t="shared" ref="E77:E80" si="24">((C77/F77)-1)*100%</f>
        <v>0.32938997179303664</v>
      </c>
      <c r="F77" s="60">
        <f t="shared" si="21"/>
        <v>23753000</v>
      </c>
      <c r="G77" s="59">
        <f t="shared" si="23"/>
        <v>2.7650472326828046E-2</v>
      </c>
      <c r="I77" s="22"/>
      <c r="J77" s="63"/>
    </row>
    <row r="78" spans="2:10" ht="15" customHeight="1">
      <c r="B78" s="28" t="s">
        <v>37</v>
      </c>
      <c r="C78" s="30">
        <f>'ESF 2017'!C94</f>
        <v>69269000</v>
      </c>
      <c r="D78" s="29">
        <f t="shared" si="22"/>
        <v>6.8560767274058965E-2</v>
      </c>
      <c r="E78" s="29">
        <f t="shared" si="24"/>
        <v>0.44638867428118023</v>
      </c>
      <c r="F78" s="30">
        <f t="shared" si="21"/>
        <v>47891000</v>
      </c>
      <c r="G78" s="29">
        <f t="shared" si="23"/>
        <v>5.574911675174176E-2</v>
      </c>
      <c r="I78" s="22"/>
      <c r="J78" s="63"/>
    </row>
    <row r="79" spans="2:10" ht="15" customHeight="1">
      <c r="B79" s="65" t="s">
        <v>38</v>
      </c>
      <c r="C79" s="25">
        <f>'ESF 2017'!C96</f>
        <v>728542000</v>
      </c>
      <c r="D79" s="35">
        <f t="shared" si="22"/>
        <v>0.72109310819237282</v>
      </c>
      <c r="E79" s="35">
        <f t="shared" si="24"/>
        <v>4.5306435760762653E-2</v>
      </c>
      <c r="F79" s="36">
        <f t="shared" si="21"/>
        <v>696965000</v>
      </c>
      <c r="G79" s="35">
        <f t="shared" si="23"/>
        <v>0.81132536712279335</v>
      </c>
      <c r="I79" s="22"/>
      <c r="J79" s="63"/>
    </row>
    <row r="80" spans="2:10" ht="15" customHeight="1">
      <c r="B80" s="61" t="s">
        <v>39</v>
      </c>
      <c r="C80" s="30">
        <f>'ESF 2017'!C98</f>
        <v>1010330000</v>
      </c>
      <c r="D80" s="29">
        <f t="shared" si="22"/>
        <v>1</v>
      </c>
      <c r="E80" s="29">
        <f t="shared" si="24"/>
        <v>0.17610835288023319</v>
      </c>
      <c r="F80" s="30">
        <f t="shared" si="21"/>
        <v>859045000</v>
      </c>
      <c r="G80" s="29">
        <f t="shared" si="23"/>
        <v>1</v>
      </c>
      <c r="I80" s="22"/>
      <c r="J80" s="63"/>
    </row>
    <row r="81" spans="2:10" ht="15" customHeight="1">
      <c r="B81" s="66"/>
      <c r="C81" s="67"/>
      <c r="D81" s="68"/>
      <c r="E81" s="68"/>
      <c r="F81" s="67"/>
      <c r="G81" s="68"/>
      <c r="I81" s="22"/>
      <c r="J81" s="63"/>
    </row>
    <row r="82" spans="2:10" ht="15" customHeight="1">
      <c r="B82" s="54"/>
      <c r="C82" s="54"/>
      <c r="D82" s="54"/>
      <c r="E82" s="54"/>
      <c r="F82" s="54"/>
      <c r="G82" s="54"/>
      <c r="I82" s="22"/>
      <c r="J82" s="63"/>
    </row>
    <row r="83" spans="2:10" ht="20.25" customHeight="1">
      <c r="B83" s="426" t="s">
        <v>273</v>
      </c>
      <c r="C83" s="426"/>
      <c r="D83" s="426"/>
      <c r="E83" s="426"/>
      <c r="F83" s="426"/>
      <c r="G83" s="426"/>
      <c r="I83" s="22"/>
      <c r="J83" s="63"/>
    </row>
    <row r="84" spans="2:10" ht="15" customHeight="1">
      <c r="C84" s="38"/>
      <c r="I84" s="22"/>
      <c r="J84" s="63"/>
    </row>
    <row r="85" spans="2:10" ht="31.5">
      <c r="B85" s="368" t="s">
        <v>0</v>
      </c>
      <c r="C85" s="368">
        <v>2016</v>
      </c>
      <c r="D85" s="368" t="s">
        <v>1</v>
      </c>
      <c r="E85" s="368" t="s">
        <v>2</v>
      </c>
      <c r="F85" s="368">
        <v>2015</v>
      </c>
      <c r="G85" s="368" t="s">
        <v>1</v>
      </c>
      <c r="H85" s="21"/>
      <c r="I85" s="22"/>
      <c r="J85" s="63"/>
    </row>
    <row r="86" spans="2:10">
      <c r="B86" s="23" t="s">
        <v>16</v>
      </c>
      <c r="C86" s="55">
        <f>+'ESF 2016'!C12</f>
        <v>3653000</v>
      </c>
      <c r="D86" s="24">
        <f t="shared" ref="D86:D93" si="25">(C86/$C$93)*100%</f>
        <v>4.2523965566413869E-3</v>
      </c>
      <c r="E86" s="24">
        <f>((C86/F86)-1)*100%</f>
        <v>0.19184339314845023</v>
      </c>
      <c r="F86" s="25">
        <f>'ESF 2015'!C12</f>
        <v>3065000</v>
      </c>
      <c r="G86" s="24">
        <f t="shared" ref="G86:G93" si="26">(F86/$F$93)*100%</f>
        <v>3.8396444226189508E-3</v>
      </c>
      <c r="I86" s="22"/>
      <c r="J86" s="63"/>
    </row>
    <row r="87" spans="2:10">
      <c r="B87" s="28" t="s">
        <v>17</v>
      </c>
      <c r="C87" s="56">
        <f>+'ESF 2016'!C18</f>
        <v>133403000</v>
      </c>
      <c r="D87" s="29">
        <f t="shared" si="25"/>
        <v>0.15529221402836871</v>
      </c>
      <c r="E87" s="29">
        <f t="shared" ref="E87:E93" si="27">((C87/F87)-1)*100%</f>
        <v>2.0259719638887628</v>
      </c>
      <c r="F87" s="30">
        <f>'ESF 2015'!C17</f>
        <v>44086000</v>
      </c>
      <c r="G87" s="29">
        <f t="shared" si="26"/>
        <v>5.5228242745702795E-2</v>
      </c>
      <c r="I87" s="22"/>
      <c r="J87" s="63"/>
    </row>
    <row r="88" spans="2:10">
      <c r="B88" s="57" t="s">
        <v>18</v>
      </c>
      <c r="C88" s="58">
        <f>+'ESF 2016'!B15</f>
        <v>115549000</v>
      </c>
      <c r="D88" s="59">
        <f t="shared" si="25"/>
        <v>0.13450866951091037</v>
      </c>
      <c r="E88" s="59">
        <f t="shared" si="27"/>
        <v>2.0532170696261063</v>
      </c>
      <c r="F88" s="60">
        <f>'ESF 2015'!B15</f>
        <v>37845000</v>
      </c>
      <c r="G88" s="59">
        <f t="shared" si="26"/>
        <v>4.7409899893642478E-2</v>
      </c>
      <c r="I88" s="22"/>
      <c r="J88" s="63"/>
    </row>
    <row r="89" spans="2:10">
      <c r="B89" s="61" t="s">
        <v>19</v>
      </c>
      <c r="C89" s="56">
        <f>+'ESF 2016'!C20</f>
        <v>137056000</v>
      </c>
      <c r="D89" s="29">
        <f t="shared" si="25"/>
        <v>0.1595446105850101</v>
      </c>
      <c r="E89" s="29">
        <f t="shared" si="27"/>
        <v>1.9067464104684948</v>
      </c>
      <c r="F89" s="30">
        <f>'ESF 2015'!C19</f>
        <v>47151000</v>
      </c>
      <c r="G89" s="29">
        <f t="shared" si="26"/>
        <v>5.9067887168321745E-2</v>
      </c>
    </row>
    <row r="90" spans="2:10">
      <c r="B90" s="23" t="s">
        <v>22</v>
      </c>
      <c r="C90" s="55">
        <f>+'ESF 2016'!C37</f>
        <v>720520000</v>
      </c>
      <c r="D90" s="24">
        <f t="shared" si="25"/>
        <v>0.83874535094203451</v>
      </c>
      <c r="E90" s="24">
        <f t="shared" si="27"/>
        <v>-4.0713620023964836E-2</v>
      </c>
      <c r="F90" s="25">
        <f>'ESF 2015'!B24</f>
        <v>751100000</v>
      </c>
      <c r="G90" s="24">
        <f t="shared" si="26"/>
        <v>0.94093211283167821</v>
      </c>
    </row>
    <row r="91" spans="2:10">
      <c r="B91" s="28" t="s">
        <v>23</v>
      </c>
      <c r="C91" s="56">
        <f>+'ESF 2016'!C41</f>
        <v>1469000</v>
      </c>
      <c r="D91" s="29">
        <f t="shared" si="25"/>
        <v>1.7100384729554332E-3</v>
      </c>
      <c r="E91" s="29">
        <v>0</v>
      </c>
      <c r="F91" s="30">
        <v>0</v>
      </c>
      <c r="G91" s="29">
        <f t="shared" si="26"/>
        <v>0</v>
      </c>
    </row>
    <row r="92" spans="2:10">
      <c r="B92" s="62" t="s">
        <v>24</v>
      </c>
      <c r="C92" s="58">
        <f>+'ESF 2016'!C43</f>
        <v>721989000</v>
      </c>
      <c r="D92" s="59">
        <f t="shared" si="25"/>
        <v>0.84045538941498987</v>
      </c>
      <c r="E92" s="59">
        <f t="shared" si="27"/>
        <v>-3.8757821861270192E-2</v>
      </c>
      <c r="F92" s="60">
        <f>'ESF 2015'!C27</f>
        <v>751100000</v>
      </c>
      <c r="G92" s="59">
        <f t="shared" si="26"/>
        <v>0.94093211283167821</v>
      </c>
    </row>
    <row r="93" spans="2:10">
      <c r="B93" s="61" t="s">
        <v>25</v>
      </c>
      <c r="C93" s="56">
        <f>+'ESF 2016'!C45</f>
        <v>859045000</v>
      </c>
      <c r="D93" s="29">
        <f t="shared" si="25"/>
        <v>1</v>
      </c>
      <c r="E93" s="29">
        <f t="shared" si="27"/>
        <v>7.6159002619476723E-2</v>
      </c>
      <c r="F93" s="30">
        <f>'ESF 2015'!C29</f>
        <v>798251000</v>
      </c>
      <c r="G93" s="29">
        <f t="shared" si="26"/>
        <v>1</v>
      </c>
    </row>
    <row r="95" spans="2:10" ht="31.5">
      <c r="B95" s="368" t="s">
        <v>0</v>
      </c>
      <c r="C95" s="368">
        <v>2016</v>
      </c>
      <c r="D95" s="368" t="s">
        <v>1</v>
      </c>
      <c r="E95" s="368" t="s">
        <v>2</v>
      </c>
      <c r="F95" s="368">
        <v>2015</v>
      </c>
      <c r="G95" s="368" t="s">
        <v>1</v>
      </c>
    </row>
    <row r="96" spans="2:10">
      <c r="B96" s="23" t="s">
        <v>26</v>
      </c>
      <c r="C96" s="25">
        <v>0</v>
      </c>
      <c r="D96" s="24">
        <f t="shared" ref="D96:D102" si="28">(C96/$C$111)*100%</f>
        <v>0</v>
      </c>
      <c r="E96" s="24">
        <v>0</v>
      </c>
      <c r="F96" s="46">
        <v>0</v>
      </c>
      <c r="G96" s="24">
        <f t="shared" ref="G96:G102" si="29">(F96/$F$111)*100%</f>
        <v>0</v>
      </c>
    </row>
    <row r="97" spans="2:7">
      <c r="B97" s="28" t="s">
        <v>27</v>
      </c>
      <c r="C97" s="30">
        <f>+'ESF 2016'!C57</f>
        <v>38622000</v>
      </c>
      <c r="D97" s="29">
        <f t="shared" si="28"/>
        <v>4.4959227979907923E-2</v>
      </c>
      <c r="E97" s="29">
        <v>0</v>
      </c>
      <c r="F97" s="48">
        <v>0</v>
      </c>
      <c r="G97" s="29">
        <f t="shared" si="29"/>
        <v>0</v>
      </c>
    </row>
    <row r="98" spans="2:7">
      <c r="B98" s="23" t="s">
        <v>28</v>
      </c>
      <c r="C98" s="25">
        <f>+'ESF 2016'!C64</f>
        <v>71364000</v>
      </c>
      <c r="D98" s="24">
        <f t="shared" si="28"/>
        <v>8.3073645734507512E-2</v>
      </c>
      <c r="E98" s="24">
        <f t="shared" ref="E98:E103" si="30">((C98/F98)-1)*100%</f>
        <v>-0.3143087743572005</v>
      </c>
      <c r="F98" s="46">
        <f>'ESF 2015'!C37</f>
        <v>104076000</v>
      </c>
      <c r="G98" s="24">
        <f t="shared" si="29"/>
        <v>0.13038004336981726</v>
      </c>
    </row>
    <row r="99" spans="2:7">
      <c r="B99" s="28" t="s">
        <v>29</v>
      </c>
      <c r="C99" s="30">
        <f>+'ESF 2016'!C77</f>
        <v>12236000</v>
      </c>
      <c r="D99" s="29">
        <f t="shared" si="28"/>
        <v>1.4243724135522585E-2</v>
      </c>
      <c r="E99" s="29">
        <f t="shared" si="30"/>
        <v>-0.41630491818919046</v>
      </c>
      <c r="F99" s="48">
        <f>'ESF 2015'!C42</f>
        <v>20963000</v>
      </c>
      <c r="G99" s="29">
        <f t="shared" si="29"/>
        <v>2.6261163468633299E-2</v>
      </c>
    </row>
    <row r="100" spans="2:7">
      <c r="B100" s="23" t="s">
        <v>30</v>
      </c>
      <c r="C100" s="25">
        <f>+'ESF 2016'!C68</f>
        <v>2190000</v>
      </c>
      <c r="D100" s="24">
        <f t="shared" si="28"/>
        <v>2.5493425839158601E-3</v>
      </c>
      <c r="E100" s="24">
        <v>0</v>
      </c>
      <c r="F100" s="46"/>
      <c r="G100" s="24">
        <f t="shared" si="29"/>
        <v>0</v>
      </c>
    </row>
    <row r="101" spans="2:7">
      <c r="B101" s="28" t="s">
        <v>33</v>
      </c>
      <c r="C101" s="30">
        <f>+'ESF 2016'!C72</f>
        <v>37668000</v>
      </c>
      <c r="D101" s="29">
        <f t="shared" si="28"/>
        <v>4.3848692443352794E-2</v>
      </c>
      <c r="E101" s="29">
        <v>0</v>
      </c>
      <c r="F101" s="48"/>
      <c r="G101" s="29">
        <f t="shared" si="29"/>
        <v>0</v>
      </c>
    </row>
    <row r="102" spans="2:7">
      <c r="B102" s="62" t="s">
        <v>31</v>
      </c>
      <c r="C102" s="60">
        <f>+'ESF 2016'!C79</f>
        <v>162080000</v>
      </c>
      <c r="D102" s="59">
        <f t="shared" si="28"/>
        <v>0.18867463287720668</v>
      </c>
      <c r="E102" s="59">
        <f t="shared" si="30"/>
        <v>0.29623557450075566</v>
      </c>
      <c r="F102" s="64">
        <f>'ESF 2015'!C44</f>
        <v>125039000</v>
      </c>
      <c r="G102" s="59">
        <f t="shared" si="29"/>
        <v>0.15664120683845056</v>
      </c>
    </row>
    <row r="103" spans="2:7">
      <c r="B103" s="61" t="s">
        <v>32</v>
      </c>
      <c r="C103" s="30">
        <f>+C102</f>
        <v>162080000</v>
      </c>
      <c r="D103" s="29">
        <f>(C103/$C$111)*100%</f>
        <v>0.18867463287720668</v>
      </c>
      <c r="E103" s="29">
        <f t="shared" si="30"/>
        <v>0.29623557450075566</v>
      </c>
      <c r="F103" s="48">
        <f>'ESF 2015'!C44</f>
        <v>125039000</v>
      </c>
      <c r="G103" s="29">
        <f>(F103/$F$111)*100%</f>
        <v>0.15664120683845056</v>
      </c>
    </row>
    <row r="105" spans="2:7" ht="31.5">
      <c r="B105" s="368" t="s">
        <v>0</v>
      </c>
      <c r="C105" s="368">
        <v>2016</v>
      </c>
      <c r="D105" s="368" t="s">
        <v>1</v>
      </c>
      <c r="E105" s="368" t="s">
        <v>2</v>
      </c>
      <c r="F105" s="368">
        <v>2015</v>
      </c>
      <c r="G105" s="368" t="s">
        <v>1</v>
      </c>
    </row>
    <row r="106" spans="2:7">
      <c r="B106" s="57" t="s">
        <v>34</v>
      </c>
      <c r="C106" s="60">
        <f>+'ESF 2016'!C84</f>
        <v>620000000</v>
      </c>
      <c r="D106" s="59">
        <f t="shared" ref="D106:D110" si="31">(C106/$C$111)*100%</f>
        <v>0.72173169042366814</v>
      </c>
      <c r="E106" s="59">
        <f>((C106/F106)-1)*100%</f>
        <v>0</v>
      </c>
      <c r="F106" s="60">
        <f>'ESF 2015'!B54</f>
        <v>620000000</v>
      </c>
      <c r="G106" s="59">
        <f t="shared" ref="G106:G110" si="32">(F106/$F$111)*100%</f>
        <v>0.77669805612520371</v>
      </c>
    </row>
    <row r="107" spans="2:7">
      <c r="B107" s="28" t="s">
        <v>35</v>
      </c>
      <c r="C107" s="30">
        <f>+'ESF 2016'!C88</f>
        <v>5321000</v>
      </c>
      <c r="D107" s="29">
        <f t="shared" si="31"/>
        <v>6.194087620555384E-3</v>
      </c>
      <c r="E107" s="29">
        <v>0</v>
      </c>
      <c r="F107" s="30"/>
      <c r="G107" s="29">
        <f t="shared" si="32"/>
        <v>0</v>
      </c>
    </row>
    <row r="108" spans="2:7">
      <c r="B108" s="57" t="s">
        <v>36</v>
      </c>
      <c r="C108" s="60">
        <f>+'ESF 2016'!C92</f>
        <v>23753000</v>
      </c>
      <c r="D108" s="59">
        <f t="shared" si="31"/>
        <v>2.7650472326828046E-2</v>
      </c>
      <c r="E108" s="59">
        <f t="shared" ref="E108:E111" si="33">((C108/F108)-1)*100%</f>
        <v>-0.50326236981889672</v>
      </c>
      <c r="F108" s="60">
        <f>'ESF 2015'!B58</f>
        <v>47818000</v>
      </c>
      <c r="G108" s="59">
        <f t="shared" si="32"/>
        <v>5.9903463948056436E-2</v>
      </c>
    </row>
    <row r="109" spans="2:7">
      <c r="B109" s="28" t="s">
        <v>37</v>
      </c>
      <c r="C109" s="30">
        <f>+'ESF 2016'!C96</f>
        <v>47891000</v>
      </c>
      <c r="D109" s="29">
        <f t="shared" si="31"/>
        <v>5.574911675174176E-2</v>
      </c>
      <c r="E109" s="29">
        <f t="shared" si="33"/>
        <v>8.8642636457260551</v>
      </c>
      <c r="F109" s="30">
        <f>'ESF 2015'!B66</f>
        <v>4855000</v>
      </c>
      <c r="G109" s="29">
        <f t="shared" si="32"/>
        <v>6.0820468749804256E-3</v>
      </c>
    </row>
    <row r="110" spans="2:7">
      <c r="B110" s="62" t="s">
        <v>38</v>
      </c>
      <c r="C110" s="60">
        <f>+'ESF 2016'!C98</f>
        <v>696965000</v>
      </c>
      <c r="D110" s="59">
        <f t="shared" si="31"/>
        <v>0.81132536712279335</v>
      </c>
      <c r="E110" s="59">
        <f t="shared" si="33"/>
        <v>3.5283090616328838E-2</v>
      </c>
      <c r="F110" s="60">
        <f>'ESF 2015'!C69</f>
        <v>673212000</v>
      </c>
      <c r="G110" s="59">
        <f t="shared" si="32"/>
        <v>0.84335879316154949</v>
      </c>
    </row>
    <row r="111" spans="2:7">
      <c r="B111" s="61" t="s">
        <v>39</v>
      </c>
      <c r="C111" s="30">
        <f>+'ESF 2016'!C100</f>
        <v>859045000</v>
      </c>
      <c r="D111" s="29">
        <f>(C111/$C$111)*100%</f>
        <v>1</v>
      </c>
      <c r="E111" s="29">
        <f t="shared" si="33"/>
        <v>7.6159002619476723E-2</v>
      </c>
      <c r="F111" s="30">
        <f>'ESF 2015'!C71</f>
        <v>798251000</v>
      </c>
      <c r="G111" s="29">
        <f>(F111/$F$111)*100%</f>
        <v>1</v>
      </c>
    </row>
    <row r="113" spans="2:7">
      <c r="B113" s="408" t="s">
        <v>273</v>
      </c>
      <c r="C113" s="408"/>
      <c r="D113" s="408"/>
      <c r="E113" s="408"/>
      <c r="F113" s="408"/>
      <c r="G113" s="408"/>
    </row>
    <row r="114" spans="2:7">
      <c r="C114" s="38"/>
    </row>
    <row r="115" spans="2:7" ht="31.5">
      <c r="B115" s="368" t="s">
        <v>0</v>
      </c>
      <c r="C115" s="368">
        <v>2015</v>
      </c>
      <c r="D115" s="368" t="s">
        <v>1</v>
      </c>
      <c r="E115" s="368" t="s">
        <v>2</v>
      </c>
      <c r="F115" s="368">
        <v>2014</v>
      </c>
      <c r="G115" s="368" t="s">
        <v>1</v>
      </c>
    </row>
    <row r="116" spans="2:7">
      <c r="B116" s="23" t="s">
        <v>16</v>
      </c>
      <c r="C116" s="25">
        <f>F86</f>
        <v>3065000</v>
      </c>
      <c r="D116" s="24">
        <f t="shared" ref="D116:D121" si="34">(C116/$C$122)*100%</f>
        <v>3.8396444226189508E-3</v>
      </c>
      <c r="E116" s="24">
        <f>((C116/F116)-1)*100%</f>
        <v>-0.93449315009938227</v>
      </c>
      <c r="F116" s="25">
        <f>'BALANCE 2014'!C12</f>
        <v>46789000</v>
      </c>
      <c r="G116" s="24">
        <f t="shared" ref="G116:G121" si="35">(F116/$F$122)*100%</f>
        <v>7.1118386753062382E-2</v>
      </c>
    </row>
    <row r="117" spans="2:7">
      <c r="B117" s="28" t="s">
        <v>17</v>
      </c>
      <c r="C117" s="30">
        <f>F87</f>
        <v>44086000</v>
      </c>
      <c r="D117" s="29">
        <f t="shared" si="34"/>
        <v>5.5228242745702795E-2</v>
      </c>
      <c r="E117" s="29">
        <f t="shared" ref="E117:E122" si="36">((C117/F117)-1)*100%</f>
        <v>2.966708655749505</v>
      </c>
      <c r="F117" s="30">
        <f>'BALANCE 2014'!C17</f>
        <v>11114000</v>
      </c>
      <c r="G117" s="29">
        <f t="shared" si="35"/>
        <v>1.6893067823068143E-2</v>
      </c>
    </row>
    <row r="118" spans="2:7">
      <c r="B118" s="57" t="s">
        <v>18</v>
      </c>
      <c r="C118" s="60">
        <f>F88</f>
        <v>37845000</v>
      </c>
      <c r="D118" s="59">
        <f t="shared" si="34"/>
        <v>4.7409899893642478E-2</v>
      </c>
      <c r="E118" s="59">
        <f t="shared" si="36"/>
        <v>2.6063464837049741</v>
      </c>
      <c r="F118" s="60">
        <f>'BALANCE 2014'!B15</f>
        <v>10494000</v>
      </c>
      <c r="G118" s="59">
        <f t="shared" si="35"/>
        <v>1.5950679659463476E-2</v>
      </c>
    </row>
    <row r="119" spans="2:7">
      <c r="B119" s="61" t="s">
        <v>19</v>
      </c>
      <c r="C119" s="30">
        <f>F89</f>
        <v>47151000</v>
      </c>
      <c r="D119" s="29">
        <f t="shared" si="34"/>
        <v>5.9067887168321745E-2</v>
      </c>
      <c r="E119" s="29">
        <f t="shared" si="36"/>
        <v>-0.18568986062898296</v>
      </c>
      <c r="F119" s="30">
        <f>'BALANCE 2014'!C19</f>
        <v>57903000</v>
      </c>
      <c r="G119" s="29">
        <f t="shared" si="35"/>
        <v>8.8011454576130521E-2</v>
      </c>
    </row>
    <row r="120" spans="2:7">
      <c r="B120" s="23" t="s">
        <v>22</v>
      </c>
      <c r="C120" s="25">
        <f>F90</f>
        <v>751100000</v>
      </c>
      <c r="D120" s="24">
        <f t="shared" si="34"/>
        <v>0.94093211283167821</v>
      </c>
      <c r="E120" s="24">
        <f t="shared" si="36"/>
        <v>0.25183333333333335</v>
      </c>
      <c r="F120" s="25">
        <f>'BALANCE 2014'!C26</f>
        <v>600000000</v>
      </c>
      <c r="G120" s="24">
        <f t="shared" si="35"/>
        <v>0.91198854542386942</v>
      </c>
    </row>
    <row r="121" spans="2:7">
      <c r="B121" s="61" t="s">
        <v>24</v>
      </c>
      <c r="C121" s="30">
        <f>C120</f>
        <v>751100000</v>
      </c>
      <c r="D121" s="29">
        <f t="shared" si="34"/>
        <v>0.94093211283167821</v>
      </c>
      <c r="E121" s="29">
        <f t="shared" si="36"/>
        <v>0.25183333333333335</v>
      </c>
      <c r="F121" s="30">
        <f>'BALANCE 2014'!C28</f>
        <v>600000000</v>
      </c>
      <c r="G121" s="29">
        <f t="shared" si="35"/>
        <v>0.91198854542386942</v>
      </c>
    </row>
    <row r="122" spans="2:7">
      <c r="B122" s="65" t="s">
        <v>25</v>
      </c>
      <c r="C122" s="25">
        <f>F93</f>
        <v>798251000</v>
      </c>
      <c r="D122" s="24">
        <f>(C122/$C$122)*100%</f>
        <v>1</v>
      </c>
      <c r="E122" s="24">
        <f t="shared" si="36"/>
        <v>0.21332628062191539</v>
      </c>
      <c r="F122" s="25">
        <f>'BALANCE 2014'!C30</f>
        <v>657903000</v>
      </c>
      <c r="G122" s="24">
        <f>(F122/$F$122)*100%</f>
        <v>1</v>
      </c>
    </row>
    <row r="124" spans="2:7" ht="31.5">
      <c r="B124" s="368" t="s">
        <v>0</v>
      </c>
      <c r="C124" s="368">
        <v>2015</v>
      </c>
      <c r="D124" s="368" t="s">
        <v>1</v>
      </c>
      <c r="E124" s="368" t="s">
        <v>2</v>
      </c>
      <c r="F124" s="368">
        <v>2014</v>
      </c>
      <c r="G124" s="368" t="s">
        <v>1</v>
      </c>
    </row>
    <row r="125" spans="2:7">
      <c r="B125" s="57" t="s">
        <v>27</v>
      </c>
      <c r="C125" s="64"/>
      <c r="D125" s="59">
        <f t="shared" ref="D125:D128" si="37">(C125/$C$136)*100%</f>
        <v>0</v>
      </c>
      <c r="E125" s="59">
        <f>((C125/F125)-1)*100%</f>
        <v>-1</v>
      </c>
      <c r="F125" s="64">
        <f>'BALANCE 2014'!B35</f>
        <v>29729000</v>
      </c>
      <c r="G125" s="59">
        <f t="shared" ref="G125:G128" si="38">(F125/$F$129)*100%</f>
        <v>0.91448521947768313</v>
      </c>
    </row>
    <row r="126" spans="2:7">
      <c r="B126" s="28" t="s">
        <v>28</v>
      </c>
      <c r="C126" s="48">
        <f>F98</f>
        <v>104076000</v>
      </c>
      <c r="D126" s="29">
        <f t="shared" si="37"/>
        <v>0.13038004336981726</v>
      </c>
      <c r="E126" s="29">
        <v>0</v>
      </c>
      <c r="F126" s="48"/>
      <c r="G126" s="29">
        <f t="shared" si="38"/>
        <v>0</v>
      </c>
    </row>
    <row r="127" spans="2:7">
      <c r="B127" s="57" t="s">
        <v>29</v>
      </c>
      <c r="C127" s="64">
        <f>F99</f>
        <v>20963000</v>
      </c>
      <c r="D127" s="59">
        <f t="shared" si="37"/>
        <v>2.6261163468633299E-2</v>
      </c>
      <c r="E127" s="59">
        <v>0</v>
      </c>
      <c r="F127" s="64">
        <f>'[1]BALANCE 2014'!$C$41</f>
        <v>2780000</v>
      </c>
      <c r="G127" s="59">
        <f t="shared" si="38"/>
        <v>8.5514780522316897E-2</v>
      </c>
    </row>
    <row r="128" spans="2:7">
      <c r="B128" s="61" t="s">
        <v>31</v>
      </c>
      <c r="C128" s="48">
        <f>F102</f>
        <v>125039000</v>
      </c>
      <c r="D128" s="29">
        <f t="shared" si="37"/>
        <v>0.15664120683845056</v>
      </c>
      <c r="E128" s="29">
        <f t="shared" ref="E128:E129" si="39">((C128/F128)-1)*100%</f>
        <v>2.8462887200467564</v>
      </c>
      <c r="F128" s="48">
        <f>'[1]BALANCE 2014'!$C$43</f>
        <v>32509000</v>
      </c>
      <c r="G128" s="29">
        <f t="shared" si="38"/>
        <v>1</v>
      </c>
    </row>
    <row r="129" spans="2:9">
      <c r="B129" s="65" t="s">
        <v>32</v>
      </c>
      <c r="C129" s="46">
        <f>F103</f>
        <v>125039000</v>
      </c>
      <c r="D129" s="24">
        <f>(C129/$C$136)*100%</f>
        <v>0.15664120683845056</v>
      </c>
      <c r="E129" s="35">
        <f t="shared" si="39"/>
        <v>2.8462887200467564</v>
      </c>
      <c r="F129" s="46">
        <f>'[1]BALANCE 2014'!$C$43</f>
        <v>32509000</v>
      </c>
      <c r="G129" s="24">
        <f>(F129/$F$136)*100%</f>
        <v>4.9413059371974287E-2</v>
      </c>
    </row>
    <row r="131" spans="2:9" ht="31.5">
      <c r="B131" s="368" t="s">
        <v>0</v>
      </c>
      <c r="C131" s="368">
        <v>2015</v>
      </c>
      <c r="D131" s="368" t="s">
        <v>1</v>
      </c>
      <c r="E131" s="368" t="s">
        <v>2</v>
      </c>
      <c r="F131" s="368">
        <v>2014</v>
      </c>
      <c r="G131" s="368" t="s">
        <v>1</v>
      </c>
    </row>
    <row r="132" spans="2:9">
      <c r="B132" s="23" t="s">
        <v>34</v>
      </c>
      <c r="C132" s="25">
        <f>F106</f>
        <v>620000000</v>
      </c>
      <c r="D132" s="35">
        <f t="shared" ref="D132:D135" si="40">(C132/C132)*100%</f>
        <v>1</v>
      </c>
      <c r="E132" s="24">
        <f>((C132/F132)-1)*100%</f>
        <v>0</v>
      </c>
      <c r="F132" s="25">
        <f>'BALANCE 2014'!B54</f>
        <v>620000000</v>
      </c>
      <c r="G132" s="35">
        <f t="shared" ref="G132:G135" si="41">(F132/F132)*100%</f>
        <v>1</v>
      </c>
    </row>
    <row r="133" spans="2:9">
      <c r="B133" s="28" t="s">
        <v>36</v>
      </c>
      <c r="C133" s="30">
        <f>F108</f>
        <v>47818000</v>
      </c>
      <c r="D133" s="29">
        <f t="shared" si="40"/>
        <v>1</v>
      </c>
      <c r="E133" s="29">
        <f t="shared" ref="E133:E136" si="42">((C133/F133)-1)*100%</f>
        <v>7.8650352243233215</v>
      </c>
      <c r="F133" s="30">
        <f>'BALANCE 2014'!C59</f>
        <v>5394000</v>
      </c>
      <c r="G133" s="29">
        <f t="shared" si="41"/>
        <v>1</v>
      </c>
    </row>
    <row r="134" spans="2:9">
      <c r="B134" s="23" t="s">
        <v>37</v>
      </c>
      <c r="C134" s="25">
        <f>F109</f>
        <v>4855000</v>
      </c>
      <c r="D134" s="35">
        <f t="shared" si="40"/>
        <v>1</v>
      </c>
      <c r="E134" s="24">
        <v>0</v>
      </c>
      <c r="F134" s="25"/>
      <c r="G134" s="35">
        <v>0</v>
      </c>
    </row>
    <row r="135" spans="2:9">
      <c r="B135" s="61" t="s">
        <v>38</v>
      </c>
      <c r="C135" s="30">
        <f>F110</f>
        <v>673212000</v>
      </c>
      <c r="D135" s="29">
        <f t="shared" si="40"/>
        <v>1</v>
      </c>
      <c r="E135" s="29">
        <f t="shared" si="42"/>
        <v>7.6460599238240112E-2</v>
      </c>
      <c r="F135" s="30">
        <f>'BALANCE 2014'!C61</f>
        <v>625394000</v>
      </c>
      <c r="G135" s="29">
        <f t="shared" si="41"/>
        <v>1</v>
      </c>
    </row>
    <row r="136" spans="2:9">
      <c r="B136" s="62" t="s">
        <v>39</v>
      </c>
      <c r="C136" s="60">
        <f>F111</f>
        <v>798251000</v>
      </c>
      <c r="D136" s="59">
        <f>(C136/C136)*100%</f>
        <v>1</v>
      </c>
      <c r="E136" s="59">
        <f t="shared" si="42"/>
        <v>0.21332628062191539</v>
      </c>
      <c r="F136" s="60">
        <f>'BALANCE 2014'!C63</f>
        <v>657903000</v>
      </c>
      <c r="G136" s="59">
        <f>(F136/F136)*100%</f>
        <v>1</v>
      </c>
      <c r="I136" s="385"/>
    </row>
    <row r="137" spans="2:9">
      <c r="B137" s="66"/>
      <c r="C137" s="67"/>
      <c r="D137" s="68"/>
      <c r="E137" s="68"/>
      <c r="F137" s="67"/>
      <c r="G137" s="68"/>
      <c r="H137" s="16"/>
    </row>
    <row r="139" spans="2:9">
      <c r="B139" s="408" t="s">
        <v>246</v>
      </c>
      <c r="C139" s="408"/>
      <c r="D139" s="408"/>
      <c r="E139" s="408"/>
      <c r="F139" s="408"/>
      <c r="G139" s="408"/>
      <c r="H139" s="408"/>
      <c r="I139" s="408"/>
    </row>
    <row r="141" spans="2:9">
      <c r="B141" s="413" t="s">
        <v>40</v>
      </c>
      <c r="C141" s="413"/>
      <c r="D141" s="413"/>
      <c r="F141" s="413" t="s">
        <v>44</v>
      </c>
      <c r="G141" s="413"/>
      <c r="H141" s="413"/>
      <c r="I141" s="413"/>
    </row>
    <row r="142" spans="2:9" ht="8.25" customHeight="1">
      <c r="B142" s="420"/>
      <c r="C142" s="421"/>
      <c r="D142" s="422"/>
      <c r="F142" s="424"/>
      <c r="G142" s="424"/>
      <c r="H142" s="424"/>
      <c r="I142" s="424"/>
    </row>
    <row r="143" spans="2:9">
      <c r="B143" s="369" t="s">
        <v>0</v>
      </c>
      <c r="C143" s="370">
        <v>43100</v>
      </c>
      <c r="D143" s="369" t="s">
        <v>41</v>
      </c>
      <c r="F143" s="413" t="s">
        <v>45</v>
      </c>
      <c r="G143" s="413"/>
      <c r="H143" s="413"/>
      <c r="I143" s="413"/>
    </row>
    <row r="144" spans="2:9">
      <c r="B144" s="65" t="s">
        <v>3</v>
      </c>
      <c r="C144" s="25">
        <f>'ER 2017'!C10</f>
        <v>1148878000</v>
      </c>
      <c r="D144" s="24">
        <f>(C144/$C$144)*100%</f>
        <v>1</v>
      </c>
      <c r="F144" s="415" t="s">
        <v>46</v>
      </c>
      <c r="G144" s="415"/>
      <c r="H144" s="415"/>
      <c r="I144" s="69">
        <f>C162/C176</f>
        <v>1.5497608130935312</v>
      </c>
    </row>
    <row r="145" spans="2:12">
      <c r="B145" s="28" t="s">
        <v>42</v>
      </c>
      <c r="C145" s="30">
        <f>'ER 2017'!C33</f>
        <v>1010660000</v>
      </c>
      <c r="D145" s="29">
        <f t="shared" ref="D145:D155" si="43">(C145/$C$144)*100%</f>
        <v>0.87969305705218481</v>
      </c>
      <c r="F145" s="419" t="s">
        <v>47</v>
      </c>
      <c r="G145" s="419"/>
      <c r="H145" s="419"/>
      <c r="I145" s="28">
        <v>0</v>
      </c>
    </row>
    <row r="146" spans="2:12">
      <c r="B146" s="23" t="s">
        <v>5</v>
      </c>
      <c r="C146" s="25">
        <f>'ER 2017'!C35</f>
        <v>138218000</v>
      </c>
      <c r="D146" s="24">
        <f t="shared" si="43"/>
        <v>0.12030694294781517</v>
      </c>
      <c r="F146" s="414" t="s">
        <v>244</v>
      </c>
      <c r="G146" s="414"/>
      <c r="H146" s="414"/>
      <c r="I146" s="60">
        <f>C162-C176</f>
        <v>154916000</v>
      </c>
    </row>
    <row r="147" spans="2:12" ht="20.25" customHeight="1">
      <c r="B147" s="70" t="s">
        <v>43</v>
      </c>
      <c r="C147" s="71">
        <f>'ER 2017'!C50</f>
        <v>76822000</v>
      </c>
      <c r="D147" s="29">
        <f t="shared" si="43"/>
        <v>6.6866978042925365E-2</v>
      </c>
    </row>
    <row r="148" spans="2:12">
      <c r="B148" s="23" t="s">
        <v>6</v>
      </c>
      <c r="C148" s="25">
        <f>'ER 2017'!C56</f>
        <v>1225000</v>
      </c>
      <c r="D148" s="24">
        <f t="shared" si="43"/>
        <v>1.0662576879355336E-3</v>
      </c>
      <c r="E148" s="63"/>
      <c r="F148" s="413" t="s">
        <v>48</v>
      </c>
      <c r="G148" s="413"/>
      <c r="H148" s="413"/>
      <c r="I148" s="413"/>
    </row>
    <row r="149" spans="2:12">
      <c r="B149" s="61" t="s">
        <v>7</v>
      </c>
      <c r="C149" s="30">
        <f>'ER 2017'!C60</f>
        <v>60171000</v>
      </c>
      <c r="D149" s="29">
        <f t="shared" si="43"/>
        <v>5.2373707216954279E-2</v>
      </c>
      <c r="F149" s="415" t="s">
        <v>49</v>
      </c>
      <c r="G149" s="415"/>
      <c r="H149" s="415"/>
      <c r="I149" s="69">
        <f>C144/L150</f>
        <v>40.961259748941544</v>
      </c>
      <c r="L149" s="392" t="s">
        <v>245</v>
      </c>
    </row>
    <row r="150" spans="2:12">
      <c r="B150" s="23" t="s">
        <v>8</v>
      </c>
      <c r="C150" s="25">
        <f>'ER 2017'!C73</f>
        <v>756000</v>
      </c>
      <c r="D150" s="24">
        <f t="shared" si="43"/>
        <v>6.5803331598307221E-4</v>
      </c>
      <c r="F150" s="419" t="s">
        <v>50</v>
      </c>
      <c r="G150" s="419"/>
      <c r="H150" s="419"/>
      <c r="I150" s="72">
        <f>C144/C165</f>
        <v>2.0171077327162563</v>
      </c>
      <c r="L150" s="395">
        <f>(C161+C88)/12</f>
        <v>28047916.666666668</v>
      </c>
    </row>
    <row r="151" spans="2:12">
      <c r="B151" s="28" t="s">
        <v>9</v>
      </c>
      <c r="C151" s="30">
        <f>'ER 2017'!C78</f>
        <v>13083000</v>
      </c>
      <c r="D151" s="29">
        <f t="shared" si="43"/>
        <v>1.1387632107151499E-2</v>
      </c>
      <c r="F151" s="416" t="s">
        <v>277</v>
      </c>
      <c r="G151" s="417"/>
      <c r="H151" s="418"/>
      <c r="I151" s="69">
        <f>360/I149</f>
        <v>8.7887921955159722</v>
      </c>
    </row>
    <row r="152" spans="2:12">
      <c r="B152" s="23" t="s">
        <v>10</v>
      </c>
      <c r="C152" s="25">
        <f>'ER 2017'!C80</f>
        <v>47844000</v>
      </c>
      <c r="D152" s="24">
        <f t="shared" si="43"/>
        <v>4.1644108425785857E-2</v>
      </c>
      <c r="F152" s="419" t="s">
        <v>52</v>
      </c>
      <c r="G152" s="419"/>
      <c r="H152" s="419"/>
      <c r="I152" s="72">
        <f>C144/(C168-C164)</f>
        <v>0.96028478936269268</v>
      </c>
    </row>
    <row r="153" spans="2:12">
      <c r="B153" s="28" t="s">
        <v>12</v>
      </c>
      <c r="C153" s="30">
        <v>0</v>
      </c>
      <c r="D153" s="29">
        <f t="shared" si="43"/>
        <v>0</v>
      </c>
      <c r="F153" s="415" t="s">
        <v>53</v>
      </c>
      <c r="G153" s="415"/>
      <c r="H153" s="415"/>
      <c r="I153" s="69">
        <v>9.1</v>
      </c>
    </row>
    <row r="154" spans="2:12">
      <c r="B154" s="57" t="s">
        <v>13</v>
      </c>
      <c r="C154" s="60">
        <f>'ER 2017'!B83</f>
        <v>16267000.000000002</v>
      </c>
      <c r="D154" s="59">
        <f t="shared" si="43"/>
        <v>1.4159031681344757E-2</v>
      </c>
    </row>
    <row r="155" spans="2:12">
      <c r="B155" s="61" t="s">
        <v>14</v>
      </c>
      <c r="C155" s="30">
        <f>'ER 2017'!C86</f>
        <v>31577000</v>
      </c>
      <c r="D155" s="29">
        <f t="shared" si="43"/>
        <v>2.74850767444411E-2</v>
      </c>
      <c r="F155" s="413" t="s">
        <v>56</v>
      </c>
      <c r="G155" s="413"/>
      <c r="H155" s="413"/>
      <c r="I155" s="413"/>
    </row>
    <row r="156" spans="2:12">
      <c r="B156" s="73"/>
      <c r="C156" s="74"/>
      <c r="D156" s="75"/>
      <c r="F156" s="415" t="s">
        <v>57</v>
      </c>
      <c r="G156" s="415"/>
      <c r="H156" s="415"/>
      <c r="I156" s="24">
        <f>C177/C168</f>
        <v>0.27890689180762723</v>
      </c>
    </row>
    <row r="157" spans="2:12">
      <c r="B157" s="413" t="s">
        <v>54</v>
      </c>
      <c r="C157" s="413"/>
      <c r="D157" s="413"/>
      <c r="F157" s="407" t="s">
        <v>58</v>
      </c>
      <c r="G157" s="407"/>
      <c r="H157" s="407"/>
      <c r="I157" s="76">
        <f>C171/C177</f>
        <v>0.18824080514429287</v>
      </c>
    </row>
    <row r="158" spans="2:12">
      <c r="B158" s="369" t="s">
        <v>0</v>
      </c>
      <c r="C158" s="370">
        <v>43100</v>
      </c>
      <c r="D158" s="369" t="s">
        <v>41</v>
      </c>
      <c r="F158" s="415" t="s">
        <v>59</v>
      </c>
      <c r="G158" s="415"/>
      <c r="H158" s="415"/>
      <c r="I158" s="24">
        <f>C184/C168</f>
        <v>0.72109310819237282</v>
      </c>
    </row>
    <row r="159" spans="2:12">
      <c r="B159" s="23" t="s">
        <v>16</v>
      </c>
      <c r="C159" s="25">
        <f>'ESF 2017'!C12</f>
        <v>13274000</v>
      </c>
      <c r="D159" s="59">
        <f t="shared" ref="D159:D168" si="44">(C159/$C$168)*100%</f>
        <v>1.3138281551572258E-2</v>
      </c>
      <c r="F159" s="407" t="s">
        <v>60</v>
      </c>
      <c r="G159" s="407"/>
      <c r="H159" s="407"/>
      <c r="I159" s="76">
        <f>C184/C177</f>
        <v>2.5854259230343377</v>
      </c>
    </row>
    <row r="160" spans="2:12">
      <c r="B160" s="28" t="s">
        <v>17</v>
      </c>
      <c r="C160" s="30">
        <f>'ESF 2017'!C19</f>
        <v>423430000</v>
      </c>
      <c r="D160" s="29">
        <f t="shared" si="44"/>
        <v>0.41910068987360566</v>
      </c>
      <c r="F160" s="415" t="s">
        <v>61</v>
      </c>
      <c r="G160" s="415"/>
      <c r="H160" s="415"/>
      <c r="I160" s="24">
        <f>C177/C184</f>
        <v>0.38678346615569176</v>
      </c>
    </row>
    <row r="161" spans="2:9">
      <c r="B161" s="57" t="s">
        <v>18</v>
      </c>
      <c r="C161" s="60">
        <f>'ESF 2017'!B15</f>
        <v>221026000</v>
      </c>
      <c r="D161" s="59">
        <f t="shared" si="44"/>
        <v>0.21876614571476646</v>
      </c>
      <c r="F161" s="407" t="s">
        <v>62</v>
      </c>
      <c r="G161" s="407"/>
      <c r="H161" s="407"/>
      <c r="I161" s="76">
        <f>C176/C177</f>
        <v>1</v>
      </c>
    </row>
    <row r="162" spans="2:9">
      <c r="B162" s="61" t="s">
        <v>19</v>
      </c>
      <c r="C162" s="30">
        <f>'ESF 2017'!C21</f>
        <v>436704000</v>
      </c>
      <c r="D162" s="29">
        <f t="shared" si="44"/>
        <v>0.43223897142517792</v>
      </c>
    </row>
    <row r="163" spans="2:9">
      <c r="B163" s="23" t="s">
        <v>20</v>
      </c>
      <c r="C163" s="25">
        <f>'ESF 2017'!B27+'ESF 2017'!B32+'ESF 2017'!B37</f>
        <v>755630000</v>
      </c>
      <c r="D163" s="59">
        <f t="shared" si="44"/>
        <v>0.74790415012916567</v>
      </c>
      <c r="F163" s="413" t="s">
        <v>63</v>
      </c>
      <c r="G163" s="413"/>
      <c r="H163" s="413"/>
      <c r="I163" s="413"/>
    </row>
    <row r="164" spans="2:9">
      <c r="B164" s="28" t="s">
        <v>21</v>
      </c>
      <c r="C164" s="30">
        <f>'ESF 2017'!B28+'ESF 2017'!B33+'ESF 2017'!B38</f>
        <v>-186063000</v>
      </c>
      <c r="D164" s="29">
        <f t="shared" si="44"/>
        <v>-0.18416062078726753</v>
      </c>
      <c r="F164" s="415" t="s">
        <v>64</v>
      </c>
      <c r="G164" s="415"/>
      <c r="H164" s="415"/>
      <c r="I164" s="24">
        <f>C146/C144</f>
        <v>0.12030694294781517</v>
      </c>
    </row>
    <row r="165" spans="2:9">
      <c r="B165" s="23" t="s">
        <v>22</v>
      </c>
      <c r="C165" s="25">
        <f>'ESF 2017'!C29+'ESF 2017'!C34+'ESF 2017'!C39</f>
        <v>569567000</v>
      </c>
      <c r="D165" s="59">
        <f t="shared" si="44"/>
        <v>0.5637435293418982</v>
      </c>
      <c r="F165" s="407" t="s">
        <v>65</v>
      </c>
      <c r="G165" s="407"/>
      <c r="H165" s="407"/>
      <c r="I165" s="76">
        <f>C149/C144</f>
        <v>5.2373707216954279E-2</v>
      </c>
    </row>
    <row r="166" spans="2:9">
      <c r="B166" s="28" t="s">
        <v>23</v>
      </c>
      <c r="C166" s="30">
        <f>'ESF 2017'!C43</f>
        <v>4059000</v>
      </c>
      <c r="D166" s="29">
        <f t="shared" si="44"/>
        <v>4.0174992329238962E-3</v>
      </c>
      <c r="F166" s="415" t="s">
        <v>66</v>
      </c>
      <c r="G166" s="415"/>
      <c r="H166" s="415"/>
      <c r="I166" s="24">
        <f>C155/C144</f>
        <v>2.74850767444411E-2</v>
      </c>
    </row>
    <row r="167" spans="2:9">
      <c r="B167" s="62" t="s">
        <v>24</v>
      </c>
      <c r="C167" s="60">
        <f>'ESF 2017'!C45</f>
        <v>573626000</v>
      </c>
      <c r="D167" s="59">
        <f t="shared" si="44"/>
        <v>0.56776102857482214</v>
      </c>
      <c r="F167" s="407" t="s">
        <v>67</v>
      </c>
      <c r="G167" s="407"/>
      <c r="H167" s="407"/>
      <c r="I167" s="76">
        <f>C155/C184</f>
        <v>4.3342731098550254E-2</v>
      </c>
    </row>
    <row r="168" spans="2:9">
      <c r="B168" s="61" t="s">
        <v>25</v>
      </c>
      <c r="C168" s="30">
        <f>'ESF 2017'!C47</f>
        <v>1010330000</v>
      </c>
      <c r="D168" s="29">
        <f t="shared" si="44"/>
        <v>1</v>
      </c>
      <c r="F168" s="415" t="s">
        <v>68</v>
      </c>
      <c r="G168" s="415"/>
      <c r="H168" s="415"/>
      <c r="I168" s="24">
        <f>C155/C168</f>
        <v>3.1254144685399818E-2</v>
      </c>
    </row>
    <row r="169" spans="2:9">
      <c r="F169" s="425"/>
      <c r="G169" s="425"/>
      <c r="H169" s="425"/>
      <c r="I169" s="68"/>
    </row>
    <row r="170" spans="2:9">
      <c r="B170" s="371" t="s">
        <v>0</v>
      </c>
      <c r="C170" s="370">
        <v>43100</v>
      </c>
      <c r="D170" s="369" t="s">
        <v>55</v>
      </c>
      <c r="F170" s="425"/>
      <c r="G170" s="425"/>
      <c r="H170" s="425"/>
      <c r="I170" s="68"/>
    </row>
    <row r="171" spans="2:9">
      <c r="B171" s="23" t="s">
        <v>26</v>
      </c>
      <c r="C171" s="25">
        <f>'ESF 2017'!C58</f>
        <v>53044000</v>
      </c>
      <c r="D171" s="35">
        <f t="shared" ref="D171:D177" si="45">(C171/$C$185)*100%</f>
        <v>5.2501657874159925E-2</v>
      </c>
      <c r="F171" s="77"/>
      <c r="G171" s="77"/>
      <c r="H171" s="77"/>
      <c r="I171" s="68"/>
    </row>
    <row r="172" spans="2:9">
      <c r="B172" s="28" t="s">
        <v>27</v>
      </c>
      <c r="C172" s="30">
        <f>'ESF 2017'!C62</f>
        <v>30699000</v>
      </c>
      <c r="D172" s="29">
        <f t="shared" si="45"/>
        <v>3.0385121692912218E-2</v>
      </c>
      <c r="F172" s="425"/>
      <c r="G172" s="425"/>
      <c r="H172" s="425"/>
      <c r="I172" s="68"/>
    </row>
    <row r="173" spans="2:9">
      <c r="B173" s="23" t="s">
        <v>28</v>
      </c>
      <c r="C173" s="25">
        <f>'ESF 2017'!C66</f>
        <v>1064000</v>
      </c>
      <c r="D173" s="35">
        <f t="shared" si="45"/>
        <v>1.053121257410945E-3</v>
      </c>
      <c r="F173" s="77"/>
      <c r="G173" s="77"/>
      <c r="H173" s="77"/>
      <c r="I173" s="68"/>
    </row>
    <row r="174" spans="2:9">
      <c r="B174" s="28" t="s">
        <v>29</v>
      </c>
      <c r="C174" s="30">
        <f>'ESF 2017'!C75</f>
        <v>16267000.000000002</v>
      </c>
      <c r="D174" s="29">
        <f t="shared" si="45"/>
        <v>1.6100679975849477E-2</v>
      </c>
      <c r="F174" s="77"/>
      <c r="G174" s="77"/>
      <c r="H174" s="77"/>
      <c r="I174" s="68"/>
    </row>
    <row r="175" spans="2:9">
      <c r="B175" s="34" t="s">
        <v>243</v>
      </c>
      <c r="C175" s="36">
        <f>'ESF 2017'!C71</f>
        <v>180714000</v>
      </c>
      <c r="D175" s="35">
        <f t="shared" si="45"/>
        <v>0.17886631100729464</v>
      </c>
      <c r="F175" s="77"/>
      <c r="G175" s="77"/>
      <c r="H175" s="77"/>
      <c r="I175" s="68"/>
    </row>
    <row r="176" spans="2:9">
      <c r="B176" s="61" t="s">
        <v>31</v>
      </c>
      <c r="C176" s="30">
        <f>SUM(C171:C175)</f>
        <v>281788000</v>
      </c>
      <c r="D176" s="29">
        <f t="shared" si="45"/>
        <v>0.27890689180762723</v>
      </c>
      <c r="F176" s="77"/>
      <c r="G176" s="77"/>
      <c r="H176" s="77"/>
      <c r="I176" s="68"/>
    </row>
    <row r="177" spans="2:4">
      <c r="B177" s="78" t="s">
        <v>32</v>
      </c>
      <c r="C177" s="36">
        <f>+C176</f>
        <v>281788000</v>
      </c>
      <c r="D177" s="35">
        <f t="shared" si="45"/>
        <v>0.27890689180762723</v>
      </c>
    </row>
    <row r="179" spans="2:4">
      <c r="B179" s="368" t="s">
        <v>0</v>
      </c>
      <c r="C179" s="370">
        <v>43100</v>
      </c>
      <c r="D179" s="369" t="s">
        <v>55</v>
      </c>
    </row>
    <row r="180" spans="2:4">
      <c r="B180" s="23" t="s">
        <v>34</v>
      </c>
      <c r="C180" s="25">
        <f>'ESF 2017'!B81</f>
        <v>620000000</v>
      </c>
      <c r="D180" s="35">
        <f t="shared" ref="D180:D185" si="46">(C180/$C$185)*100%</f>
        <v>0.61366088307780631</v>
      </c>
    </row>
    <row r="181" spans="2:4">
      <c r="B181" s="28" t="s">
        <v>35</v>
      </c>
      <c r="C181" s="30">
        <f>'ESF 2017'!B85</f>
        <v>7696000</v>
      </c>
      <c r="D181" s="29">
        <f t="shared" si="46"/>
        <v>7.6173131551077371E-3</v>
      </c>
    </row>
    <row r="182" spans="2:4">
      <c r="B182" s="57" t="s">
        <v>36</v>
      </c>
      <c r="C182" s="60">
        <f>'ESF 2017'!B89</f>
        <v>31577000</v>
      </c>
      <c r="D182" s="59">
        <f t="shared" si="46"/>
        <v>3.1254144685399818E-2</v>
      </c>
    </row>
    <row r="183" spans="2:4">
      <c r="B183" s="28" t="s">
        <v>37</v>
      </c>
      <c r="C183" s="30">
        <f>'ESF 2017'!C94</f>
        <v>69269000</v>
      </c>
      <c r="D183" s="29">
        <f t="shared" si="46"/>
        <v>6.8560767274058965E-2</v>
      </c>
    </row>
    <row r="184" spans="2:4">
      <c r="B184" s="65" t="s">
        <v>38</v>
      </c>
      <c r="C184" s="25">
        <f>'ESF 2017'!C96</f>
        <v>728542000</v>
      </c>
      <c r="D184" s="35">
        <f t="shared" si="46"/>
        <v>0.72109310819237282</v>
      </c>
    </row>
    <row r="185" spans="2:4">
      <c r="B185" s="61" t="s">
        <v>39</v>
      </c>
      <c r="C185" s="30">
        <f>'ESF 2017'!C98</f>
        <v>1010330000</v>
      </c>
      <c r="D185" s="29">
        <f t="shared" si="46"/>
        <v>1</v>
      </c>
    </row>
    <row r="187" spans="2:4">
      <c r="B187" s="66"/>
      <c r="C187" s="67"/>
      <c r="D187" s="68"/>
    </row>
    <row r="188" spans="2:4">
      <c r="B188" s="66"/>
      <c r="C188" s="67"/>
      <c r="D188" s="68"/>
    </row>
    <row r="189" spans="2:4">
      <c r="B189" s="66"/>
      <c r="C189" s="67"/>
      <c r="D189" s="68"/>
    </row>
    <row r="190" spans="2:4">
      <c r="B190" s="66"/>
      <c r="C190" s="67"/>
      <c r="D190" s="68"/>
    </row>
    <row r="191" spans="2:4">
      <c r="B191" s="66"/>
      <c r="C191" s="67"/>
      <c r="D191" s="68"/>
    </row>
    <row r="192" spans="2:4">
      <c r="B192" s="66"/>
      <c r="C192" s="67"/>
      <c r="D192" s="68"/>
    </row>
    <row r="193" spans="2:4">
      <c r="B193" s="66"/>
      <c r="C193" s="67"/>
      <c r="D193" s="68"/>
    </row>
    <row r="194" spans="2:4">
      <c r="B194" s="66"/>
      <c r="C194" s="67"/>
      <c r="D194" s="68"/>
    </row>
    <row r="195" spans="2:4">
      <c r="B195" s="66"/>
      <c r="C195" s="67"/>
      <c r="D195" s="68"/>
    </row>
    <row r="196" spans="2:4">
      <c r="B196" s="66"/>
      <c r="C196" s="67"/>
      <c r="D196" s="68"/>
    </row>
    <row r="197" spans="2:4">
      <c r="B197" s="66"/>
      <c r="C197" s="67"/>
      <c r="D197" s="68"/>
    </row>
    <row r="198" spans="2:4">
      <c r="B198" s="66"/>
      <c r="C198" s="67"/>
      <c r="D198" s="68"/>
    </row>
    <row r="199" spans="2:4">
      <c r="B199" s="66"/>
      <c r="C199" s="67"/>
      <c r="D199" s="68"/>
    </row>
    <row r="200" spans="2:4">
      <c r="B200" s="66"/>
      <c r="C200" s="67"/>
      <c r="D200" s="68"/>
    </row>
    <row r="201" spans="2:4">
      <c r="B201" s="66"/>
      <c r="C201" s="67"/>
      <c r="D201" s="68"/>
    </row>
    <row r="202" spans="2:4">
      <c r="B202" s="66"/>
      <c r="C202" s="67"/>
      <c r="D202" s="68"/>
    </row>
    <row r="203" spans="2:4">
      <c r="B203" s="66"/>
      <c r="C203" s="67"/>
      <c r="D203" s="68"/>
    </row>
    <row r="204" spans="2:4">
      <c r="B204" s="66"/>
      <c r="C204" s="67"/>
      <c r="D204" s="68"/>
    </row>
    <row r="205" spans="2:4">
      <c r="B205" s="66"/>
      <c r="C205" s="67"/>
      <c r="D205" s="68"/>
    </row>
    <row r="206" spans="2:4">
      <c r="B206" s="66"/>
      <c r="C206" s="67"/>
      <c r="D206" s="68"/>
    </row>
    <row r="207" spans="2:4">
      <c r="B207" s="66"/>
      <c r="C207" s="67"/>
      <c r="D207" s="68"/>
    </row>
    <row r="208" spans="2:4">
      <c r="B208" s="66"/>
      <c r="C208" s="67"/>
      <c r="D208" s="68"/>
    </row>
    <row r="209" spans="2:9">
      <c r="B209" s="66"/>
      <c r="C209" s="67"/>
      <c r="D209" s="68"/>
    </row>
    <row r="210" spans="2:9">
      <c r="B210" s="66"/>
      <c r="C210" s="67"/>
      <c r="D210" s="68"/>
    </row>
    <row r="211" spans="2:9">
      <c r="B211" s="66"/>
      <c r="C211" s="67"/>
      <c r="D211" s="68"/>
    </row>
    <row r="212" spans="2:9">
      <c r="B212" s="66"/>
      <c r="C212" s="67"/>
      <c r="D212" s="68"/>
    </row>
    <row r="213" spans="2:9">
      <c r="B213" s="66"/>
      <c r="C213" s="67"/>
      <c r="D213" s="68"/>
    </row>
    <row r="214" spans="2:9">
      <c r="B214" s="66"/>
      <c r="C214" s="67"/>
      <c r="D214" s="68"/>
    </row>
    <row r="215" spans="2:9">
      <c r="B215" s="66"/>
      <c r="C215" s="67"/>
      <c r="D215" s="68"/>
    </row>
    <row r="216" spans="2:9">
      <c r="B216" s="66"/>
      <c r="C216" s="67"/>
      <c r="D216" s="68"/>
    </row>
    <row r="217" spans="2:9">
      <c r="B217" s="66"/>
      <c r="C217" s="67"/>
      <c r="D217" s="68"/>
    </row>
    <row r="218" spans="2:9">
      <c r="B218" s="66"/>
      <c r="C218" s="67"/>
      <c r="D218" s="68"/>
    </row>
    <row r="219" spans="2:9">
      <c r="B219" s="66"/>
      <c r="C219" s="67"/>
      <c r="D219" s="68"/>
    </row>
    <row r="220" spans="2:9">
      <c r="B220" s="66"/>
      <c r="C220" s="67"/>
      <c r="D220" s="68"/>
    </row>
    <row r="221" spans="2:9">
      <c r="B221" s="426" t="s">
        <v>247</v>
      </c>
      <c r="C221" s="426"/>
      <c r="D221" s="426"/>
      <c r="E221" s="426"/>
      <c r="F221" s="426"/>
      <c r="G221" s="426"/>
      <c r="H221" s="426"/>
      <c r="I221" s="426"/>
    </row>
    <row r="223" spans="2:9">
      <c r="B223" s="413" t="s">
        <v>40</v>
      </c>
      <c r="C223" s="413"/>
      <c r="D223" s="413"/>
      <c r="F223" s="413" t="s">
        <v>44</v>
      </c>
      <c r="G223" s="413"/>
      <c r="H223" s="413"/>
      <c r="I223" s="413"/>
    </row>
    <row r="224" spans="2:9">
      <c r="B224" s="424"/>
      <c r="C224" s="424"/>
      <c r="D224" s="424"/>
      <c r="F224" s="424"/>
      <c r="G224" s="424"/>
      <c r="H224" s="424"/>
      <c r="I224" s="424"/>
    </row>
    <row r="225" spans="2:12">
      <c r="B225" s="369" t="s">
        <v>0</v>
      </c>
      <c r="C225" s="370">
        <v>42735</v>
      </c>
      <c r="D225" s="369" t="s">
        <v>41</v>
      </c>
      <c r="F225" s="413" t="s">
        <v>45</v>
      </c>
      <c r="G225" s="413"/>
      <c r="H225" s="413"/>
      <c r="I225" s="413"/>
    </row>
    <row r="226" spans="2:12">
      <c r="B226" s="65" t="s">
        <v>3</v>
      </c>
      <c r="C226" s="25">
        <f>' ER 2016'!C10</f>
        <v>663086000</v>
      </c>
      <c r="D226" s="24">
        <f>(C226/$C$226)*100%</f>
        <v>1</v>
      </c>
      <c r="F226" s="415" t="s">
        <v>46</v>
      </c>
      <c r="G226" s="415"/>
      <c r="H226" s="415"/>
      <c r="I226" s="69">
        <f>C245/C259</f>
        <v>0.84560710760118463</v>
      </c>
    </row>
    <row r="227" spans="2:12">
      <c r="B227" s="28" t="s">
        <v>42</v>
      </c>
      <c r="C227" s="30">
        <f>' ER 2016'!C31</f>
        <v>569555000</v>
      </c>
      <c r="D227" s="29">
        <f t="shared" ref="D227:D237" si="47">(C227/$C$226)*100%</f>
        <v>0.85894589842041602</v>
      </c>
      <c r="F227" s="419" t="s">
        <v>47</v>
      </c>
      <c r="G227" s="419"/>
      <c r="H227" s="419"/>
      <c r="I227" s="28">
        <v>0</v>
      </c>
    </row>
    <row r="228" spans="2:12">
      <c r="B228" s="23" t="s">
        <v>5</v>
      </c>
      <c r="C228" s="25">
        <f>' ER 2016'!C33</f>
        <v>93531000</v>
      </c>
      <c r="D228" s="24">
        <f t="shared" si="47"/>
        <v>0.14105410157958395</v>
      </c>
      <c r="F228" s="414" t="s">
        <v>244</v>
      </c>
      <c r="G228" s="414"/>
      <c r="H228" s="414"/>
      <c r="I228" s="60">
        <f>C245-C259</f>
        <v>-25024000</v>
      </c>
    </row>
    <row r="229" spans="2:12" ht="19.5" customHeight="1">
      <c r="B229" s="70" t="s">
        <v>43</v>
      </c>
      <c r="C229" s="71">
        <f>' ER 2016'!C44</f>
        <v>54863000</v>
      </c>
      <c r="D229" s="29">
        <f t="shared" si="47"/>
        <v>8.273889058131223E-2</v>
      </c>
    </row>
    <row r="230" spans="2:12">
      <c r="B230" s="23" t="s">
        <v>6</v>
      </c>
      <c r="C230" s="25">
        <f>' ER 2016'!C48</f>
        <v>285000</v>
      </c>
      <c r="D230" s="24">
        <f t="shared" si="47"/>
        <v>4.298085014613489E-4</v>
      </c>
      <c r="F230" s="413" t="s">
        <v>48</v>
      </c>
      <c r="G230" s="413"/>
      <c r="H230" s="413"/>
      <c r="I230" s="413"/>
    </row>
    <row r="231" spans="2:12">
      <c r="B231" s="61" t="s">
        <v>7</v>
      </c>
      <c r="C231" s="30">
        <f>' ER 2016'!C52</f>
        <v>38383000</v>
      </c>
      <c r="D231" s="29">
        <f t="shared" si="47"/>
        <v>5.7885402496810366E-2</v>
      </c>
      <c r="F231" s="423" t="s">
        <v>49</v>
      </c>
      <c r="G231" s="423"/>
      <c r="H231" s="423"/>
      <c r="I231" s="81">
        <f>C226/L232</f>
        <v>51.873163226723335</v>
      </c>
      <c r="L231" s="392" t="s">
        <v>245</v>
      </c>
    </row>
    <row r="232" spans="2:12">
      <c r="B232" s="23" t="s">
        <v>8</v>
      </c>
      <c r="C232" s="25">
        <f>'ER 2017'!C121</f>
        <v>0</v>
      </c>
      <c r="D232" s="24">
        <f t="shared" si="47"/>
        <v>0</v>
      </c>
      <c r="F232" s="419" t="s">
        <v>50</v>
      </c>
      <c r="G232" s="419"/>
      <c r="H232" s="419"/>
      <c r="I232" s="72">
        <f>C226/C248</f>
        <v>0.92028812524288017</v>
      </c>
      <c r="L232" s="395">
        <f>(C244+F88)/12</f>
        <v>12782833.333333334</v>
      </c>
    </row>
    <row r="233" spans="2:12">
      <c r="B233" s="28" t="s">
        <v>9</v>
      </c>
      <c r="C233" s="30">
        <f>' ER 2016'!C63</f>
        <v>2394000</v>
      </c>
      <c r="D233" s="29">
        <f t="shared" si="47"/>
        <v>3.6103914122753307E-3</v>
      </c>
      <c r="F233" s="423" t="s">
        <v>51</v>
      </c>
      <c r="G233" s="423"/>
      <c r="H233" s="423"/>
      <c r="I233" s="81">
        <f>360/I231</f>
        <v>6.9400047655960169</v>
      </c>
    </row>
    <row r="234" spans="2:12">
      <c r="B234" s="23" t="s">
        <v>10</v>
      </c>
      <c r="C234" s="25">
        <f>' ER 2016'!C65</f>
        <v>35989000</v>
      </c>
      <c r="D234" s="24">
        <f t="shared" si="47"/>
        <v>5.4275011084535037E-2</v>
      </c>
      <c r="F234" s="419" t="s">
        <v>52</v>
      </c>
      <c r="G234" s="419"/>
      <c r="H234" s="419"/>
      <c r="I234" s="72">
        <f>C226/(C251-C247)</f>
        <v>0.74157836169344238</v>
      </c>
    </row>
    <row r="235" spans="2:12">
      <c r="B235" s="28" t="s">
        <v>12</v>
      </c>
      <c r="C235" s="30">
        <f>' ER 2016'!B69</f>
        <v>3239000</v>
      </c>
      <c r="D235" s="29">
        <f t="shared" si="47"/>
        <v>4.8847359166081022E-3</v>
      </c>
      <c r="F235" s="423" t="s">
        <v>53</v>
      </c>
      <c r="G235" s="423"/>
      <c r="H235" s="423"/>
      <c r="I235" s="81">
        <v>9.1</v>
      </c>
    </row>
    <row r="236" spans="2:12">
      <c r="B236" s="57" t="s">
        <v>13</v>
      </c>
      <c r="C236" s="60">
        <f>' ER 2016'!B68</f>
        <v>8997000</v>
      </c>
      <c r="D236" s="59">
        <f t="shared" si="47"/>
        <v>1.3568375746132478E-2</v>
      </c>
      <c r="F236" s="3"/>
      <c r="G236" s="3"/>
      <c r="H236" s="3"/>
      <c r="I236" s="12"/>
    </row>
    <row r="237" spans="2:12">
      <c r="B237" s="61" t="s">
        <v>14</v>
      </c>
      <c r="C237" s="30">
        <f>' ER 2016'!C72</f>
        <v>23753000</v>
      </c>
      <c r="D237" s="29">
        <f t="shared" si="47"/>
        <v>3.5821899421794458E-2</v>
      </c>
      <c r="F237" s="413" t="s">
        <v>56</v>
      </c>
      <c r="G237" s="413"/>
      <c r="H237" s="413"/>
      <c r="I237" s="413"/>
    </row>
    <row r="238" spans="2:12">
      <c r="B238" s="73"/>
      <c r="C238" s="74"/>
      <c r="D238" s="75"/>
      <c r="F238" s="415" t="s">
        <v>57</v>
      </c>
      <c r="G238" s="415"/>
      <c r="H238" s="415"/>
      <c r="I238" s="24">
        <f>C260/C251</f>
        <v>0.18867463287720668</v>
      </c>
    </row>
    <row r="239" spans="2:12">
      <c r="F239" s="419" t="s">
        <v>58</v>
      </c>
      <c r="G239" s="419"/>
      <c r="H239" s="419"/>
      <c r="I239" s="29">
        <f>C254/C260</f>
        <v>0</v>
      </c>
    </row>
    <row r="240" spans="2:12">
      <c r="B240" s="413" t="s">
        <v>54</v>
      </c>
      <c r="C240" s="413"/>
      <c r="D240" s="413"/>
      <c r="F240" s="415" t="s">
        <v>59</v>
      </c>
      <c r="G240" s="415"/>
      <c r="H240" s="415"/>
      <c r="I240" s="24">
        <f>C267/C251</f>
        <v>0.81132536712279335</v>
      </c>
    </row>
    <row r="241" spans="2:9">
      <c r="B241" s="369" t="s">
        <v>0</v>
      </c>
      <c r="C241" s="370">
        <v>42735</v>
      </c>
      <c r="D241" s="369" t="s">
        <v>41</v>
      </c>
      <c r="F241" s="419" t="s">
        <v>60</v>
      </c>
      <c r="G241" s="419"/>
      <c r="H241" s="419"/>
      <c r="I241" s="29">
        <f>C267/C260</f>
        <v>4.3001295656465945</v>
      </c>
    </row>
    <row r="242" spans="2:9">
      <c r="B242" s="23" t="s">
        <v>16</v>
      </c>
      <c r="C242" s="25">
        <f>'ESF 2016'!C12</f>
        <v>3653000</v>
      </c>
      <c r="D242" s="59">
        <f>(C242/$C$251)*100%</f>
        <v>4.2523965566413869E-3</v>
      </c>
      <c r="F242" s="415" t="s">
        <v>61</v>
      </c>
      <c r="G242" s="415"/>
      <c r="H242" s="415"/>
      <c r="I242" s="24">
        <f>C260/C267</f>
        <v>0.23255113240980538</v>
      </c>
    </row>
    <row r="243" spans="2:9">
      <c r="B243" s="28" t="s">
        <v>17</v>
      </c>
      <c r="C243" s="30">
        <f>'ESF 2016'!C18</f>
        <v>133403000</v>
      </c>
      <c r="D243" s="29">
        <f t="shared" ref="D243:D251" si="48">(C243/$C$251)*100%</f>
        <v>0.15529221402836871</v>
      </c>
      <c r="F243" s="419" t="s">
        <v>62</v>
      </c>
      <c r="G243" s="419"/>
      <c r="H243" s="419"/>
      <c r="I243" s="29">
        <f>C259/C260</f>
        <v>1</v>
      </c>
    </row>
    <row r="244" spans="2:9">
      <c r="B244" s="57" t="s">
        <v>18</v>
      </c>
      <c r="C244" s="60">
        <f>'ESF 2016'!B15</f>
        <v>115549000</v>
      </c>
      <c r="D244" s="59">
        <f t="shared" si="48"/>
        <v>0.13450866951091037</v>
      </c>
    </row>
    <row r="245" spans="2:9">
      <c r="B245" s="61" t="s">
        <v>19</v>
      </c>
      <c r="C245" s="30">
        <f>'ESF 2016'!C20</f>
        <v>137056000</v>
      </c>
      <c r="D245" s="29">
        <f t="shared" si="48"/>
        <v>0.1595446105850101</v>
      </c>
      <c r="F245" s="413" t="s">
        <v>63</v>
      </c>
      <c r="G245" s="413"/>
      <c r="H245" s="413"/>
      <c r="I245" s="413"/>
    </row>
    <row r="246" spans="2:9">
      <c r="B246" s="57" t="s">
        <v>20</v>
      </c>
      <c r="C246" s="60">
        <f>'ESF 2016'!B25+'ESF 2016'!B29+'ESF 2016'!B33</f>
        <v>755630000</v>
      </c>
      <c r="D246" s="59">
        <f t="shared" si="48"/>
        <v>0.87961631812070384</v>
      </c>
      <c r="F246" s="415" t="s">
        <v>64</v>
      </c>
      <c r="G246" s="415"/>
      <c r="H246" s="415"/>
      <c r="I246" s="24">
        <f>C228/C226</f>
        <v>0.14105410157958395</v>
      </c>
    </row>
    <row r="247" spans="2:9">
      <c r="B247" s="28" t="s">
        <v>21</v>
      </c>
      <c r="C247" s="30">
        <f>'ESF 2016'!B34</f>
        <v>-35110000</v>
      </c>
      <c r="D247" s="29">
        <f t="shared" si="48"/>
        <v>-4.0870967178669337E-2</v>
      </c>
      <c r="E247" s="63"/>
      <c r="F247" s="419" t="s">
        <v>65</v>
      </c>
      <c r="G247" s="419"/>
      <c r="H247" s="419"/>
      <c r="I247" s="29">
        <f>C231/C226</f>
        <v>5.7885402496810366E-2</v>
      </c>
    </row>
    <row r="248" spans="2:9">
      <c r="B248" s="23" t="s">
        <v>22</v>
      </c>
      <c r="C248" s="25">
        <f>'ESF 2016'!C37</f>
        <v>720520000</v>
      </c>
      <c r="D248" s="59">
        <f t="shared" si="48"/>
        <v>0.83874535094203451</v>
      </c>
      <c r="F248" s="415" t="s">
        <v>66</v>
      </c>
      <c r="G248" s="415"/>
      <c r="H248" s="415"/>
      <c r="I248" s="24">
        <f>C237/C226</f>
        <v>3.5821899421794458E-2</v>
      </c>
    </row>
    <row r="249" spans="2:9">
      <c r="B249" s="28" t="s">
        <v>23</v>
      </c>
      <c r="C249" s="30">
        <f>'ESF 2016'!C41</f>
        <v>1469000</v>
      </c>
      <c r="D249" s="29">
        <f t="shared" si="48"/>
        <v>1.7100384729554332E-3</v>
      </c>
      <c r="F249" s="419" t="s">
        <v>67</v>
      </c>
      <c r="G249" s="419"/>
      <c r="H249" s="419"/>
      <c r="I249" s="29">
        <f>C237/C267</f>
        <v>3.4080620978097893E-2</v>
      </c>
    </row>
    <row r="250" spans="2:9">
      <c r="B250" s="62" t="s">
        <v>24</v>
      </c>
      <c r="C250" s="60">
        <f>'ESF 2016'!C43</f>
        <v>721989000</v>
      </c>
      <c r="D250" s="59">
        <f t="shared" si="48"/>
        <v>0.84045538941498987</v>
      </c>
      <c r="F250" s="415" t="s">
        <v>68</v>
      </c>
      <c r="G250" s="415"/>
      <c r="H250" s="415"/>
      <c r="I250" s="24">
        <f>C237/C251</f>
        <v>2.7650472326828046E-2</v>
      </c>
    </row>
    <row r="251" spans="2:9">
      <c r="B251" s="61" t="s">
        <v>25</v>
      </c>
      <c r="C251" s="30">
        <f>'ESF 2016'!C45</f>
        <v>859045000</v>
      </c>
      <c r="D251" s="29">
        <f t="shared" si="48"/>
        <v>1</v>
      </c>
      <c r="F251" s="425"/>
      <c r="G251" s="425"/>
      <c r="H251" s="425"/>
      <c r="I251" s="68"/>
    </row>
    <row r="252" spans="2:9">
      <c r="F252" s="77"/>
      <c r="G252" s="77"/>
      <c r="H252" s="77"/>
      <c r="I252" s="68"/>
    </row>
    <row r="253" spans="2:9">
      <c r="B253" s="371" t="s">
        <v>0</v>
      </c>
      <c r="C253" s="370">
        <v>42735</v>
      </c>
      <c r="D253" s="369" t="s">
        <v>55</v>
      </c>
      <c r="F253" s="77"/>
      <c r="G253" s="77"/>
      <c r="H253" s="77"/>
      <c r="I253" s="68"/>
    </row>
    <row r="254" spans="2:9">
      <c r="B254" s="23" t="s">
        <v>26</v>
      </c>
      <c r="C254" s="25">
        <f>'ESF 2017'!C102</f>
        <v>0</v>
      </c>
      <c r="D254" s="35">
        <f>(C254/$C$268)*100%</f>
        <v>0</v>
      </c>
      <c r="F254" s="77"/>
      <c r="G254" s="77"/>
      <c r="H254" s="77"/>
      <c r="I254" s="68"/>
    </row>
    <row r="255" spans="2:9">
      <c r="B255" s="28" t="s">
        <v>27</v>
      </c>
      <c r="C255" s="30">
        <f>'ESF 2016'!C57</f>
        <v>38622000</v>
      </c>
      <c r="D255" s="29">
        <f t="shared" ref="D255:D260" si="49">(C255/$C$268)*100%</f>
        <v>4.4959227979907923E-2</v>
      </c>
      <c r="F255" s="77"/>
      <c r="G255" s="77"/>
      <c r="H255" s="77"/>
      <c r="I255" s="68"/>
    </row>
    <row r="256" spans="2:9">
      <c r="B256" s="23" t="s">
        <v>28</v>
      </c>
      <c r="C256" s="25">
        <f>'ESF 2016'!C64</f>
        <v>71364000</v>
      </c>
      <c r="D256" s="35">
        <f t="shared" si="49"/>
        <v>8.3073645734507512E-2</v>
      </c>
      <c r="F256" s="77"/>
      <c r="G256" s="77"/>
      <c r="H256" s="77"/>
      <c r="I256" s="68"/>
    </row>
    <row r="257" spans="2:9">
      <c r="B257" s="28" t="s">
        <v>29</v>
      </c>
      <c r="C257" s="30">
        <f>'ESF 2016'!C77</f>
        <v>12236000</v>
      </c>
      <c r="D257" s="29">
        <f t="shared" si="49"/>
        <v>1.4243724135522585E-2</v>
      </c>
      <c r="F257" s="425"/>
      <c r="G257" s="425"/>
      <c r="H257" s="425"/>
      <c r="I257" s="68"/>
    </row>
    <row r="258" spans="2:9">
      <c r="B258" s="34" t="s">
        <v>243</v>
      </c>
      <c r="C258" s="36">
        <f>'ESF 2016'!C72+'ESF 2016'!C68</f>
        <v>39858000</v>
      </c>
      <c r="D258" s="35">
        <f t="shared" si="49"/>
        <v>4.639803502726865E-2</v>
      </c>
      <c r="F258" s="425"/>
      <c r="G258" s="425"/>
      <c r="H258" s="425"/>
      <c r="I258" s="68"/>
    </row>
    <row r="259" spans="2:9">
      <c r="B259" s="61" t="s">
        <v>31</v>
      </c>
      <c r="C259" s="30">
        <f>SUM(C254:C258)</f>
        <v>162080000</v>
      </c>
      <c r="D259" s="29">
        <f t="shared" si="49"/>
        <v>0.18867463287720668</v>
      </c>
    </row>
    <row r="260" spans="2:9">
      <c r="B260" s="78" t="s">
        <v>32</v>
      </c>
      <c r="C260" s="36">
        <f>+C259</f>
        <v>162080000</v>
      </c>
      <c r="D260" s="35">
        <f t="shared" si="49"/>
        <v>0.18867463287720668</v>
      </c>
    </row>
    <row r="262" spans="2:9">
      <c r="B262" s="368" t="s">
        <v>0</v>
      </c>
      <c r="C262" s="370">
        <v>42735</v>
      </c>
      <c r="D262" s="369" t="s">
        <v>55</v>
      </c>
    </row>
    <row r="263" spans="2:9">
      <c r="B263" s="23" t="s">
        <v>34</v>
      </c>
      <c r="C263" s="25">
        <f>'ESF 2016'!C84</f>
        <v>620000000</v>
      </c>
      <c r="D263" s="35">
        <f>(C263/$C$268)*100%</f>
        <v>0.72173169042366814</v>
      </c>
    </row>
    <row r="264" spans="2:9">
      <c r="B264" s="28" t="s">
        <v>35</v>
      </c>
      <c r="C264" s="30">
        <f>'ESF 2016'!C88</f>
        <v>5321000</v>
      </c>
      <c r="D264" s="29">
        <f t="shared" ref="D264:D268" si="50">(C264/$C$268)*100%</f>
        <v>6.194087620555384E-3</v>
      </c>
    </row>
    <row r="265" spans="2:9">
      <c r="B265" s="57" t="s">
        <v>36</v>
      </c>
      <c r="C265" s="60">
        <f>'ESF 2016'!C92</f>
        <v>23753000</v>
      </c>
      <c r="D265" s="59">
        <f t="shared" si="50"/>
        <v>2.7650472326828046E-2</v>
      </c>
    </row>
    <row r="266" spans="2:9">
      <c r="B266" s="28" t="s">
        <v>37</v>
      </c>
      <c r="C266" s="30">
        <f>'ESF 2016'!C96</f>
        <v>47891000</v>
      </c>
      <c r="D266" s="29">
        <f t="shared" si="50"/>
        <v>5.574911675174176E-2</v>
      </c>
    </row>
    <row r="267" spans="2:9">
      <c r="B267" s="65" t="s">
        <v>38</v>
      </c>
      <c r="C267" s="25">
        <f>'ESF 2016'!C98</f>
        <v>696965000</v>
      </c>
      <c r="D267" s="35">
        <f t="shared" si="50"/>
        <v>0.81132536712279335</v>
      </c>
    </row>
    <row r="268" spans="2:9">
      <c r="B268" s="61" t="s">
        <v>39</v>
      </c>
      <c r="C268" s="30">
        <f>'ESF 2016'!C100</f>
        <v>859045000</v>
      </c>
      <c r="D268" s="29">
        <f t="shared" si="50"/>
        <v>1</v>
      </c>
    </row>
    <row r="269" spans="2:9">
      <c r="B269" s="66"/>
      <c r="C269" s="67"/>
      <c r="D269" s="68"/>
    </row>
    <row r="270" spans="2:9">
      <c r="B270" s="66"/>
      <c r="C270" s="67"/>
      <c r="D270" s="68"/>
    </row>
    <row r="271" spans="2:9">
      <c r="B271" s="66"/>
      <c r="C271" s="67"/>
      <c r="D271" s="68"/>
    </row>
    <row r="272" spans="2:9">
      <c r="B272" s="66"/>
      <c r="C272" s="67"/>
      <c r="D272" s="68"/>
    </row>
    <row r="273" spans="2:4">
      <c r="B273" s="66"/>
      <c r="C273" s="67"/>
      <c r="D273" s="68"/>
    </row>
    <row r="274" spans="2:4">
      <c r="B274" s="66"/>
      <c r="C274" s="67"/>
      <c r="D274" s="68"/>
    </row>
    <row r="275" spans="2:4">
      <c r="B275" s="66"/>
      <c r="C275" s="67"/>
      <c r="D275" s="68"/>
    </row>
    <row r="276" spans="2:4">
      <c r="B276" s="66"/>
      <c r="C276" s="67"/>
      <c r="D276" s="68"/>
    </row>
    <row r="277" spans="2:4">
      <c r="B277" s="66"/>
      <c r="C277" s="67"/>
      <c r="D277" s="68"/>
    </row>
    <row r="278" spans="2:4">
      <c r="B278" s="66"/>
      <c r="C278" s="67"/>
      <c r="D278" s="68"/>
    </row>
    <row r="279" spans="2:4">
      <c r="B279" s="66"/>
      <c r="C279" s="67"/>
      <c r="D279" s="68"/>
    </row>
    <row r="280" spans="2:4">
      <c r="B280" s="66"/>
      <c r="C280" s="67"/>
      <c r="D280" s="68"/>
    </row>
    <row r="281" spans="2:4">
      <c r="B281" s="66"/>
      <c r="C281" s="67"/>
      <c r="D281" s="68"/>
    </row>
    <row r="282" spans="2:4">
      <c r="B282" s="66"/>
      <c r="C282" s="67"/>
      <c r="D282" s="68"/>
    </row>
    <row r="283" spans="2:4">
      <c r="B283" s="66"/>
      <c r="C283" s="67"/>
      <c r="D283" s="68"/>
    </row>
    <row r="284" spans="2:4">
      <c r="B284" s="66"/>
      <c r="C284" s="67"/>
      <c r="D284" s="68"/>
    </row>
    <row r="285" spans="2:4">
      <c r="B285" s="66"/>
      <c r="C285" s="67"/>
      <c r="D285" s="68"/>
    </row>
    <row r="286" spans="2:4">
      <c r="B286" s="66"/>
      <c r="C286" s="67"/>
      <c r="D286" s="68"/>
    </row>
    <row r="287" spans="2:4">
      <c r="B287" s="66"/>
      <c r="C287" s="67"/>
      <c r="D287" s="68"/>
    </row>
    <row r="288" spans="2:4">
      <c r="B288" s="66"/>
      <c r="C288" s="67"/>
      <c r="D288" s="68"/>
    </row>
    <row r="289" spans="2:9">
      <c r="B289" s="66"/>
      <c r="C289" s="67"/>
      <c r="D289" s="68"/>
    </row>
    <row r="290" spans="2:9">
      <c r="B290" s="66"/>
      <c r="C290" s="67"/>
      <c r="D290" s="68"/>
    </row>
    <row r="291" spans="2:9">
      <c r="B291" s="66"/>
      <c r="C291" s="67"/>
      <c r="D291" s="68"/>
    </row>
    <row r="292" spans="2:9">
      <c r="B292" s="66"/>
      <c r="C292" s="67"/>
      <c r="D292" s="68"/>
    </row>
    <row r="293" spans="2:9">
      <c r="B293" s="66"/>
      <c r="C293" s="67"/>
      <c r="D293" s="68"/>
    </row>
    <row r="294" spans="2:9">
      <c r="B294" s="66"/>
      <c r="C294" s="67"/>
      <c r="D294" s="68"/>
    </row>
    <row r="295" spans="2:9">
      <c r="B295" s="66"/>
      <c r="C295" s="67"/>
      <c r="D295" s="68"/>
    </row>
    <row r="296" spans="2:9">
      <c r="B296" s="66"/>
      <c r="C296" s="67"/>
      <c r="D296" s="68"/>
    </row>
    <row r="297" spans="2:9">
      <c r="B297" s="66"/>
      <c r="C297" s="67"/>
      <c r="D297" s="68"/>
    </row>
    <row r="298" spans="2:9">
      <c r="B298" s="66"/>
      <c r="C298" s="67"/>
      <c r="D298" s="68"/>
    </row>
    <row r="299" spans="2:9">
      <c r="B299" s="66"/>
      <c r="C299" s="67"/>
      <c r="D299" s="68"/>
    </row>
    <row r="300" spans="2:9">
      <c r="B300" s="66"/>
      <c r="C300" s="67"/>
      <c r="D300" s="68"/>
    </row>
    <row r="301" spans="2:9">
      <c r="B301" s="66"/>
      <c r="C301" s="67"/>
      <c r="D301" s="68"/>
    </row>
    <row r="302" spans="2:9">
      <c r="B302" s="66"/>
      <c r="C302" s="67"/>
      <c r="D302" s="68"/>
    </row>
    <row r="303" spans="2:9">
      <c r="B303" s="426" t="s">
        <v>248</v>
      </c>
      <c r="C303" s="426"/>
      <c r="D303" s="426"/>
      <c r="E303" s="426"/>
      <c r="F303" s="426"/>
      <c r="G303" s="426"/>
      <c r="H303" s="426"/>
      <c r="I303" s="426"/>
    </row>
    <row r="305" spans="2:12">
      <c r="B305" s="413" t="s">
        <v>40</v>
      </c>
      <c r="C305" s="413"/>
      <c r="D305" s="413"/>
      <c r="F305" s="413" t="s">
        <v>44</v>
      </c>
      <c r="G305" s="413"/>
      <c r="H305" s="413"/>
      <c r="I305" s="413"/>
    </row>
    <row r="306" spans="2:12">
      <c r="B306" s="424"/>
      <c r="C306" s="424"/>
      <c r="D306" s="424"/>
      <c r="F306" s="424"/>
      <c r="G306" s="424"/>
      <c r="H306" s="424"/>
      <c r="I306" s="424"/>
    </row>
    <row r="307" spans="2:12">
      <c r="B307" s="369" t="s">
        <v>0</v>
      </c>
      <c r="C307" s="370">
        <v>42369</v>
      </c>
      <c r="D307" s="369" t="s">
        <v>41</v>
      </c>
      <c r="F307" s="413" t="s">
        <v>45</v>
      </c>
      <c r="G307" s="413"/>
      <c r="H307" s="413"/>
      <c r="I307" s="413"/>
    </row>
    <row r="308" spans="2:12">
      <c r="B308" s="65" t="s">
        <v>3</v>
      </c>
      <c r="C308" s="25">
        <f>'ER 2015'!C11</f>
        <v>344142000</v>
      </c>
      <c r="D308" s="24">
        <f>(C308/$C$308)*100%</f>
        <v>1</v>
      </c>
      <c r="F308" s="415" t="s">
        <v>46</v>
      </c>
      <c r="G308" s="415"/>
      <c r="H308" s="415"/>
      <c r="I308" s="69">
        <f>C327/C341</f>
        <v>0.37709034781148282</v>
      </c>
    </row>
    <row r="309" spans="2:12">
      <c r="B309" s="28" t="s">
        <v>42</v>
      </c>
      <c r="C309" s="30">
        <f>'ER 2015'!C22</f>
        <v>243387000</v>
      </c>
      <c r="D309" s="29">
        <f t="shared" ref="D309:D319" si="51">(C309/$C$308)*100%</f>
        <v>0.70722841152779958</v>
      </c>
      <c r="F309" s="419" t="s">
        <v>47</v>
      </c>
      <c r="G309" s="419"/>
      <c r="H309" s="419"/>
      <c r="I309" s="28">
        <v>0</v>
      </c>
    </row>
    <row r="310" spans="2:12">
      <c r="B310" s="23" t="s">
        <v>5</v>
      </c>
      <c r="C310" s="25">
        <f>'ER 2015'!C24</f>
        <v>100755000</v>
      </c>
      <c r="D310" s="24">
        <f t="shared" si="51"/>
        <v>0.29277158847220042</v>
      </c>
      <c r="F310" s="414" t="s">
        <v>244</v>
      </c>
      <c r="G310" s="414"/>
      <c r="H310" s="414"/>
      <c r="I310" s="60">
        <f>C327-C341</f>
        <v>-77888000</v>
      </c>
    </row>
    <row r="311" spans="2:12" ht="19.5" customHeight="1">
      <c r="B311" s="70" t="s">
        <v>43</v>
      </c>
      <c r="C311" s="71">
        <f>'ER 2015'!C32</f>
        <v>28543000</v>
      </c>
      <c r="D311" s="29">
        <f t="shared" si="51"/>
        <v>8.2939600513741427E-2</v>
      </c>
    </row>
    <row r="312" spans="2:12">
      <c r="B312" s="23" t="s">
        <v>6</v>
      </c>
      <c r="C312" s="25">
        <f>' ER 2016'!C97</f>
        <v>0</v>
      </c>
      <c r="D312" s="24">
        <f t="shared" si="51"/>
        <v>0</v>
      </c>
      <c r="F312" s="413" t="s">
        <v>48</v>
      </c>
      <c r="G312" s="413"/>
      <c r="H312" s="413"/>
      <c r="I312" s="413"/>
    </row>
    <row r="313" spans="2:12">
      <c r="B313" s="61" t="s">
        <v>7</v>
      </c>
      <c r="C313" s="30">
        <f>'ER 2015'!C36</f>
        <v>72212000</v>
      </c>
      <c r="D313" s="29">
        <f t="shared" si="51"/>
        <v>0.209831987958459</v>
      </c>
      <c r="F313" s="415" t="s">
        <v>49</v>
      </c>
      <c r="G313" s="415"/>
      <c r="H313" s="415"/>
      <c r="I313" s="69">
        <f>C308/L314</f>
        <v>85.432135542729469</v>
      </c>
      <c r="L313" s="392" t="s">
        <v>245</v>
      </c>
    </row>
    <row r="314" spans="2:12">
      <c r="B314" s="23" t="s">
        <v>8</v>
      </c>
      <c r="C314" s="25">
        <f>'ER 2015'!C40</f>
        <v>25000</v>
      </c>
      <c r="D314" s="24">
        <f t="shared" si="51"/>
        <v>7.2644431659024474E-5</v>
      </c>
      <c r="F314" s="419" t="s">
        <v>50</v>
      </c>
      <c r="G314" s="419"/>
      <c r="H314" s="419"/>
      <c r="I314" s="72">
        <f>C308/C330</f>
        <v>0.45818399680468647</v>
      </c>
      <c r="L314" s="395">
        <f>(C326+F118)/12</f>
        <v>4028250</v>
      </c>
    </row>
    <row r="315" spans="2:12">
      <c r="B315" s="28" t="s">
        <v>9</v>
      </c>
      <c r="C315" s="30">
        <f>'ER 2015'!C44</f>
        <v>3456000</v>
      </c>
      <c r="D315" s="29">
        <f t="shared" si="51"/>
        <v>1.0042366232543544E-2</v>
      </c>
      <c r="F315" s="415" t="s">
        <v>51</v>
      </c>
      <c r="G315" s="415"/>
      <c r="H315" s="415"/>
      <c r="I315" s="69">
        <f>360/I313</f>
        <v>4.2138710183587014</v>
      </c>
    </row>
    <row r="316" spans="2:12">
      <c r="B316" s="23" t="s">
        <v>10</v>
      </c>
      <c r="C316" s="25">
        <f>'ER 2015'!C46</f>
        <v>68781000</v>
      </c>
      <c r="D316" s="24">
        <f t="shared" si="51"/>
        <v>0.19986226615757449</v>
      </c>
      <c r="F316" s="419" t="s">
        <v>52</v>
      </c>
      <c r="G316" s="419"/>
      <c r="H316" s="419"/>
      <c r="I316" s="72">
        <f>C308/(C333-C329)</f>
        <v>0.43112003617909656</v>
      </c>
    </row>
    <row r="317" spans="2:12">
      <c r="B317" s="28" t="s">
        <v>12</v>
      </c>
      <c r="C317" s="30">
        <f>'ER 2015'!B50</f>
        <v>3768000</v>
      </c>
      <c r="D317" s="29">
        <f t="shared" si="51"/>
        <v>1.0948968739648169E-2</v>
      </c>
      <c r="F317" s="415" t="s">
        <v>53</v>
      </c>
      <c r="G317" s="415"/>
      <c r="H317" s="415"/>
      <c r="I317" s="69">
        <v>9.1</v>
      </c>
    </row>
    <row r="318" spans="2:12">
      <c r="B318" s="57" t="s">
        <v>13</v>
      </c>
      <c r="C318" s="60">
        <f>'ER 2015'!B49</f>
        <v>17195000</v>
      </c>
      <c r="D318" s="59">
        <f t="shared" si="51"/>
        <v>4.9964840095077033E-2</v>
      </c>
    </row>
    <row r="319" spans="2:12">
      <c r="B319" s="61" t="s">
        <v>14</v>
      </c>
      <c r="C319" s="30">
        <f>'ER 2015'!C53</f>
        <v>47818000</v>
      </c>
      <c r="D319" s="29">
        <f t="shared" si="51"/>
        <v>0.1389484573228493</v>
      </c>
      <c r="F319" s="413" t="s">
        <v>56</v>
      </c>
      <c r="G319" s="413"/>
      <c r="H319" s="413"/>
      <c r="I319" s="413"/>
    </row>
    <row r="320" spans="2:12">
      <c r="B320" s="73"/>
      <c r="C320" s="74"/>
      <c r="D320" s="75"/>
      <c r="F320" s="415" t="s">
        <v>57</v>
      </c>
      <c r="G320" s="415"/>
      <c r="H320" s="415"/>
      <c r="I320" s="24">
        <f>C342/C333</f>
        <v>0.15664120683845056</v>
      </c>
    </row>
    <row r="321" spans="2:9">
      <c r="F321" s="419" t="s">
        <v>58</v>
      </c>
      <c r="G321" s="419"/>
      <c r="H321" s="419"/>
      <c r="I321" s="29">
        <f>C336/C342</f>
        <v>0</v>
      </c>
    </row>
    <row r="322" spans="2:9">
      <c r="B322" s="427" t="s">
        <v>54</v>
      </c>
      <c r="C322" s="427"/>
      <c r="D322" s="427"/>
      <c r="F322" s="415" t="s">
        <v>59</v>
      </c>
      <c r="G322" s="415"/>
      <c r="H322" s="415"/>
      <c r="I322" s="24">
        <f>C349/C333</f>
        <v>0.84335879316154949</v>
      </c>
    </row>
    <row r="323" spans="2:9">
      <c r="B323" s="369" t="s">
        <v>0</v>
      </c>
      <c r="C323" s="370">
        <v>42369</v>
      </c>
      <c r="D323" s="369" t="s">
        <v>41</v>
      </c>
      <c r="F323" s="419" t="s">
        <v>60</v>
      </c>
      <c r="G323" s="419"/>
      <c r="H323" s="419"/>
      <c r="I323" s="29">
        <f>C349/C342</f>
        <v>5.3840161869496717</v>
      </c>
    </row>
    <row r="324" spans="2:9">
      <c r="B324" s="23" t="s">
        <v>16</v>
      </c>
      <c r="C324" s="25">
        <f>'ESF 2015'!C12</f>
        <v>3065000</v>
      </c>
      <c r="D324" s="59">
        <f>(C324/$C$333)*100%</f>
        <v>3.8396444226189508E-3</v>
      </c>
      <c r="F324" s="415" t="s">
        <v>61</v>
      </c>
      <c r="G324" s="415"/>
      <c r="H324" s="415"/>
      <c r="I324" s="24">
        <f>C342/C349</f>
        <v>0.18573495421947323</v>
      </c>
    </row>
    <row r="325" spans="2:9">
      <c r="B325" s="28" t="s">
        <v>17</v>
      </c>
      <c r="C325" s="30">
        <f>'ESF 2015'!C17</f>
        <v>44086000</v>
      </c>
      <c r="D325" s="29">
        <f t="shared" ref="D325:D333" si="52">(C325/$C$333)*100%</f>
        <v>5.5228242745702795E-2</v>
      </c>
      <c r="F325" s="419" t="s">
        <v>62</v>
      </c>
      <c r="G325" s="419"/>
      <c r="H325" s="419"/>
      <c r="I325" s="29">
        <f>C341/C342</f>
        <v>1</v>
      </c>
    </row>
    <row r="326" spans="2:9">
      <c r="B326" s="57" t="s">
        <v>18</v>
      </c>
      <c r="C326" s="60">
        <f>'ESF 2015'!B15</f>
        <v>37845000</v>
      </c>
      <c r="D326" s="59">
        <f t="shared" si="52"/>
        <v>4.7409899893642478E-2</v>
      </c>
    </row>
    <row r="327" spans="2:9">
      <c r="B327" s="61" t="s">
        <v>19</v>
      </c>
      <c r="C327" s="30">
        <f>'ESF 2015'!C19</f>
        <v>47151000</v>
      </c>
      <c r="D327" s="29">
        <f t="shared" si="52"/>
        <v>5.9067887168321745E-2</v>
      </c>
      <c r="F327" s="413" t="s">
        <v>63</v>
      </c>
      <c r="G327" s="413"/>
      <c r="H327" s="413"/>
      <c r="I327" s="413"/>
    </row>
    <row r="328" spans="2:9">
      <c r="B328" s="23" t="s">
        <v>20</v>
      </c>
      <c r="C328" s="25">
        <f>'ESF 2015'!C25</f>
        <v>751100000</v>
      </c>
      <c r="D328" s="59">
        <f t="shared" si="52"/>
        <v>0.94093211283167821</v>
      </c>
      <c r="F328" s="415" t="s">
        <v>64</v>
      </c>
      <c r="G328" s="415"/>
      <c r="H328" s="415"/>
      <c r="I328" s="24">
        <f>C310/C308</f>
        <v>0.29277158847220042</v>
      </c>
    </row>
    <row r="329" spans="2:9">
      <c r="B329" s="28" t="s">
        <v>21</v>
      </c>
      <c r="C329" s="30">
        <v>0</v>
      </c>
      <c r="D329" s="29">
        <f t="shared" si="52"/>
        <v>0</v>
      </c>
      <c r="F329" s="419" t="s">
        <v>65</v>
      </c>
      <c r="G329" s="419"/>
      <c r="H329" s="419"/>
      <c r="I329" s="29">
        <f>C313/C308</f>
        <v>0.209831987958459</v>
      </c>
    </row>
    <row r="330" spans="2:9">
      <c r="B330" s="23" t="s">
        <v>22</v>
      </c>
      <c r="C330" s="25">
        <f>'ESF 2015'!B24</f>
        <v>751100000</v>
      </c>
      <c r="D330" s="59">
        <f t="shared" si="52"/>
        <v>0.94093211283167821</v>
      </c>
      <c r="F330" s="415" t="s">
        <v>66</v>
      </c>
      <c r="G330" s="415"/>
      <c r="H330" s="415"/>
      <c r="I330" s="24">
        <f>C319/C308</f>
        <v>0.1389484573228493</v>
      </c>
    </row>
    <row r="331" spans="2:9">
      <c r="B331" s="28" t="s">
        <v>23</v>
      </c>
      <c r="C331" s="30">
        <v>0</v>
      </c>
      <c r="D331" s="29">
        <f t="shared" si="52"/>
        <v>0</v>
      </c>
      <c r="F331" s="419" t="s">
        <v>67</v>
      </c>
      <c r="G331" s="419"/>
      <c r="H331" s="419"/>
      <c r="I331" s="29">
        <f>C319/C349</f>
        <v>7.1029631082036568E-2</v>
      </c>
    </row>
    <row r="332" spans="2:9">
      <c r="B332" s="62" t="s">
        <v>24</v>
      </c>
      <c r="C332" s="60">
        <f>'ESF 2015'!C27</f>
        <v>751100000</v>
      </c>
      <c r="D332" s="59">
        <f t="shared" si="52"/>
        <v>0.94093211283167821</v>
      </c>
      <c r="F332" s="415" t="s">
        <v>68</v>
      </c>
      <c r="G332" s="415"/>
      <c r="H332" s="415"/>
      <c r="I332" s="24">
        <f>C319/C333</f>
        <v>5.9903463948056436E-2</v>
      </c>
    </row>
    <row r="333" spans="2:9">
      <c r="B333" s="61" t="s">
        <v>25</v>
      </c>
      <c r="C333" s="30">
        <f>'ESF 2015'!C29</f>
        <v>798251000</v>
      </c>
      <c r="D333" s="29">
        <f t="shared" si="52"/>
        <v>1</v>
      </c>
      <c r="F333" s="425"/>
      <c r="G333" s="425"/>
      <c r="H333" s="425"/>
      <c r="I333" s="68"/>
    </row>
    <row r="334" spans="2:9">
      <c r="F334" s="425"/>
      <c r="G334" s="425"/>
      <c r="H334" s="425"/>
      <c r="I334" s="68"/>
    </row>
    <row r="335" spans="2:9">
      <c r="B335" s="371" t="s">
        <v>0</v>
      </c>
      <c r="C335" s="370">
        <v>42369</v>
      </c>
      <c r="D335" s="369" t="s">
        <v>55</v>
      </c>
      <c r="F335" s="77"/>
      <c r="G335" s="77"/>
      <c r="H335" s="77"/>
      <c r="I335" s="68"/>
    </row>
    <row r="336" spans="2:9">
      <c r="B336" s="23" t="s">
        <v>26</v>
      </c>
      <c r="C336" s="25">
        <f>'ESF 2017'!C151</f>
        <v>0</v>
      </c>
      <c r="D336" s="35">
        <f>(C336/$C$350)*100%</f>
        <v>0</v>
      </c>
      <c r="F336" s="77"/>
      <c r="G336" s="77"/>
      <c r="H336" s="77"/>
      <c r="I336" s="68"/>
    </row>
    <row r="337" spans="2:9">
      <c r="B337" s="28" t="s">
        <v>27</v>
      </c>
      <c r="C337" s="30">
        <f>'ESF 2016'!C104</f>
        <v>0</v>
      </c>
      <c r="D337" s="29">
        <f t="shared" ref="D337:D342" si="53">(C337/$C$350)*100%</f>
        <v>0</v>
      </c>
      <c r="F337" s="77"/>
      <c r="G337" s="77"/>
      <c r="H337" s="77"/>
      <c r="I337" s="68"/>
    </row>
    <row r="338" spans="2:9">
      <c r="B338" s="23" t="s">
        <v>28</v>
      </c>
      <c r="C338" s="25">
        <f>'ESF 2015'!C37</f>
        <v>104076000</v>
      </c>
      <c r="D338" s="35">
        <f t="shared" si="53"/>
        <v>0.13038004336981726</v>
      </c>
      <c r="F338" s="77"/>
      <c r="G338" s="77"/>
      <c r="H338" s="77"/>
      <c r="I338" s="68"/>
    </row>
    <row r="339" spans="2:9">
      <c r="B339" s="28" t="s">
        <v>29</v>
      </c>
      <c r="C339" s="30">
        <f>'ESF 2015'!C42</f>
        <v>20963000</v>
      </c>
      <c r="D339" s="29">
        <f t="shared" si="53"/>
        <v>2.6261163468633299E-2</v>
      </c>
      <c r="F339" s="77"/>
      <c r="G339" s="77"/>
      <c r="H339" s="77"/>
      <c r="I339" s="68"/>
    </row>
    <row r="340" spans="2:9">
      <c r="B340" s="34" t="s">
        <v>243</v>
      </c>
      <c r="C340" s="36">
        <f>'ESF 2016'!C119+'ESF 2016'!C115</f>
        <v>0</v>
      </c>
      <c r="D340" s="35">
        <f t="shared" si="53"/>
        <v>0</v>
      </c>
      <c r="F340" s="425"/>
      <c r="G340" s="425"/>
      <c r="H340" s="425"/>
      <c r="I340" s="68"/>
    </row>
    <row r="341" spans="2:9">
      <c r="B341" s="61" t="s">
        <v>31</v>
      </c>
      <c r="C341" s="30">
        <f>SUM(C336:C340)</f>
        <v>125039000</v>
      </c>
      <c r="D341" s="29">
        <f t="shared" si="53"/>
        <v>0.15664120683845056</v>
      </c>
    </row>
    <row r="342" spans="2:9">
      <c r="B342" s="78" t="s">
        <v>32</v>
      </c>
      <c r="C342" s="36">
        <f>+C341</f>
        <v>125039000</v>
      </c>
      <c r="D342" s="35">
        <f t="shared" si="53"/>
        <v>0.15664120683845056</v>
      </c>
    </row>
    <row r="344" spans="2:9">
      <c r="B344" s="368" t="s">
        <v>0</v>
      </c>
      <c r="C344" s="370">
        <v>42369</v>
      </c>
      <c r="D344" s="369" t="s">
        <v>55</v>
      </c>
    </row>
    <row r="345" spans="2:9">
      <c r="B345" s="23" t="s">
        <v>34</v>
      </c>
      <c r="C345" s="25">
        <f>'ESF 2015'!B54</f>
        <v>620000000</v>
      </c>
      <c r="D345" s="35">
        <f>(C345/$C$350)*100%</f>
        <v>0.77669805612520371</v>
      </c>
    </row>
    <row r="346" spans="2:9">
      <c r="B346" s="28" t="s">
        <v>35</v>
      </c>
      <c r="C346" s="30">
        <f>'ESF 2016'!C135</f>
        <v>0</v>
      </c>
      <c r="D346" s="29">
        <f t="shared" ref="D346:D350" si="54">(C346/$C$350)*100%</f>
        <v>0</v>
      </c>
    </row>
    <row r="347" spans="2:9">
      <c r="B347" s="57" t="s">
        <v>36</v>
      </c>
      <c r="C347" s="60">
        <f>'ESF 2015'!C59</f>
        <v>47818000</v>
      </c>
      <c r="D347" s="59">
        <f t="shared" si="54"/>
        <v>5.9903463948056436E-2</v>
      </c>
    </row>
    <row r="348" spans="2:9">
      <c r="B348" s="28" t="s">
        <v>37</v>
      </c>
      <c r="C348" s="30">
        <f>'ESF 2015'!B66</f>
        <v>4855000</v>
      </c>
      <c r="D348" s="29">
        <f t="shared" si="54"/>
        <v>6.0820468749804256E-3</v>
      </c>
    </row>
    <row r="349" spans="2:9">
      <c r="B349" s="65" t="s">
        <v>38</v>
      </c>
      <c r="C349" s="25">
        <f>'ESF 2015'!C69</f>
        <v>673212000</v>
      </c>
      <c r="D349" s="35">
        <f t="shared" si="54"/>
        <v>0.84335879316154949</v>
      </c>
    </row>
    <row r="350" spans="2:9">
      <c r="B350" s="61" t="s">
        <v>39</v>
      </c>
      <c r="C350" s="30">
        <f>'ESF 2015'!C71</f>
        <v>798251000</v>
      </c>
      <c r="D350" s="29">
        <f t="shared" si="54"/>
        <v>1</v>
      </c>
    </row>
    <row r="351" spans="2:9">
      <c r="B351" s="66"/>
      <c r="C351" s="67"/>
      <c r="D351" s="68"/>
    </row>
    <row r="352" spans="2:9">
      <c r="B352" s="66"/>
      <c r="C352" s="67"/>
      <c r="D352" s="68"/>
    </row>
    <row r="353" spans="2:4">
      <c r="B353" s="66"/>
      <c r="C353" s="67"/>
      <c r="D353" s="68"/>
    </row>
    <row r="354" spans="2:4">
      <c r="B354" s="66"/>
      <c r="C354" s="67"/>
      <c r="D354" s="68"/>
    </row>
    <row r="355" spans="2:4">
      <c r="B355" s="66"/>
      <c r="C355" s="67"/>
      <c r="D355" s="68"/>
    </row>
    <row r="356" spans="2:4">
      <c r="B356" s="66"/>
      <c r="C356" s="67"/>
      <c r="D356" s="68"/>
    </row>
    <row r="357" spans="2:4">
      <c r="B357" s="66"/>
      <c r="C357" s="67"/>
      <c r="D357" s="68"/>
    </row>
    <row r="358" spans="2:4">
      <c r="B358" s="66"/>
      <c r="C358" s="67"/>
      <c r="D358" s="68"/>
    </row>
    <row r="359" spans="2:4">
      <c r="B359" s="66"/>
      <c r="C359" s="67"/>
      <c r="D359" s="68"/>
    </row>
    <row r="360" spans="2:4">
      <c r="B360" s="66"/>
      <c r="C360" s="67"/>
      <c r="D360" s="68"/>
    </row>
    <row r="361" spans="2:4">
      <c r="B361" s="66"/>
      <c r="C361" s="67"/>
      <c r="D361" s="68"/>
    </row>
    <row r="362" spans="2:4">
      <c r="B362" s="66"/>
      <c r="C362" s="67"/>
      <c r="D362" s="68"/>
    </row>
    <row r="363" spans="2:4">
      <c r="B363" s="66"/>
      <c r="C363" s="67"/>
      <c r="D363" s="68"/>
    </row>
    <row r="364" spans="2:4">
      <c r="B364" s="66"/>
      <c r="C364" s="67"/>
      <c r="D364" s="68"/>
    </row>
    <row r="365" spans="2:4">
      <c r="B365" s="66"/>
      <c r="C365" s="67"/>
      <c r="D365" s="68"/>
    </row>
    <row r="366" spans="2:4">
      <c r="B366" s="66"/>
      <c r="C366" s="67"/>
      <c r="D366" s="68"/>
    </row>
    <row r="367" spans="2:4">
      <c r="B367" s="66"/>
      <c r="C367" s="67"/>
      <c r="D367" s="68"/>
    </row>
    <row r="368" spans="2:4">
      <c r="B368" s="66"/>
      <c r="C368" s="67"/>
      <c r="D368" s="68"/>
    </row>
    <row r="369" spans="2:4">
      <c r="B369" s="66"/>
      <c r="C369" s="67"/>
      <c r="D369" s="68"/>
    </row>
    <row r="370" spans="2:4">
      <c r="B370" s="66"/>
      <c r="C370" s="67"/>
      <c r="D370" s="68"/>
    </row>
    <row r="371" spans="2:4">
      <c r="B371" s="66"/>
      <c r="C371" s="67"/>
      <c r="D371" s="68"/>
    </row>
    <row r="372" spans="2:4">
      <c r="B372" s="66"/>
      <c r="C372" s="67"/>
      <c r="D372" s="68"/>
    </row>
    <row r="373" spans="2:4">
      <c r="B373" s="66"/>
      <c r="C373" s="67"/>
      <c r="D373" s="68"/>
    </row>
    <row r="374" spans="2:4">
      <c r="B374" s="66"/>
      <c r="C374" s="67"/>
      <c r="D374" s="68"/>
    </row>
    <row r="375" spans="2:4">
      <c r="B375" s="66"/>
      <c r="C375" s="67"/>
      <c r="D375" s="68"/>
    </row>
    <row r="376" spans="2:4">
      <c r="B376" s="66"/>
      <c r="C376" s="67"/>
      <c r="D376" s="68"/>
    </row>
    <row r="377" spans="2:4">
      <c r="B377" s="66"/>
      <c r="C377" s="67"/>
      <c r="D377" s="68"/>
    </row>
    <row r="378" spans="2:4">
      <c r="B378" s="66"/>
      <c r="C378" s="67"/>
      <c r="D378" s="68"/>
    </row>
    <row r="379" spans="2:4">
      <c r="B379" s="66"/>
      <c r="C379" s="67"/>
      <c r="D379" s="68"/>
    </row>
    <row r="380" spans="2:4">
      <c r="B380" s="66"/>
      <c r="C380" s="67"/>
      <c r="D380" s="68"/>
    </row>
    <row r="381" spans="2:4">
      <c r="B381" s="66"/>
      <c r="C381" s="67"/>
      <c r="D381" s="68"/>
    </row>
    <row r="382" spans="2:4">
      <c r="B382" s="66"/>
      <c r="C382" s="67"/>
      <c r="D382" s="68"/>
    </row>
    <row r="383" spans="2:4">
      <c r="B383" s="66"/>
      <c r="C383" s="67"/>
      <c r="D383" s="68"/>
    </row>
    <row r="384" spans="2:4">
      <c r="B384" s="66"/>
      <c r="C384" s="67"/>
      <c r="D384" s="68"/>
    </row>
    <row r="385" spans="2:12">
      <c r="B385" s="426" t="s">
        <v>249</v>
      </c>
      <c r="C385" s="426"/>
      <c r="D385" s="426"/>
      <c r="E385" s="426"/>
      <c r="F385" s="426"/>
      <c r="G385" s="426"/>
      <c r="H385" s="426"/>
      <c r="I385" s="426"/>
    </row>
    <row r="387" spans="2:12">
      <c r="B387" s="413" t="s">
        <v>40</v>
      </c>
      <c r="C387" s="413"/>
      <c r="D387" s="413"/>
      <c r="F387" s="413" t="s">
        <v>44</v>
      </c>
      <c r="G387" s="413"/>
      <c r="H387" s="413"/>
      <c r="I387" s="413"/>
    </row>
    <row r="388" spans="2:12">
      <c r="B388" s="369" t="s">
        <v>0</v>
      </c>
      <c r="C388" s="370">
        <v>42004</v>
      </c>
      <c r="D388" s="369" t="s">
        <v>41</v>
      </c>
      <c r="F388" s="413" t="s">
        <v>45</v>
      </c>
      <c r="G388" s="413"/>
      <c r="H388" s="413"/>
      <c r="I388" s="413"/>
    </row>
    <row r="389" spans="2:12">
      <c r="B389" s="65" t="s">
        <v>3</v>
      </c>
      <c r="C389" s="25">
        <f>'ER 2014'!C9</f>
        <v>61980000</v>
      </c>
      <c r="D389" s="24">
        <f>(C389/$C$389)*100%</f>
        <v>1</v>
      </c>
      <c r="F389" s="415" t="s">
        <v>46</v>
      </c>
      <c r="G389" s="415"/>
      <c r="H389" s="415"/>
      <c r="I389" s="69">
        <f>C408/C422</f>
        <v>1.9476941706750983</v>
      </c>
    </row>
    <row r="390" spans="2:12">
      <c r="B390" s="28" t="s">
        <v>42</v>
      </c>
      <c r="C390" s="30">
        <f>'ER 2014'!C22</f>
        <v>51870000</v>
      </c>
      <c r="D390" s="29">
        <f t="shared" ref="D390:D400" si="55">(C390/$C$389)*100%</f>
        <v>0.83688286544046464</v>
      </c>
      <c r="F390" s="419" t="s">
        <v>47</v>
      </c>
      <c r="G390" s="419"/>
      <c r="H390" s="419"/>
      <c r="I390" s="28">
        <v>0</v>
      </c>
    </row>
    <row r="391" spans="2:12">
      <c r="B391" s="23" t="s">
        <v>5</v>
      </c>
      <c r="C391" s="25">
        <f>'ER 2014'!C24</f>
        <v>10110000</v>
      </c>
      <c r="D391" s="24">
        <f t="shared" si="55"/>
        <v>0.16311713455953533</v>
      </c>
      <c r="F391" s="414" t="s">
        <v>244</v>
      </c>
      <c r="G391" s="414"/>
      <c r="H391" s="414"/>
      <c r="I391" s="60">
        <f>C408-C422</f>
        <v>28174000</v>
      </c>
    </row>
    <row r="392" spans="2:12" ht="18.75" customHeight="1">
      <c r="B392" s="70" t="s">
        <v>43</v>
      </c>
      <c r="C392" s="71">
        <f>'ER 2014'!C32</f>
        <v>1936000</v>
      </c>
      <c r="D392" s="29">
        <f t="shared" si="55"/>
        <v>3.1235882542755729E-2</v>
      </c>
    </row>
    <row r="393" spans="2:12">
      <c r="B393" s="23" t="s">
        <v>6</v>
      </c>
      <c r="C393" s="25">
        <f>' ER 2016'!C146</f>
        <v>0</v>
      </c>
      <c r="D393" s="24">
        <f t="shared" si="55"/>
        <v>0</v>
      </c>
      <c r="F393" s="413" t="s">
        <v>48</v>
      </c>
      <c r="G393" s="413"/>
      <c r="H393" s="413"/>
      <c r="I393" s="413"/>
    </row>
    <row r="394" spans="2:12">
      <c r="B394" s="61" t="s">
        <v>7</v>
      </c>
      <c r="C394" s="30">
        <f>'ER 2014'!C36</f>
        <v>8174000</v>
      </c>
      <c r="D394" s="29">
        <f t="shared" si="55"/>
        <v>0.13188125201677961</v>
      </c>
      <c r="F394" s="415" t="s">
        <v>49</v>
      </c>
      <c r="G394" s="415"/>
      <c r="H394" s="415"/>
      <c r="I394" s="69">
        <f>C389/L395</f>
        <v>70.874785591766724</v>
      </c>
      <c r="L394" s="392" t="s">
        <v>245</v>
      </c>
    </row>
    <row r="395" spans="2:12">
      <c r="B395" s="23" t="s">
        <v>8</v>
      </c>
      <c r="C395" s="25">
        <f>'ER 2015'!C93</f>
        <v>0</v>
      </c>
      <c r="D395" s="24">
        <f t="shared" si="55"/>
        <v>0</v>
      </c>
      <c r="F395" s="419" t="s">
        <v>50</v>
      </c>
      <c r="G395" s="419"/>
      <c r="H395" s="419"/>
      <c r="I395" s="72">
        <f>C389/C411</f>
        <v>0.1033</v>
      </c>
      <c r="L395" s="395">
        <f>(C407+0)/12</f>
        <v>874500</v>
      </c>
    </row>
    <row r="396" spans="2:12">
      <c r="B396" s="28" t="s">
        <v>9</v>
      </c>
      <c r="C396" s="30">
        <f>'ER 2015'!C97</f>
        <v>0</v>
      </c>
      <c r="D396" s="29">
        <f t="shared" si="55"/>
        <v>0</v>
      </c>
      <c r="F396" s="415" t="s">
        <v>51</v>
      </c>
      <c r="G396" s="415"/>
      <c r="H396" s="415"/>
      <c r="I396" s="69">
        <f>360/I394</f>
        <v>5.0793804453049374</v>
      </c>
    </row>
    <row r="397" spans="2:12">
      <c r="B397" s="23" t="s">
        <v>10</v>
      </c>
      <c r="C397" s="25">
        <f>C394</f>
        <v>8174000</v>
      </c>
      <c r="D397" s="24">
        <f t="shared" si="55"/>
        <v>0.13188125201677961</v>
      </c>
      <c r="F397" s="419" t="s">
        <v>52</v>
      </c>
      <c r="G397" s="419"/>
      <c r="H397" s="419"/>
      <c r="I397" s="72">
        <f>C389/(C414-C410)</f>
        <v>9.4208416742285722E-2</v>
      </c>
    </row>
    <row r="398" spans="2:12">
      <c r="B398" s="28" t="s">
        <v>12</v>
      </c>
      <c r="C398" s="30">
        <f>'ER 2015'!C102</f>
        <v>0</v>
      </c>
      <c r="D398" s="29">
        <f t="shared" si="55"/>
        <v>0</v>
      </c>
      <c r="F398" s="415" t="s">
        <v>53</v>
      </c>
      <c r="G398" s="415"/>
      <c r="H398" s="415"/>
      <c r="I398" s="69">
        <v>9.1</v>
      </c>
    </row>
    <row r="399" spans="2:12">
      <c r="B399" s="57" t="s">
        <v>13</v>
      </c>
      <c r="C399" s="60">
        <f>'ER 2015'!C101</f>
        <v>0</v>
      </c>
      <c r="D399" s="59">
        <f t="shared" si="55"/>
        <v>0</v>
      </c>
    </row>
    <row r="400" spans="2:12">
      <c r="B400" s="61" t="s">
        <v>14</v>
      </c>
      <c r="C400" s="30">
        <f>C397</f>
        <v>8174000</v>
      </c>
      <c r="D400" s="29">
        <f t="shared" si="55"/>
        <v>0.13188125201677961</v>
      </c>
      <c r="F400" s="413" t="s">
        <v>56</v>
      </c>
      <c r="G400" s="413"/>
      <c r="H400" s="413"/>
      <c r="I400" s="413"/>
    </row>
    <row r="401" spans="2:9">
      <c r="B401" s="73"/>
      <c r="C401" s="74"/>
      <c r="D401" s="75"/>
      <c r="F401" s="415" t="s">
        <v>57</v>
      </c>
      <c r="G401" s="415"/>
      <c r="H401" s="415"/>
      <c r="I401" s="24">
        <f>C423/C414</f>
        <v>4.5187512444843696E-2</v>
      </c>
    </row>
    <row r="402" spans="2:9">
      <c r="F402" s="419" t="s">
        <v>58</v>
      </c>
      <c r="G402" s="419"/>
      <c r="H402" s="419"/>
      <c r="I402" s="29">
        <f>C417/C423</f>
        <v>0</v>
      </c>
    </row>
    <row r="403" spans="2:9">
      <c r="B403" s="413" t="s">
        <v>54</v>
      </c>
      <c r="C403" s="413"/>
      <c r="D403" s="413"/>
      <c r="F403" s="415" t="s">
        <v>59</v>
      </c>
      <c r="G403" s="415"/>
      <c r="H403" s="415"/>
      <c r="I403" s="24">
        <f>C430/C414</f>
        <v>0.95058694062802573</v>
      </c>
    </row>
    <row r="404" spans="2:9">
      <c r="B404" s="369" t="s">
        <v>0</v>
      </c>
      <c r="C404" s="370">
        <v>42004</v>
      </c>
      <c r="D404" s="369" t="s">
        <v>41</v>
      </c>
      <c r="F404" s="419" t="s">
        <v>60</v>
      </c>
      <c r="G404" s="419"/>
      <c r="H404" s="419"/>
      <c r="I404" s="29">
        <f>C430/C423</f>
        <v>21.036496350364963</v>
      </c>
    </row>
    <row r="405" spans="2:9">
      <c r="B405" s="23" t="s">
        <v>16</v>
      </c>
      <c r="C405" s="25">
        <f>'BALANCE 2014'!C12</f>
        <v>46789000</v>
      </c>
      <c r="D405" s="59">
        <f>(C405/$C$414)*100%</f>
        <v>7.1118386753062382E-2</v>
      </c>
      <c r="F405" s="415" t="s">
        <v>61</v>
      </c>
      <c r="G405" s="415"/>
      <c r="H405" s="415"/>
      <c r="I405" s="24">
        <f>C423/C430</f>
        <v>4.7536433032616239E-2</v>
      </c>
    </row>
    <row r="406" spans="2:9">
      <c r="B406" s="28" t="s">
        <v>17</v>
      </c>
      <c r="C406" s="30">
        <f>'BALANCE 2014'!C17</f>
        <v>11114000</v>
      </c>
      <c r="D406" s="29">
        <f t="shared" ref="D406:D414" si="56">(C406/$C$414)*100%</f>
        <v>1.6893067823068143E-2</v>
      </c>
      <c r="F406" s="419" t="s">
        <v>62</v>
      </c>
      <c r="G406" s="419"/>
      <c r="H406" s="419"/>
      <c r="I406" s="29">
        <f>C422/C423</f>
        <v>1</v>
      </c>
    </row>
    <row r="407" spans="2:9">
      <c r="B407" s="57" t="s">
        <v>18</v>
      </c>
      <c r="C407" s="60">
        <f>'BALANCE 2014'!B15</f>
        <v>10494000</v>
      </c>
      <c r="D407" s="59">
        <f t="shared" si="56"/>
        <v>1.5950679659463476E-2</v>
      </c>
    </row>
    <row r="408" spans="2:9">
      <c r="B408" s="61" t="s">
        <v>19</v>
      </c>
      <c r="C408" s="30">
        <f>'BALANCE 2014'!C19</f>
        <v>57903000</v>
      </c>
      <c r="D408" s="29">
        <f t="shared" si="56"/>
        <v>8.8011454576130521E-2</v>
      </c>
      <c r="F408" s="413" t="s">
        <v>63</v>
      </c>
      <c r="G408" s="413"/>
      <c r="H408" s="413"/>
      <c r="I408" s="413"/>
    </row>
    <row r="409" spans="2:9">
      <c r="B409" s="57" t="s">
        <v>20</v>
      </c>
      <c r="C409" s="60">
        <f>'BALANCE 2014'!B25</f>
        <v>600000000</v>
      </c>
      <c r="D409" s="59">
        <f t="shared" si="56"/>
        <v>0.91198854542386942</v>
      </c>
      <c r="F409" s="415" t="s">
        <v>64</v>
      </c>
      <c r="G409" s="415"/>
      <c r="H409" s="415"/>
      <c r="I409" s="24">
        <f>C391/C389</f>
        <v>0.16311713455953533</v>
      </c>
    </row>
    <row r="410" spans="2:9">
      <c r="B410" s="28" t="s">
        <v>21</v>
      </c>
      <c r="C410" s="30">
        <v>0</v>
      </c>
      <c r="D410" s="29">
        <f t="shared" si="56"/>
        <v>0</v>
      </c>
      <c r="F410" s="419" t="s">
        <v>65</v>
      </c>
      <c r="G410" s="419"/>
      <c r="H410" s="419"/>
      <c r="I410" s="29">
        <f>C394/C389</f>
        <v>0.13188125201677961</v>
      </c>
    </row>
    <row r="411" spans="2:9">
      <c r="B411" s="57" t="s">
        <v>22</v>
      </c>
      <c r="C411" s="60">
        <f>'BALANCE 2014'!C26</f>
        <v>600000000</v>
      </c>
      <c r="D411" s="59">
        <f t="shared" si="56"/>
        <v>0.91198854542386942</v>
      </c>
      <c r="F411" s="415" t="s">
        <v>66</v>
      </c>
      <c r="G411" s="415"/>
      <c r="H411" s="415"/>
      <c r="I411" s="24">
        <f>C400/C389</f>
        <v>0.13188125201677961</v>
      </c>
    </row>
    <row r="412" spans="2:9">
      <c r="B412" s="28" t="s">
        <v>23</v>
      </c>
      <c r="C412" s="30">
        <v>0</v>
      </c>
      <c r="D412" s="29">
        <f t="shared" si="56"/>
        <v>0</v>
      </c>
      <c r="F412" s="419" t="s">
        <v>67</v>
      </c>
      <c r="G412" s="419"/>
      <c r="H412" s="419"/>
      <c r="I412" s="29">
        <f>C400/C430</f>
        <v>1.3070160570776182E-2</v>
      </c>
    </row>
    <row r="413" spans="2:9">
      <c r="B413" s="62" t="s">
        <v>24</v>
      </c>
      <c r="C413" s="60">
        <f>'BALANCE 2014'!C28</f>
        <v>600000000</v>
      </c>
      <c r="D413" s="59">
        <f t="shared" si="56"/>
        <v>0.91198854542386942</v>
      </c>
      <c r="F413" s="415" t="s">
        <v>68</v>
      </c>
      <c r="G413" s="415"/>
      <c r="H413" s="415"/>
      <c r="I413" s="24">
        <f>C400/C414</f>
        <v>1.2424323950491182E-2</v>
      </c>
    </row>
    <row r="414" spans="2:9">
      <c r="B414" s="61" t="s">
        <v>25</v>
      </c>
      <c r="C414" s="30">
        <f>'BALANCE 2014'!C30</f>
        <v>657903000</v>
      </c>
      <c r="D414" s="29">
        <f t="shared" si="56"/>
        <v>1</v>
      </c>
      <c r="F414" s="425"/>
      <c r="G414" s="425"/>
      <c r="H414" s="425"/>
      <c r="I414" s="68"/>
    </row>
    <row r="415" spans="2:9">
      <c r="F415" s="77"/>
      <c r="G415" s="77"/>
      <c r="H415" s="77"/>
      <c r="I415" s="68"/>
    </row>
    <row r="416" spans="2:9">
      <c r="B416" s="371" t="s">
        <v>0</v>
      </c>
      <c r="C416" s="370">
        <v>42004</v>
      </c>
      <c r="D416" s="369" t="s">
        <v>55</v>
      </c>
      <c r="F416" s="77"/>
      <c r="G416" s="77"/>
      <c r="H416" s="77"/>
      <c r="I416" s="68"/>
    </row>
    <row r="417" spans="2:9">
      <c r="B417" s="23" t="s">
        <v>26</v>
      </c>
      <c r="C417" s="25">
        <f>'ESF 2017'!C200</f>
        <v>0</v>
      </c>
      <c r="D417" s="35">
        <f>(C417/$C$431)*100%</f>
        <v>0</v>
      </c>
      <c r="F417" s="77"/>
      <c r="G417" s="77"/>
      <c r="H417" s="77"/>
      <c r="I417" s="68"/>
    </row>
    <row r="418" spans="2:9">
      <c r="B418" s="28" t="s">
        <v>27</v>
      </c>
      <c r="C418" s="30">
        <f>'BALANCE 2014'!C36</f>
        <v>29729000</v>
      </c>
      <c r="D418" s="29">
        <f t="shared" ref="D418:D423" si="57">(C418/$C$431)*100%</f>
        <v>4.5187512444843696E-2</v>
      </c>
      <c r="F418" s="77"/>
      <c r="G418" s="77"/>
      <c r="H418" s="77"/>
      <c r="I418" s="68"/>
    </row>
    <row r="419" spans="2:9">
      <c r="B419" s="23" t="s">
        <v>28</v>
      </c>
      <c r="C419" s="25">
        <f>'ESF 2015'!C89</f>
        <v>0</v>
      </c>
      <c r="D419" s="35">
        <f t="shared" si="57"/>
        <v>0</v>
      </c>
      <c r="F419" s="77"/>
      <c r="G419" s="77"/>
      <c r="H419" s="77"/>
      <c r="I419" s="68"/>
    </row>
    <row r="420" spans="2:9">
      <c r="B420" s="28" t="s">
        <v>29</v>
      </c>
      <c r="C420" s="30">
        <f>'ESF 2015'!C94</f>
        <v>0</v>
      </c>
      <c r="D420" s="29">
        <f t="shared" si="57"/>
        <v>0</v>
      </c>
      <c r="F420" s="425"/>
      <c r="G420" s="425"/>
      <c r="H420" s="425"/>
      <c r="I420" s="68"/>
    </row>
    <row r="421" spans="2:9">
      <c r="B421" s="34" t="s">
        <v>243</v>
      </c>
      <c r="C421" s="36">
        <f>'ESF 2016'!C168+'ESF 2016'!C164</f>
        <v>0</v>
      </c>
      <c r="D421" s="35">
        <f t="shared" si="57"/>
        <v>0</v>
      </c>
      <c r="F421" s="425"/>
      <c r="G421" s="425"/>
      <c r="H421" s="425"/>
      <c r="I421" s="68"/>
    </row>
    <row r="422" spans="2:9">
      <c r="B422" s="61" t="s">
        <v>31</v>
      </c>
      <c r="C422" s="30">
        <f>SUM(C417:C421)</f>
        <v>29729000</v>
      </c>
      <c r="D422" s="29">
        <f t="shared" si="57"/>
        <v>4.5187512444843696E-2</v>
      </c>
    </row>
    <row r="423" spans="2:9">
      <c r="B423" s="78" t="s">
        <v>32</v>
      </c>
      <c r="C423" s="36">
        <f>+C422</f>
        <v>29729000</v>
      </c>
      <c r="D423" s="35">
        <f t="shared" si="57"/>
        <v>4.5187512444843696E-2</v>
      </c>
    </row>
    <row r="425" spans="2:9">
      <c r="B425" s="368" t="s">
        <v>0</v>
      </c>
      <c r="C425" s="370">
        <v>42004</v>
      </c>
      <c r="D425" s="369" t="s">
        <v>55</v>
      </c>
    </row>
    <row r="426" spans="2:9">
      <c r="B426" s="23" t="s">
        <v>34</v>
      </c>
      <c r="C426" s="25">
        <f>'BALANCE 2014'!C55</f>
        <v>620000000</v>
      </c>
      <c r="D426" s="35">
        <f>(C426/$C$431)*100%</f>
        <v>0.94238816360466515</v>
      </c>
    </row>
    <row r="427" spans="2:9">
      <c r="B427" s="28" t="s">
        <v>35</v>
      </c>
      <c r="C427" s="30">
        <f>'ESF 2016'!C184</f>
        <v>0</v>
      </c>
      <c r="D427" s="29">
        <f t="shared" ref="D427:D431" si="58">(C427/$C$431)*100%</f>
        <v>0</v>
      </c>
    </row>
    <row r="428" spans="2:9">
      <c r="B428" s="57" t="s">
        <v>36</v>
      </c>
      <c r="C428" s="60">
        <f>'BALANCE 2014'!C59</f>
        <v>5394000</v>
      </c>
      <c r="D428" s="59">
        <f t="shared" si="58"/>
        <v>8.1987770233605869E-3</v>
      </c>
    </row>
    <row r="429" spans="2:9">
      <c r="B429" s="28" t="s">
        <v>37</v>
      </c>
      <c r="C429" s="30">
        <f>'ESF 2015'!B115</f>
        <v>0</v>
      </c>
      <c r="D429" s="29">
        <f t="shared" si="58"/>
        <v>0</v>
      </c>
    </row>
    <row r="430" spans="2:9">
      <c r="B430" s="65" t="s">
        <v>38</v>
      </c>
      <c r="C430" s="25">
        <f>'BALANCE 2014'!C61</f>
        <v>625394000</v>
      </c>
      <c r="D430" s="35">
        <f t="shared" si="58"/>
        <v>0.95058694062802573</v>
      </c>
    </row>
    <row r="431" spans="2:9">
      <c r="B431" s="61" t="s">
        <v>39</v>
      </c>
      <c r="C431" s="30">
        <f>'BALANCE 2014'!C63</f>
        <v>657903000</v>
      </c>
      <c r="D431" s="29">
        <f t="shared" si="58"/>
        <v>1</v>
      </c>
    </row>
    <row r="432" spans="2:9">
      <c r="B432" s="79"/>
      <c r="C432" s="80"/>
      <c r="D432" s="27"/>
    </row>
    <row r="433" spans="2:4">
      <c r="B433" s="79"/>
      <c r="C433" s="80"/>
      <c r="D433" s="27"/>
    </row>
    <row r="434" spans="2:4">
      <c r="B434" s="79"/>
      <c r="C434" s="80"/>
      <c r="D434" s="27"/>
    </row>
    <row r="435" spans="2:4">
      <c r="B435" s="79"/>
      <c r="C435" s="80"/>
      <c r="D435" s="27"/>
    </row>
    <row r="436" spans="2:4">
      <c r="B436" s="79"/>
      <c r="C436" s="80"/>
      <c r="D436" s="27"/>
    </row>
    <row r="437" spans="2:4">
      <c r="B437" s="79"/>
      <c r="C437" s="80"/>
      <c r="D437" s="27"/>
    </row>
    <row r="438" spans="2:4">
      <c r="B438" s="79"/>
      <c r="C438" s="80"/>
      <c r="D438" s="27"/>
    </row>
    <row r="439" spans="2:4">
      <c r="B439" s="79"/>
      <c r="C439" s="80"/>
      <c r="D439" s="27"/>
    </row>
    <row r="440" spans="2:4">
      <c r="B440" s="79"/>
      <c r="C440" s="80"/>
      <c r="D440" s="27"/>
    </row>
    <row r="441" spans="2:4">
      <c r="B441" s="79"/>
      <c r="C441" s="80"/>
      <c r="D441" s="27"/>
    </row>
    <row r="442" spans="2:4">
      <c r="B442" s="79"/>
      <c r="C442" s="80"/>
      <c r="D442" s="27"/>
    </row>
    <row r="443" spans="2:4">
      <c r="B443" s="79"/>
      <c r="C443" s="80"/>
      <c r="D443" s="27"/>
    </row>
    <row r="444" spans="2:4">
      <c r="B444" s="79"/>
      <c r="C444" s="80"/>
      <c r="D444" s="27"/>
    </row>
    <row r="445" spans="2:4">
      <c r="B445" s="79"/>
      <c r="C445" s="80"/>
      <c r="D445" s="27"/>
    </row>
    <row r="446" spans="2:4">
      <c r="B446" s="79"/>
      <c r="C446" s="80"/>
      <c r="D446" s="27"/>
    </row>
    <row r="447" spans="2:4">
      <c r="B447" s="79"/>
      <c r="C447" s="80"/>
      <c r="D447" s="27"/>
    </row>
    <row r="448" spans="2:4">
      <c r="B448" s="79"/>
      <c r="C448" s="80"/>
      <c r="D448" s="27"/>
    </row>
    <row r="449" spans="2:4">
      <c r="B449" s="79"/>
      <c r="C449" s="80"/>
      <c r="D449" s="27"/>
    </row>
    <row r="450" spans="2:4">
      <c r="B450" s="79"/>
      <c r="C450" s="80"/>
      <c r="D450" s="27"/>
    </row>
    <row r="451" spans="2:4">
      <c r="B451" s="79"/>
      <c r="C451" s="80"/>
      <c r="D451" s="27"/>
    </row>
    <row r="452" spans="2:4">
      <c r="B452" s="79"/>
      <c r="C452" s="80"/>
      <c r="D452" s="27"/>
    </row>
    <row r="453" spans="2:4">
      <c r="B453" s="79"/>
      <c r="C453" s="80"/>
      <c r="D453" s="27"/>
    </row>
    <row r="454" spans="2:4">
      <c r="B454" s="79"/>
      <c r="C454" s="80"/>
      <c r="D454" s="27"/>
    </row>
    <row r="455" spans="2:4">
      <c r="B455" s="79"/>
      <c r="C455" s="80"/>
      <c r="D455" s="27"/>
    </row>
    <row r="456" spans="2:4">
      <c r="B456" s="79"/>
      <c r="C456" s="80"/>
      <c r="D456" s="27"/>
    </row>
    <row r="457" spans="2:4">
      <c r="B457" s="79"/>
      <c r="C457" s="80"/>
      <c r="D457" s="27"/>
    </row>
    <row r="458" spans="2:4">
      <c r="B458" s="79"/>
      <c r="C458" s="80"/>
      <c r="D458" s="27"/>
    </row>
    <row r="459" spans="2:4">
      <c r="B459" s="79"/>
      <c r="C459" s="80"/>
      <c r="D459" s="27"/>
    </row>
    <row r="460" spans="2:4">
      <c r="B460" s="79"/>
      <c r="C460" s="80"/>
      <c r="D460" s="27"/>
    </row>
    <row r="461" spans="2:4">
      <c r="B461" s="79"/>
      <c r="C461" s="80"/>
      <c r="D461" s="27"/>
    </row>
    <row r="462" spans="2:4">
      <c r="B462" s="79"/>
      <c r="C462" s="80"/>
      <c r="D462" s="27"/>
    </row>
    <row r="463" spans="2:4">
      <c r="B463" s="79"/>
      <c r="C463" s="80"/>
      <c r="D463" s="27"/>
    </row>
    <row r="464" spans="2:4">
      <c r="B464" s="79"/>
      <c r="C464" s="80"/>
      <c r="D464" s="27"/>
    </row>
    <row r="465" spans="2:13">
      <c r="B465" s="79"/>
      <c r="C465" s="80"/>
      <c r="D465" s="27"/>
    </row>
    <row r="466" spans="2:13">
      <c r="B466" s="79"/>
      <c r="C466" s="80"/>
      <c r="D466" s="27"/>
    </row>
    <row r="467" spans="2:13">
      <c r="B467" s="79"/>
      <c r="C467" s="80"/>
      <c r="D467" s="27"/>
    </row>
    <row r="469" spans="2:13">
      <c r="B469" s="413" t="s">
        <v>69</v>
      </c>
      <c r="C469" s="413"/>
      <c r="D469" s="413"/>
      <c r="E469" s="413"/>
      <c r="F469" s="413"/>
      <c r="G469" s="413"/>
      <c r="H469" s="413"/>
      <c r="I469" s="413"/>
      <c r="J469" s="413"/>
      <c r="K469" s="413"/>
    </row>
    <row r="470" spans="2:13" ht="7.5" customHeight="1">
      <c r="B470" s="91"/>
      <c r="C470" s="91"/>
      <c r="D470" s="91"/>
      <c r="E470" s="91"/>
      <c r="F470" s="91"/>
      <c r="G470" s="91"/>
      <c r="H470" s="91"/>
      <c r="I470" s="23"/>
      <c r="J470" s="23"/>
      <c r="K470" s="396"/>
    </row>
    <row r="471" spans="2:13">
      <c r="B471" s="413" t="s">
        <v>70</v>
      </c>
      <c r="C471" s="413"/>
      <c r="D471" s="413"/>
      <c r="E471" s="413"/>
      <c r="F471" s="413"/>
      <c r="G471" s="413"/>
      <c r="H471" s="413"/>
      <c r="I471" s="413"/>
      <c r="J471" s="413"/>
      <c r="K471" s="413"/>
    </row>
    <row r="472" spans="2:13">
      <c r="B472" s="369" t="s">
        <v>71</v>
      </c>
      <c r="C472" s="369">
        <v>2017</v>
      </c>
      <c r="D472" s="369">
        <v>2016</v>
      </c>
      <c r="E472" s="369" t="s">
        <v>73</v>
      </c>
      <c r="F472" s="369">
        <v>2016</v>
      </c>
      <c r="G472" s="369">
        <v>2015</v>
      </c>
      <c r="H472" s="369" t="s">
        <v>73</v>
      </c>
      <c r="I472" s="369">
        <v>2015</v>
      </c>
      <c r="J472" s="369">
        <v>2014</v>
      </c>
      <c r="K472" s="390" t="s">
        <v>73</v>
      </c>
    </row>
    <row r="473" spans="2:13">
      <c r="B473" s="23" t="s">
        <v>46</v>
      </c>
      <c r="C473" s="69">
        <f>I144</f>
        <v>1.5497608130935312</v>
      </c>
      <c r="D473" s="69">
        <f>I226</f>
        <v>0.84560710760118463</v>
      </c>
      <c r="E473" s="69">
        <f>C473-D473</f>
        <v>0.70415370549234657</v>
      </c>
      <c r="F473" s="69">
        <f>D473</f>
        <v>0.84560710760118463</v>
      </c>
      <c r="G473" s="69">
        <f>I308</f>
        <v>0.37709034781148282</v>
      </c>
      <c r="H473" s="69">
        <f>F473-G473</f>
        <v>0.46851675978970181</v>
      </c>
      <c r="I473" s="69">
        <f>G473</f>
        <v>0.37709034781148282</v>
      </c>
      <c r="J473" s="69">
        <f>I389</f>
        <v>1.9476941706750983</v>
      </c>
      <c r="K473" s="397">
        <f>I473-J473</f>
        <v>-1.5706038228636154</v>
      </c>
    </row>
    <row r="474" spans="2:13">
      <c r="B474" s="92" t="s">
        <v>72</v>
      </c>
      <c r="C474" s="93">
        <f>I146</f>
        <v>154916000</v>
      </c>
      <c r="D474" s="94">
        <f>I228</f>
        <v>-25024000</v>
      </c>
      <c r="E474" s="95">
        <f t="shared" ref="E474" si="59">C474-D474</f>
        <v>179940000</v>
      </c>
      <c r="F474" s="94">
        <f>D474</f>
        <v>-25024000</v>
      </c>
      <c r="G474" s="94">
        <f>I310</f>
        <v>-77888000</v>
      </c>
      <c r="H474" s="95">
        <f t="shared" ref="H474" si="60">F474-G474</f>
        <v>52864000</v>
      </c>
      <c r="I474" s="96">
        <f>G474</f>
        <v>-77888000</v>
      </c>
      <c r="J474" s="94">
        <f>I391</f>
        <v>28174000</v>
      </c>
      <c r="K474" s="401">
        <f>I474-J474</f>
        <v>-106062000</v>
      </c>
    </row>
    <row r="476" spans="2:13">
      <c r="B476" s="413" t="s">
        <v>74</v>
      </c>
      <c r="C476" s="413"/>
      <c r="D476" s="413"/>
      <c r="E476" s="413"/>
      <c r="F476" s="413"/>
      <c r="G476" s="413"/>
      <c r="H476" s="413"/>
      <c r="I476" s="413"/>
      <c r="J476" s="413"/>
      <c r="K476" s="413"/>
      <c r="M476" s="398"/>
    </row>
    <row r="477" spans="2:13">
      <c r="B477" s="369" t="s">
        <v>71</v>
      </c>
      <c r="C477" s="369">
        <v>2017</v>
      </c>
      <c r="D477" s="369">
        <v>2016</v>
      </c>
      <c r="E477" s="369" t="s">
        <v>73</v>
      </c>
      <c r="F477" s="369">
        <v>2016</v>
      </c>
      <c r="G477" s="369">
        <v>2015</v>
      </c>
      <c r="H477" s="369" t="s">
        <v>73</v>
      </c>
      <c r="I477" s="369">
        <v>2015</v>
      </c>
      <c r="J477" s="369">
        <v>2014</v>
      </c>
      <c r="K477" s="390" t="s">
        <v>73</v>
      </c>
    </row>
    <row r="478" spans="2:13">
      <c r="B478" s="23" t="s">
        <v>75</v>
      </c>
      <c r="C478" s="69">
        <f>I149</f>
        <v>40.961259748941544</v>
      </c>
      <c r="D478" s="69">
        <f>I231</f>
        <v>51.873163226723335</v>
      </c>
      <c r="E478" s="69">
        <f>C478-D478</f>
        <v>-10.911903477781792</v>
      </c>
      <c r="F478" s="69">
        <f>D478</f>
        <v>51.873163226723335</v>
      </c>
      <c r="G478" s="69">
        <f>I313</f>
        <v>85.432135542729469</v>
      </c>
      <c r="H478" s="69">
        <f>F478-G478</f>
        <v>-33.558972316006134</v>
      </c>
      <c r="I478" s="69">
        <f>G478</f>
        <v>85.432135542729469</v>
      </c>
      <c r="J478" s="69">
        <f>I394</f>
        <v>70.874785591766724</v>
      </c>
      <c r="K478" s="403">
        <f t="shared" ref="K478:K482" si="61">I478-J478</f>
        <v>14.557349950962745</v>
      </c>
    </row>
    <row r="479" spans="2:13">
      <c r="B479" s="28" t="s">
        <v>76</v>
      </c>
      <c r="C479" s="72">
        <f>I151</f>
        <v>8.7887921955159722</v>
      </c>
      <c r="D479" s="72">
        <f>I233</f>
        <v>6.9400047655960169</v>
      </c>
      <c r="E479" s="72">
        <f t="shared" ref="E479:E482" si="62">C479-D479</f>
        <v>1.8487874299199554</v>
      </c>
      <c r="F479" s="72">
        <f>D479</f>
        <v>6.9400047655960169</v>
      </c>
      <c r="G479" s="72">
        <f>I315</f>
        <v>4.2138710183587014</v>
      </c>
      <c r="H479" s="72">
        <f t="shared" ref="H479:H482" si="63">F479-G479</f>
        <v>2.7261337472373155</v>
      </c>
      <c r="I479" s="72">
        <f>G479</f>
        <v>4.2138710183587014</v>
      </c>
      <c r="J479" s="72">
        <f>I396</f>
        <v>5.0793804453049374</v>
      </c>
      <c r="K479" s="402">
        <f t="shared" si="61"/>
        <v>-0.865509426946236</v>
      </c>
    </row>
    <row r="480" spans="2:13">
      <c r="B480" s="23" t="s">
        <v>77</v>
      </c>
      <c r="C480" s="69">
        <f>I150</f>
        <v>2.0171077327162563</v>
      </c>
      <c r="D480" s="69">
        <f>I232</f>
        <v>0.92028812524288017</v>
      </c>
      <c r="E480" s="69">
        <f t="shared" si="62"/>
        <v>1.096819607473376</v>
      </c>
      <c r="F480" s="69">
        <f>D480</f>
        <v>0.92028812524288017</v>
      </c>
      <c r="G480" s="69">
        <f>I314</f>
        <v>0.45818399680468647</v>
      </c>
      <c r="H480" s="69">
        <f t="shared" si="63"/>
        <v>0.46210412843819371</v>
      </c>
      <c r="I480" s="69">
        <f>G480</f>
        <v>0.45818399680468647</v>
      </c>
      <c r="J480" s="69">
        <f>I395</f>
        <v>0.1033</v>
      </c>
      <c r="K480" s="403">
        <f t="shared" si="61"/>
        <v>0.35488399680468646</v>
      </c>
    </row>
    <row r="481" spans="2:13">
      <c r="B481" s="28" t="s">
        <v>52</v>
      </c>
      <c r="C481" s="72">
        <f>I152</f>
        <v>0.96028478936269268</v>
      </c>
      <c r="D481" s="72">
        <f>I234</f>
        <v>0.74157836169344238</v>
      </c>
      <c r="E481" s="72">
        <f t="shared" si="62"/>
        <v>0.2187064276692503</v>
      </c>
      <c r="F481" s="72">
        <f>D481</f>
        <v>0.74157836169344238</v>
      </c>
      <c r="G481" s="72">
        <f>I316</f>
        <v>0.43112003617909656</v>
      </c>
      <c r="H481" s="72">
        <f t="shared" si="63"/>
        <v>0.31045832551434582</v>
      </c>
      <c r="I481" s="72">
        <f>G481</f>
        <v>0.43112003617909656</v>
      </c>
      <c r="J481" s="72">
        <f>I397</f>
        <v>9.4208416742285722E-2</v>
      </c>
      <c r="K481" s="402">
        <f t="shared" si="61"/>
        <v>0.33691161943681081</v>
      </c>
    </row>
    <row r="482" spans="2:13">
      <c r="B482" s="34" t="s">
        <v>53</v>
      </c>
      <c r="C482" s="69">
        <f>I153</f>
        <v>9.1</v>
      </c>
      <c r="D482" s="97">
        <f>I153</f>
        <v>9.1</v>
      </c>
      <c r="E482" s="69">
        <f t="shared" si="62"/>
        <v>0</v>
      </c>
      <c r="F482" s="97">
        <f>D482</f>
        <v>9.1</v>
      </c>
      <c r="G482" s="97">
        <f>I317</f>
        <v>9.1</v>
      </c>
      <c r="H482" s="69">
        <f t="shared" si="63"/>
        <v>0</v>
      </c>
      <c r="I482" s="97">
        <f>G482</f>
        <v>9.1</v>
      </c>
      <c r="J482" s="97">
        <f>I398</f>
        <v>9.1</v>
      </c>
      <c r="K482" s="403">
        <f t="shared" si="61"/>
        <v>0</v>
      </c>
    </row>
    <row r="484" spans="2:13">
      <c r="B484" s="427" t="s">
        <v>78</v>
      </c>
      <c r="C484" s="427"/>
      <c r="D484" s="427"/>
      <c r="E484" s="427"/>
      <c r="F484" s="427"/>
      <c r="G484" s="427"/>
      <c r="H484" s="427"/>
      <c r="I484" s="427"/>
      <c r="J484" s="427"/>
      <c r="K484" s="427"/>
    </row>
    <row r="485" spans="2:13">
      <c r="B485" s="371" t="s">
        <v>71</v>
      </c>
      <c r="C485" s="371">
        <v>2017</v>
      </c>
      <c r="D485" s="371">
        <v>2016</v>
      </c>
      <c r="E485" s="371" t="s">
        <v>73</v>
      </c>
      <c r="F485" s="371">
        <v>2016</v>
      </c>
      <c r="G485" s="371">
        <v>2015</v>
      </c>
      <c r="H485" s="371" t="s">
        <v>73</v>
      </c>
      <c r="I485" s="371">
        <v>2015</v>
      </c>
      <c r="J485" s="371">
        <v>2014</v>
      </c>
      <c r="K485" s="391" t="s">
        <v>73</v>
      </c>
    </row>
    <row r="486" spans="2:13">
      <c r="B486" s="23" t="s">
        <v>57</v>
      </c>
      <c r="C486" s="98">
        <f t="shared" ref="C486:C491" si="64">I156</f>
        <v>0.27890689180762723</v>
      </c>
      <c r="D486" s="98">
        <f t="shared" ref="D486:D491" si="65">I238</f>
        <v>0.18867463287720668</v>
      </c>
      <c r="E486" s="98">
        <f>C486-D486</f>
        <v>9.0232258930420556E-2</v>
      </c>
      <c r="F486" s="98">
        <f t="shared" ref="F486:F491" si="66">D486</f>
        <v>0.18867463287720668</v>
      </c>
      <c r="G486" s="98">
        <f t="shared" ref="G486:G491" si="67">I320</f>
        <v>0.15664120683845056</v>
      </c>
      <c r="H486" s="98">
        <f>F486-G486</f>
        <v>3.2033426038756113E-2</v>
      </c>
      <c r="I486" s="98">
        <f t="shared" ref="I486:I491" si="68">G486</f>
        <v>0.15664120683845056</v>
      </c>
      <c r="J486" s="98">
        <f t="shared" ref="J486:J491" si="69">I401</f>
        <v>4.5187512444843696E-2</v>
      </c>
      <c r="K486" s="98">
        <f t="shared" ref="K486:K491" si="70">I486-J486</f>
        <v>0.11145369439360686</v>
      </c>
      <c r="M486" s="399"/>
    </row>
    <row r="487" spans="2:13">
      <c r="B487" s="28" t="s">
        <v>58</v>
      </c>
      <c r="C487" s="99">
        <f t="shared" si="64"/>
        <v>0.18824080514429287</v>
      </c>
      <c r="D487" s="99">
        <f t="shared" si="65"/>
        <v>0</v>
      </c>
      <c r="E487" s="99">
        <f t="shared" ref="E487:E491" si="71">C487-D487</f>
        <v>0.18824080514429287</v>
      </c>
      <c r="F487" s="99">
        <f t="shared" si="66"/>
        <v>0</v>
      </c>
      <c r="G487" s="99">
        <f t="shared" si="67"/>
        <v>0</v>
      </c>
      <c r="H487" s="99">
        <f t="shared" ref="H487:H491" si="72">F487-G487</f>
        <v>0</v>
      </c>
      <c r="I487" s="99">
        <f t="shared" si="68"/>
        <v>0</v>
      </c>
      <c r="J487" s="99">
        <f t="shared" si="69"/>
        <v>0</v>
      </c>
      <c r="K487" s="99">
        <f t="shared" si="70"/>
        <v>0</v>
      </c>
    </row>
    <row r="488" spans="2:13">
      <c r="B488" s="23" t="s">
        <v>79</v>
      </c>
      <c r="C488" s="98">
        <f t="shared" si="64"/>
        <v>0.72109310819237282</v>
      </c>
      <c r="D488" s="98">
        <f t="shared" si="65"/>
        <v>0.81132536712279335</v>
      </c>
      <c r="E488" s="98">
        <f t="shared" si="71"/>
        <v>-9.0232258930420528E-2</v>
      </c>
      <c r="F488" s="98">
        <f t="shared" si="66"/>
        <v>0.81132536712279335</v>
      </c>
      <c r="G488" s="98">
        <f t="shared" si="67"/>
        <v>0.84335879316154949</v>
      </c>
      <c r="H488" s="98">
        <f t="shared" si="72"/>
        <v>-3.2033426038756141E-2</v>
      </c>
      <c r="I488" s="98">
        <f t="shared" si="68"/>
        <v>0.84335879316154949</v>
      </c>
      <c r="J488" s="98">
        <f t="shared" si="69"/>
        <v>0.95058694062802573</v>
      </c>
      <c r="K488" s="98">
        <f t="shared" si="70"/>
        <v>-0.10722814746647624</v>
      </c>
    </row>
    <row r="489" spans="2:13">
      <c r="B489" s="28" t="s">
        <v>80</v>
      </c>
      <c r="C489" s="99">
        <f t="shared" si="64"/>
        <v>2.5854259230343377</v>
      </c>
      <c r="D489" s="99">
        <f t="shared" si="65"/>
        <v>4.3001295656465945</v>
      </c>
      <c r="E489" s="99">
        <f t="shared" si="71"/>
        <v>-1.7147036426122568</v>
      </c>
      <c r="F489" s="99">
        <f t="shared" si="66"/>
        <v>4.3001295656465945</v>
      </c>
      <c r="G489" s="99">
        <f t="shared" si="67"/>
        <v>5.3840161869496717</v>
      </c>
      <c r="H489" s="99">
        <f t="shared" si="72"/>
        <v>-1.0838866213030771</v>
      </c>
      <c r="I489" s="99">
        <f t="shared" si="68"/>
        <v>5.3840161869496717</v>
      </c>
      <c r="J489" s="99">
        <f t="shared" si="69"/>
        <v>21.036496350364963</v>
      </c>
      <c r="K489" s="99">
        <f t="shared" si="70"/>
        <v>-15.652480163415291</v>
      </c>
    </row>
    <row r="490" spans="2:13">
      <c r="B490" s="34" t="s">
        <v>262</v>
      </c>
      <c r="C490" s="404">
        <f t="shared" si="64"/>
        <v>0.38678346615569176</v>
      </c>
      <c r="D490" s="404">
        <f t="shared" si="65"/>
        <v>0.23255113240980538</v>
      </c>
      <c r="E490" s="404">
        <f t="shared" si="71"/>
        <v>0.15423233374588638</v>
      </c>
      <c r="F490" s="404">
        <f t="shared" si="66"/>
        <v>0.23255113240980538</v>
      </c>
      <c r="G490" s="404">
        <f t="shared" si="67"/>
        <v>0.18573495421947323</v>
      </c>
      <c r="H490" s="404">
        <f t="shared" si="72"/>
        <v>4.6816178190332153E-2</v>
      </c>
      <c r="I490" s="404">
        <f t="shared" si="68"/>
        <v>0.18573495421947323</v>
      </c>
      <c r="J490" s="404">
        <f t="shared" si="69"/>
        <v>4.7536433032616239E-2</v>
      </c>
      <c r="K490" s="404">
        <f t="shared" si="70"/>
        <v>0.13819852118685699</v>
      </c>
    </row>
    <row r="491" spans="2:13">
      <c r="B491" s="28" t="s">
        <v>62</v>
      </c>
      <c r="C491" s="405">
        <f t="shared" si="64"/>
        <v>1</v>
      </c>
      <c r="D491" s="405">
        <f t="shared" si="65"/>
        <v>1</v>
      </c>
      <c r="E491" s="99">
        <f t="shared" si="71"/>
        <v>0</v>
      </c>
      <c r="F491" s="405">
        <f t="shared" si="66"/>
        <v>1</v>
      </c>
      <c r="G491" s="405">
        <f t="shared" si="67"/>
        <v>1</v>
      </c>
      <c r="H491" s="99">
        <f t="shared" si="72"/>
        <v>0</v>
      </c>
      <c r="I491" s="405">
        <f t="shared" si="68"/>
        <v>1</v>
      </c>
      <c r="J491" s="405">
        <f t="shared" si="69"/>
        <v>1</v>
      </c>
      <c r="K491" s="99">
        <f t="shared" si="70"/>
        <v>0</v>
      </c>
    </row>
    <row r="493" spans="2:13">
      <c r="B493" s="427" t="s">
        <v>81</v>
      </c>
      <c r="C493" s="427"/>
      <c r="D493" s="427"/>
      <c r="E493" s="427"/>
      <c r="F493" s="427"/>
      <c r="G493" s="427"/>
      <c r="H493" s="427"/>
      <c r="I493" s="427"/>
      <c r="J493" s="427"/>
      <c r="K493" s="427"/>
    </row>
    <row r="494" spans="2:13">
      <c r="B494" s="371" t="s">
        <v>71</v>
      </c>
      <c r="C494" s="371">
        <v>2017</v>
      </c>
      <c r="D494" s="371">
        <v>2016</v>
      </c>
      <c r="E494" s="371" t="s">
        <v>73</v>
      </c>
      <c r="F494" s="371">
        <v>2016</v>
      </c>
      <c r="G494" s="371">
        <v>2015</v>
      </c>
      <c r="H494" s="371" t="s">
        <v>73</v>
      </c>
      <c r="I494" s="371">
        <v>2015</v>
      </c>
      <c r="J494" s="371">
        <v>2014</v>
      </c>
      <c r="K494" s="391" t="s">
        <v>73</v>
      </c>
    </row>
    <row r="495" spans="2:13">
      <c r="B495" s="23" t="s">
        <v>64</v>
      </c>
      <c r="C495" s="98">
        <f>I164</f>
        <v>0.12030694294781517</v>
      </c>
      <c r="D495" s="98">
        <f>I246</f>
        <v>0.14105410157958395</v>
      </c>
      <c r="E495" s="98">
        <f>C495-D495</f>
        <v>-2.0747158631768778E-2</v>
      </c>
      <c r="F495" s="98">
        <f>D495</f>
        <v>0.14105410157958395</v>
      </c>
      <c r="G495" s="98">
        <f>I328</f>
        <v>0.29277158847220042</v>
      </c>
      <c r="H495" s="98">
        <f>F495-G495</f>
        <v>-0.15171748689261647</v>
      </c>
      <c r="I495" s="98">
        <f>G495</f>
        <v>0.29277158847220042</v>
      </c>
      <c r="J495" s="98">
        <f>I409</f>
        <v>0.16311713455953533</v>
      </c>
      <c r="K495" s="98">
        <f>I495-J495</f>
        <v>0.12965445391266509</v>
      </c>
    </row>
    <row r="496" spans="2:13">
      <c r="B496" s="28" t="s">
        <v>65</v>
      </c>
      <c r="C496" s="99">
        <f>I165</f>
        <v>5.2373707216954279E-2</v>
      </c>
      <c r="D496" s="99">
        <f>I247</f>
        <v>5.7885402496810366E-2</v>
      </c>
      <c r="E496" s="99">
        <f t="shared" ref="E496:E499" si="73">C496-D496</f>
        <v>-5.5116952798560867E-3</v>
      </c>
      <c r="F496" s="99">
        <f>D496</f>
        <v>5.7885402496810366E-2</v>
      </c>
      <c r="G496" s="99">
        <f>I329</f>
        <v>0.209831987958459</v>
      </c>
      <c r="H496" s="99">
        <f t="shared" ref="H496:H499" si="74">F496-G496</f>
        <v>-0.15194658546164863</v>
      </c>
      <c r="I496" s="99">
        <f>G496</f>
        <v>0.209831987958459</v>
      </c>
      <c r="J496" s="99">
        <f>I410</f>
        <v>0.13188125201677961</v>
      </c>
      <c r="K496" s="99">
        <f>I496-J496</f>
        <v>7.7950735941679394E-2</v>
      </c>
    </row>
    <row r="497" spans="2:11">
      <c r="B497" s="23" t="s">
        <v>82</v>
      </c>
      <c r="C497" s="98">
        <f>I166</f>
        <v>2.74850767444411E-2</v>
      </c>
      <c r="D497" s="98">
        <f>I248</f>
        <v>3.5821899421794458E-2</v>
      </c>
      <c r="E497" s="98">
        <f t="shared" si="73"/>
        <v>-8.3368226773533581E-3</v>
      </c>
      <c r="F497" s="98">
        <f>D497</f>
        <v>3.5821899421794458E-2</v>
      </c>
      <c r="G497" s="98">
        <f>I330</f>
        <v>0.1389484573228493</v>
      </c>
      <c r="H497" s="98">
        <f t="shared" si="74"/>
        <v>-0.10312655790105485</v>
      </c>
      <c r="I497" s="98">
        <f>G497</f>
        <v>0.1389484573228493</v>
      </c>
      <c r="J497" s="98">
        <f>I411</f>
        <v>0.13188125201677961</v>
      </c>
      <c r="K497" s="98">
        <f>I497-J497</f>
        <v>7.0672053060696904E-3</v>
      </c>
    </row>
    <row r="498" spans="2:11">
      <c r="B498" s="28" t="s">
        <v>67</v>
      </c>
      <c r="C498" s="99">
        <f>I167</f>
        <v>4.3342731098550254E-2</v>
      </c>
      <c r="D498" s="99">
        <f>I249</f>
        <v>3.4080620978097893E-2</v>
      </c>
      <c r="E498" s="99">
        <f t="shared" si="73"/>
        <v>9.2621101204523604E-3</v>
      </c>
      <c r="F498" s="99">
        <f>D498</f>
        <v>3.4080620978097893E-2</v>
      </c>
      <c r="G498" s="99">
        <f>I331</f>
        <v>7.1029631082036568E-2</v>
      </c>
      <c r="H498" s="99">
        <f t="shared" si="74"/>
        <v>-3.6949010103938675E-2</v>
      </c>
      <c r="I498" s="99">
        <f>G498</f>
        <v>7.1029631082036568E-2</v>
      </c>
      <c r="J498" s="99">
        <f>I412</f>
        <v>1.3070160570776182E-2</v>
      </c>
      <c r="K498" s="99">
        <f>I498-J498</f>
        <v>5.7959470511260387E-2</v>
      </c>
    </row>
    <row r="499" spans="2:11">
      <c r="B499" s="23" t="s">
        <v>68</v>
      </c>
      <c r="C499" s="98">
        <f>I168</f>
        <v>3.1254144685399818E-2</v>
      </c>
      <c r="D499" s="98">
        <f>I250</f>
        <v>2.7650472326828046E-2</v>
      </c>
      <c r="E499" s="98">
        <f t="shared" si="73"/>
        <v>3.6036723585717717E-3</v>
      </c>
      <c r="F499" s="98">
        <f>D499</f>
        <v>2.7650472326828046E-2</v>
      </c>
      <c r="G499" s="98">
        <f>I332</f>
        <v>5.9903463948056436E-2</v>
      </c>
      <c r="H499" s="98">
        <f t="shared" si="74"/>
        <v>-3.225299162122839E-2</v>
      </c>
      <c r="I499" s="98">
        <f>G499</f>
        <v>5.9903463948056436E-2</v>
      </c>
      <c r="J499" s="98">
        <f>I413</f>
        <v>1.2424323950491182E-2</v>
      </c>
      <c r="K499" s="98">
        <f>I499-J499</f>
        <v>4.7479139997565256E-2</v>
      </c>
    </row>
    <row r="500" spans="2:11">
      <c r="B500" s="22"/>
      <c r="C500" s="82"/>
      <c r="D500" s="82"/>
      <c r="E500" s="82"/>
      <c r="F500" s="82"/>
      <c r="G500" s="82"/>
      <c r="H500" s="82"/>
      <c r="K500" s="366"/>
    </row>
    <row r="501" spans="2:11">
      <c r="B501" s="430" t="s">
        <v>266</v>
      </c>
      <c r="C501" s="430"/>
      <c r="D501" s="430"/>
      <c r="E501" s="430"/>
      <c r="F501" s="430"/>
      <c r="G501" s="430"/>
      <c r="H501" s="430"/>
      <c r="I501" s="430"/>
      <c r="J501" s="430"/>
    </row>
    <row r="503" spans="2:11">
      <c r="B503" s="430" t="s">
        <v>267</v>
      </c>
      <c r="C503" s="430"/>
      <c r="D503" s="430"/>
      <c r="E503" s="83"/>
      <c r="F503" s="83"/>
      <c r="G503" s="83"/>
    </row>
    <row r="504" spans="2:11">
      <c r="B504" s="83"/>
      <c r="C504" s="83"/>
      <c r="D504" s="83"/>
      <c r="E504" s="83"/>
      <c r="F504" s="83"/>
      <c r="G504" s="83"/>
    </row>
    <row r="505" spans="2:11">
      <c r="B505" s="428" t="s">
        <v>263</v>
      </c>
      <c r="C505" s="428"/>
      <c r="D505" s="428"/>
      <c r="E505" s="428"/>
      <c r="F505" s="428"/>
      <c r="G505" s="428"/>
      <c r="H505" s="428"/>
      <c r="I505" s="428"/>
    </row>
    <row r="510" spans="2:11" ht="21" customHeight="1"/>
    <row r="536" spans="2:10">
      <c r="B536" s="430" t="s">
        <v>266</v>
      </c>
      <c r="C536" s="430"/>
      <c r="D536" s="430"/>
      <c r="E536" s="430"/>
      <c r="F536" s="430"/>
      <c r="G536" s="430"/>
      <c r="H536" s="430"/>
      <c r="I536" s="430"/>
      <c r="J536" s="430"/>
    </row>
    <row r="538" spans="2:10">
      <c r="B538" s="431" t="s">
        <v>265</v>
      </c>
      <c r="C538" s="431"/>
      <c r="D538" s="431"/>
      <c r="E538" s="83"/>
      <c r="F538" s="83"/>
      <c r="G538" s="83"/>
    </row>
    <row r="540" spans="2:10">
      <c r="B540" s="428" t="s">
        <v>83</v>
      </c>
      <c r="C540" s="428"/>
      <c r="D540" s="428"/>
      <c r="E540" s="428"/>
      <c r="F540" s="428"/>
      <c r="G540" s="428"/>
      <c r="H540" s="428"/>
      <c r="I540" s="428"/>
      <c r="J540" s="428"/>
    </row>
    <row r="541" spans="2:10">
      <c r="C541" s="84"/>
      <c r="D541" s="84"/>
      <c r="E541" s="84"/>
      <c r="F541" s="85"/>
      <c r="G541" s="85"/>
    </row>
    <row r="545" ht="21" customHeight="1"/>
    <row r="567" spans="2:10">
      <c r="B567" s="430" t="s">
        <v>264</v>
      </c>
      <c r="C567" s="430"/>
      <c r="D567" s="430"/>
      <c r="E567" s="430"/>
      <c r="F567" s="430"/>
      <c r="G567" s="430"/>
      <c r="H567" s="430"/>
      <c r="I567" s="430"/>
      <c r="J567" s="430"/>
    </row>
    <row r="568" spans="2:10">
      <c r="B568" s="85"/>
      <c r="C568" s="85"/>
      <c r="D568" s="85"/>
      <c r="E568" s="85"/>
      <c r="F568" s="85"/>
      <c r="G568" s="85"/>
    </row>
    <row r="597" spans="2:10">
      <c r="B597" s="430" t="s">
        <v>268</v>
      </c>
      <c r="C597" s="430"/>
      <c r="D597" s="430"/>
      <c r="E597" s="430"/>
      <c r="F597" s="430"/>
      <c r="G597" s="430"/>
      <c r="H597" s="430"/>
      <c r="I597" s="430"/>
      <c r="J597" s="430"/>
    </row>
    <row r="599" spans="2:10">
      <c r="B599" s="85"/>
      <c r="C599" s="85"/>
      <c r="D599" s="85"/>
      <c r="E599" s="85"/>
      <c r="F599" s="85"/>
      <c r="G599" s="85"/>
    </row>
    <row r="622" spans="2:11">
      <c r="K622" s="400"/>
    </row>
    <row r="624" spans="2:11">
      <c r="B624" s="430" t="s">
        <v>266</v>
      </c>
      <c r="C624" s="430"/>
      <c r="D624" s="430"/>
      <c r="E624" s="430"/>
      <c r="F624" s="430"/>
      <c r="G624" s="430"/>
      <c r="H624" s="430"/>
      <c r="I624" s="430"/>
      <c r="J624" s="430"/>
    </row>
    <row r="626" spans="2:15">
      <c r="B626" s="430" t="s">
        <v>269</v>
      </c>
      <c r="C626" s="430"/>
      <c r="D626" s="430"/>
      <c r="E626" s="430"/>
      <c r="F626" s="430"/>
      <c r="G626" s="430"/>
      <c r="H626" s="430"/>
      <c r="I626" s="430"/>
      <c r="J626" s="430"/>
    </row>
    <row r="627" spans="2:15" s="16" customFormat="1">
      <c r="B627" s="19"/>
      <c r="C627" s="19"/>
      <c r="D627" s="19"/>
      <c r="E627" s="19"/>
      <c r="F627" s="19"/>
      <c r="G627" s="19"/>
      <c r="H627" s="19"/>
      <c r="I627" s="20"/>
      <c r="J627" s="19"/>
      <c r="K627" s="392"/>
      <c r="L627" s="400"/>
      <c r="M627" s="400"/>
      <c r="N627" s="400"/>
      <c r="O627" s="400"/>
    </row>
    <row r="628" spans="2:15">
      <c r="B628" s="428" t="s">
        <v>84</v>
      </c>
      <c r="C628" s="428"/>
      <c r="D628" s="428"/>
      <c r="E628" s="428"/>
      <c r="F628" s="428"/>
      <c r="G628" s="428"/>
      <c r="H628" s="428"/>
      <c r="I628" s="428"/>
      <c r="J628" s="428"/>
    </row>
    <row r="633" spans="2:15" ht="22.5" customHeight="1"/>
    <row r="660" spans="2:10">
      <c r="B660" s="430" t="s">
        <v>270</v>
      </c>
      <c r="C660" s="430"/>
      <c r="D660" s="430"/>
      <c r="E660" s="430"/>
      <c r="F660" s="430"/>
      <c r="G660" s="430"/>
      <c r="H660" s="430"/>
      <c r="I660" s="430"/>
      <c r="J660" s="430"/>
    </row>
    <row r="661" spans="2:10">
      <c r="B661" s="429" t="s">
        <v>84</v>
      </c>
      <c r="C661" s="429"/>
      <c r="D661" s="429"/>
      <c r="E661" s="429"/>
      <c r="F661" s="429"/>
      <c r="G661" s="429"/>
      <c r="H661" s="429"/>
      <c r="I661" s="429"/>
      <c r="J661" s="429"/>
    </row>
    <row r="662" spans="2:10">
      <c r="B662" s="86"/>
      <c r="C662" s="86"/>
    </row>
    <row r="663" spans="2:10">
      <c r="B663" s="86"/>
      <c r="C663" s="86"/>
    </row>
    <row r="666" spans="2:10" ht="28.5" customHeight="1"/>
    <row r="694" spans="2:10">
      <c r="B694" s="430" t="s">
        <v>271</v>
      </c>
      <c r="C694" s="430"/>
      <c r="D694" s="430"/>
      <c r="E694" s="430"/>
      <c r="F694" s="430"/>
      <c r="G694" s="430"/>
      <c r="H694" s="430"/>
      <c r="I694" s="430"/>
      <c r="J694" s="430"/>
    </row>
    <row r="696" spans="2:10" ht="15" customHeight="1">
      <c r="B696" s="406" t="s">
        <v>272</v>
      </c>
      <c r="C696" s="406"/>
      <c r="D696" s="406"/>
      <c r="E696" s="406"/>
      <c r="F696" s="406"/>
      <c r="G696" s="406"/>
      <c r="H696" s="406"/>
      <c r="I696" s="406"/>
      <c r="J696" s="406"/>
    </row>
    <row r="697" spans="2:10">
      <c r="B697" s="406"/>
      <c r="C697" s="406"/>
      <c r="D697" s="406"/>
      <c r="E697" s="406"/>
      <c r="F697" s="406"/>
      <c r="G697" s="406"/>
      <c r="H697" s="406"/>
      <c r="I697" s="406"/>
      <c r="J697" s="406"/>
    </row>
    <row r="699" spans="2:10">
      <c r="B699" s="406" t="s">
        <v>274</v>
      </c>
      <c r="C699" s="406"/>
      <c r="D699" s="406"/>
      <c r="E699" s="406"/>
      <c r="F699" s="406"/>
      <c r="G699" s="406"/>
      <c r="H699" s="406"/>
      <c r="I699" s="406"/>
      <c r="J699" s="406"/>
    </row>
    <row r="700" spans="2:10">
      <c r="B700" s="406"/>
      <c r="C700" s="406"/>
      <c r="D700" s="406"/>
      <c r="E700" s="406"/>
      <c r="F700" s="406"/>
      <c r="G700" s="406"/>
      <c r="H700" s="406"/>
      <c r="I700" s="406"/>
      <c r="J700" s="406"/>
    </row>
    <row r="701" spans="2:10" ht="15" customHeight="1">
      <c r="B701" s="406"/>
      <c r="C701" s="406"/>
      <c r="D701" s="406"/>
      <c r="E701" s="406"/>
      <c r="F701" s="406"/>
      <c r="G701" s="406"/>
      <c r="H701" s="406"/>
      <c r="I701" s="406"/>
      <c r="J701" s="406"/>
    </row>
    <row r="702" spans="2:10">
      <c r="B702" s="406"/>
      <c r="C702" s="406"/>
      <c r="D702" s="406"/>
      <c r="E702" s="406"/>
      <c r="F702" s="406"/>
      <c r="G702" s="406"/>
      <c r="H702" s="406"/>
      <c r="I702" s="406"/>
      <c r="J702" s="406"/>
    </row>
    <row r="704" spans="2:10" ht="15" customHeight="1">
      <c r="B704" s="406" t="s">
        <v>321</v>
      </c>
      <c r="C704" s="406"/>
      <c r="D704" s="406"/>
      <c r="E704" s="406"/>
      <c r="F704" s="406"/>
      <c r="G704" s="406"/>
      <c r="H704" s="406"/>
      <c r="I704" s="406"/>
      <c r="J704" s="406"/>
    </row>
    <row r="705" spans="2:10">
      <c r="B705" s="406"/>
      <c r="C705" s="406"/>
      <c r="D705" s="406"/>
      <c r="E705" s="406"/>
      <c r="F705" s="406"/>
      <c r="G705" s="406"/>
      <c r="H705" s="406"/>
      <c r="I705" s="406"/>
      <c r="J705" s="406"/>
    </row>
    <row r="707" spans="2:10">
      <c r="B707" s="406" t="s">
        <v>325</v>
      </c>
      <c r="C707" s="406"/>
      <c r="D707" s="406"/>
      <c r="E707" s="406"/>
      <c r="F707" s="406"/>
      <c r="G707" s="406"/>
      <c r="H707" s="406"/>
      <c r="I707" s="406"/>
      <c r="J707" s="406"/>
    </row>
    <row r="708" spans="2:10">
      <c r="B708" s="406"/>
      <c r="C708" s="406"/>
      <c r="D708" s="406"/>
      <c r="E708" s="406"/>
      <c r="F708" s="406"/>
      <c r="G708" s="406"/>
      <c r="H708" s="406"/>
      <c r="I708" s="406"/>
      <c r="J708" s="406"/>
    </row>
    <row r="709" spans="2:10" ht="15" customHeight="1">
      <c r="B709" s="406"/>
      <c r="C709" s="406"/>
      <c r="D709" s="406"/>
      <c r="E709" s="406"/>
      <c r="F709" s="406"/>
      <c r="G709" s="406"/>
      <c r="H709" s="406"/>
      <c r="I709" s="406"/>
      <c r="J709" s="406"/>
    </row>
    <row r="711" spans="2:10">
      <c r="B711" s="406" t="s">
        <v>326</v>
      </c>
      <c r="C711" s="406"/>
      <c r="D711" s="406"/>
      <c r="E711" s="406"/>
      <c r="F711" s="406"/>
      <c r="G711" s="406"/>
      <c r="H711" s="406"/>
      <c r="I711" s="406"/>
      <c r="J711" s="406"/>
    </row>
    <row r="712" spans="2:10">
      <c r="B712" s="406"/>
      <c r="C712" s="406"/>
      <c r="D712" s="406"/>
      <c r="E712" s="406"/>
      <c r="F712" s="406"/>
      <c r="G712" s="406"/>
      <c r="H712" s="406"/>
      <c r="I712" s="406"/>
      <c r="J712" s="406"/>
    </row>
    <row r="714" spans="2:10">
      <c r="B714" s="406" t="s">
        <v>322</v>
      </c>
      <c r="C714" s="406"/>
      <c r="D714" s="406"/>
      <c r="E714" s="406"/>
      <c r="F714" s="406"/>
      <c r="G714" s="406"/>
      <c r="H714" s="406"/>
      <c r="I714" s="406"/>
      <c r="J714" s="406"/>
    </row>
    <row r="715" spans="2:10">
      <c r="B715" s="406"/>
      <c r="C715" s="406"/>
      <c r="D715" s="406"/>
      <c r="E715" s="406"/>
      <c r="F715" s="406"/>
      <c r="G715" s="406"/>
      <c r="H715" s="406"/>
      <c r="I715" s="406"/>
      <c r="J715" s="406"/>
    </row>
    <row r="717" spans="2:10">
      <c r="B717" s="406" t="s">
        <v>323</v>
      </c>
      <c r="C717" s="406"/>
      <c r="D717" s="406"/>
      <c r="E717" s="406"/>
      <c r="F717" s="406"/>
      <c r="G717" s="406"/>
      <c r="H717" s="406"/>
      <c r="I717" s="406"/>
      <c r="J717" s="406"/>
    </row>
    <row r="718" spans="2:10">
      <c r="B718" s="406"/>
      <c r="C718" s="406"/>
      <c r="D718" s="406"/>
      <c r="E718" s="406"/>
      <c r="F718" s="406"/>
      <c r="G718" s="406"/>
      <c r="H718" s="406"/>
      <c r="I718" s="406"/>
      <c r="J718" s="406"/>
    </row>
    <row r="720" spans="2:10">
      <c r="B720" s="406" t="s">
        <v>327</v>
      </c>
      <c r="C720" s="406"/>
      <c r="D720" s="406"/>
      <c r="E720" s="406"/>
      <c r="F720" s="406"/>
      <c r="G720" s="406"/>
      <c r="H720" s="406"/>
      <c r="I720" s="406"/>
      <c r="J720" s="406"/>
    </row>
    <row r="721" spans="2:10">
      <c r="B721" s="406"/>
      <c r="C721" s="406"/>
      <c r="D721" s="406"/>
      <c r="E721" s="406"/>
      <c r="F721" s="406"/>
      <c r="G721" s="406"/>
      <c r="H721" s="406"/>
      <c r="I721" s="406"/>
      <c r="J721" s="406"/>
    </row>
    <row r="723" spans="2:10" ht="15.75" customHeight="1">
      <c r="B723" s="406" t="s">
        <v>324</v>
      </c>
      <c r="C723" s="406"/>
      <c r="D723" s="406"/>
      <c r="E723" s="406"/>
      <c r="F723" s="406"/>
      <c r="G723" s="406"/>
      <c r="H723" s="406"/>
      <c r="I723" s="406"/>
      <c r="J723" s="406"/>
    </row>
    <row r="724" spans="2:10">
      <c r="B724" s="406"/>
      <c r="C724" s="406"/>
      <c r="D724" s="406"/>
      <c r="E724" s="406"/>
      <c r="F724" s="406"/>
      <c r="G724" s="406"/>
      <c r="H724" s="406"/>
      <c r="I724" s="406"/>
      <c r="J724" s="406"/>
    </row>
    <row r="725" spans="2:10">
      <c r="B725" s="406"/>
      <c r="C725" s="406"/>
      <c r="D725" s="406"/>
      <c r="E725" s="406"/>
      <c r="F725" s="406"/>
      <c r="G725" s="406"/>
      <c r="H725" s="406"/>
      <c r="I725" s="406"/>
      <c r="J725" s="406"/>
    </row>
  </sheetData>
  <mergeCells count="162">
    <mergeCell ref="F404:H404"/>
    <mergeCell ref="F396:H396"/>
    <mergeCell ref="F397:H397"/>
    <mergeCell ref="F398:H398"/>
    <mergeCell ref="B403:D403"/>
    <mergeCell ref="F400:I400"/>
    <mergeCell ref="F391:H391"/>
    <mergeCell ref="F393:I393"/>
    <mergeCell ref="B493:K493"/>
    <mergeCell ref="F420:H420"/>
    <mergeCell ref="F421:H421"/>
    <mergeCell ref="F410:H410"/>
    <mergeCell ref="F411:H411"/>
    <mergeCell ref="F412:H412"/>
    <mergeCell ref="F413:H413"/>
    <mergeCell ref="F414:H414"/>
    <mergeCell ref="B2:G2"/>
    <mergeCell ref="B3:G3"/>
    <mergeCell ref="B221:I221"/>
    <mergeCell ref="B224:D224"/>
    <mergeCell ref="B303:I303"/>
    <mergeCell ref="B306:D306"/>
    <mergeCell ref="B385:I385"/>
    <mergeCell ref="B471:K471"/>
    <mergeCell ref="B476:K476"/>
    <mergeCell ref="F405:H405"/>
    <mergeCell ref="F406:H406"/>
    <mergeCell ref="F408:I408"/>
    <mergeCell ref="F409:H409"/>
    <mergeCell ref="F401:H401"/>
    <mergeCell ref="F402:H402"/>
    <mergeCell ref="F403:H403"/>
    <mergeCell ref="F394:H394"/>
    <mergeCell ref="F395:H395"/>
    <mergeCell ref="F388:I388"/>
    <mergeCell ref="F389:H389"/>
    <mergeCell ref="F390:H390"/>
    <mergeCell ref="F334:H334"/>
    <mergeCell ref="F340:H340"/>
    <mergeCell ref="B387:D387"/>
    <mergeCell ref="B707:J709"/>
    <mergeCell ref="B711:J712"/>
    <mergeCell ref="B714:J715"/>
    <mergeCell ref="B717:J718"/>
    <mergeCell ref="B720:J721"/>
    <mergeCell ref="B469:K469"/>
    <mergeCell ref="B505:I505"/>
    <mergeCell ref="B540:J540"/>
    <mergeCell ref="B628:J628"/>
    <mergeCell ref="B661:J661"/>
    <mergeCell ref="B694:J694"/>
    <mergeCell ref="B696:J697"/>
    <mergeCell ref="B699:J702"/>
    <mergeCell ref="B704:J705"/>
    <mergeCell ref="B501:J501"/>
    <mergeCell ref="B536:J536"/>
    <mergeCell ref="B624:J624"/>
    <mergeCell ref="B503:D503"/>
    <mergeCell ref="B538:D538"/>
    <mergeCell ref="B484:K484"/>
    <mergeCell ref="B567:J567"/>
    <mergeCell ref="B597:J597"/>
    <mergeCell ref="B626:J626"/>
    <mergeCell ref="B660:J660"/>
    <mergeCell ref="F387:I387"/>
    <mergeCell ref="F329:H329"/>
    <mergeCell ref="F330:H330"/>
    <mergeCell ref="F331:H331"/>
    <mergeCell ref="F332:H332"/>
    <mergeCell ref="F333:H333"/>
    <mergeCell ref="F324:H324"/>
    <mergeCell ref="F325:H325"/>
    <mergeCell ref="F327:I327"/>
    <mergeCell ref="F328:H328"/>
    <mergeCell ref="F320:H320"/>
    <mergeCell ref="F321:H321"/>
    <mergeCell ref="F322:H322"/>
    <mergeCell ref="F323:H323"/>
    <mergeCell ref="F315:H315"/>
    <mergeCell ref="F316:H316"/>
    <mergeCell ref="F317:H317"/>
    <mergeCell ref="B322:D322"/>
    <mergeCell ref="F319:I319"/>
    <mergeCell ref="F310:H310"/>
    <mergeCell ref="F312:I312"/>
    <mergeCell ref="F313:H313"/>
    <mergeCell ref="F314:H314"/>
    <mergeCell ref="F306:I306"/>
    <mergeCell ref="F307:I307"/>
    <mergeCell ref="F308:H308"/>
    <mergeCell ref="F309:H309"/>
    <mergeCell ref="F257:H257"/>
    <mergeCell ref="F258:H258"/>
    <mergeCell ref="B305:D305"/>
    <mergeCell ref="F305:I305"/>
    <mergeCell ref="F247:H247"/>
    <mergeCell ref="F248:H248"/>
    <mergeCell ref="F249:H249"/>
    <mergeCell ref="F250:H250"/>
    <mergeCell ref="F251:H251"/>
    <mergeCell ref="F225:I225"/>
    <mergeCell ref="F226:H226"/>
    <mergeCell ref="F227:H227"/>
    <mergeCell ref="F242:H242"/>
    <mergeCell ref="F243:H243"/>
    <mergeCell ref="F245:I245"/>
    <mergeCell ref="F246:H246"/>
    <mergeCell ref="F238:H238"/>
    <mergeCell ref="F239:H239"/>
    <mergeCell ref="F240:H240"/>
    <mergeCell ref="F241:H241"/>
    <mergeCell ref="F233:H233"/>
    <mergeCell ref="F234:H234"/>
    <mergeCell ref="F235:H235"/>
    <mergeCell ref="B5:G5"/>
    <mergeCell ref="F168:H168"/>
    <mergeCell ref="F169:H169"/>
    <mergeCell ref="F170:H170"/>
    <mergeCell ref="B83:G83"/>
    <mergeCell ref="B139:I139"/>
    <mergeCell ref="B223:D223"/>
    <mergeCell ref="F223:I223"/>
    <mergeCell ref="F141:I141"/>
    <mergeCell ref="F142:I142"/>
    <mergeCell ref="F148:I148"/>
    <mergeCell ref="F149:H149"/>
    <mergeCell ref="F150:H150"/>
    <mergeCell ref="F144:H144"/>
    <mergeCell ref="F143:I143"/>
    <mergeCell ref="F155:I155"/>
    <mergeCell ref="F156:H156"/>
    <mergeCell ref="F157:H157"/>
    <mergeCell ref="F158:H158"/>
    <mergeCell ref="F172:H172"/>
    <mergeCell ref="F160:H160"/>
    <mergeCell ref="F161:H161"/>
    <mergeCell ref="F163:I163"/>
    <mergeCell ref="F164:H164"/>
    <mergeCell ref="B723:J725"/>
    <mergeCell ref="F165:H165"/>
    <mergeCell ref="B21:G21"/>
    <mergeCell ref="B37:G37"/>
    <mergeCell ref="B52:G52"/>
    <mergeCell ref="B113:G113"/>
    <mergeCell ref="B141:D141"/>
    <mergeCell ref="F146:H146"/>
    <mergeCell ref="F166:H166"/>
    <mergeCell ref="F167:H167"/>
    <mergeCell ref="F159:H159"/>
    <mergeCell ref="F151:H151"/>
    <mergeCell ref="F152:H152"/>
    <mergeCell ref="F153:H153"/>
    <mergeCell ref="F145:H145"/>
    <mergeCell ref="B157:D157"/>
    <mergeCell ref="B142:D142"/>
    <mergeCell ref="B240:D240"/>
    <mergeCell ref="F237:I237"/>
    <mergeCell ref="F228:H228"/>
    <mergeCell ref="F230:I230"/>
    <mergeCell ref="F231:H231"/>
    <mergeCell ref="F232:H232"/>
    <mergeCell ref="F224:I224"/>
  </mergeCells>
  <pageMargins left="0.7" right="0.7" top="0.75" bottom="0.75" header="0.3" footer="0.3"/>
  <pageSetup scale="45" orientation="portrait" r:id="rId1"/>
  <rowBreaks count="7" manualBreakCount="7">
    <brk id="81" max="11" man="1"/>
    <brk id="137" max="11" man="1"/>
    <brk id="301" max="11" man="1"/>
    <brk id="383" max="16383" man="1"/>
    <brk id="467" max="16383" man="1"/>
    <brk id="539" max="16383" man="1"/>
    <brk id="627" max="11" man="1"/>
  </rowBreaks>
  <colBreaks count="1" manualBreakCount="1">
    <brk id="12" min="3" max="79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9"/>
  <sheetViews>
    <sheetView showGridLines="0" workbookViewId="0">
      <selection activeCell="I13" sqref="I13"/>
    </sheetView>
  </sheetViews>
  <sheetFormatPr baseColWidth="10" defaultRowHeight="15"/>
  <cols>
    <col min="2" max="2" width="53.42578125" bestFit="1" customWidth="1"/>
    <col min="3" max="3" width="15.85546875" bestFit="1" customWidth="1"/>
    <col min="4" max="5" width="14.140625" bestFit="1" customWidth="1"/>
    <col min="6" max="6" width="13" bestFit="1" customWidth="1"/>
  </cols>
  <sheetData>
    <row r="1" spans="2:8">
      <c r="G1" s="386"/>
      <c r="H1" s="386"/>
    </row>
    <row r="2" spans="2:8" ht="15.75">
      <c r="B2" s="408" t="s">
        <v>85</v>
      </c>
      <c r="C2" s="408"/>
      <c r="D2" s="408"/>
      <c r="E2" s="408"/>
      <c r="F2" s="408"/>
      <c r="G2" s="387"/>
      <c r="H2" s="386"/>
    </row>
    <row r="3" spans="2:8" ht="15.75">
      <c r="B3" s="408" t="s">
        <v>86</v>
      </c>
      <c r="C3" s="408"/>
      <c r="D3" s="408"/>
      <c r="E3" s="408"/>
      <c r="F3" s="408"/>
      <c r="G3" s="387"/>
      <c r="H3" s="386"/>
    </row>
    <row r="4" spans="2:8" ht="15.75">
      <c r="B4" s="388"/>
      <c r="C4" s="388"/>
      <c r="D4" s="388"/>
      <c r="E4" s="388"/>
      <c r="F4" s="388"/>
      <c r="G4" s="387"/>
      <c r="H4" s="386"/>
    </row>
    <row r="5" spans="2:8" ht="15.75">
      <c r="B5" s="408" t="s">
        <v>328</v>
      </c>
      <c r="C5" s="408"/>
      <c r="D5" s="408"/>
      <c r="E5" s="408"/>
      <c r="F5" s="408"/>
      <c r="G5" s="386"/>
      <c r="H5" s="386"/>
    </row>
    <row r="6" spans="2:8" ht="15.75">
      <c r="B6" s="19"/>
      <c r="C6" s="19"/>
      <c r="D6" s="19"/>
      <c r="G6" s="386"/>
      <c r="H6" s="386"/>
    </row>
    <row r="7" spans="2:8" ht="15.75">
      <c r="B7" s="368" t="s">
        <v>0</v>
      </c>
      <c r="C7" s="368">
        <v>2017</v>
      </c>
      <c r="D7" s="368">
        <v>2016</v>
      </c>
      <c r="E7" s="368">
        <v>2015</v>
      </c>
      <c r="F7" s="368">
        <v>2014</v>
      </c>
      <c r="G7" s="386"/>
      <c r="H7" s="386"/>
    </row>
    <row r="8" spans="2:8" ht="15.75">
      <c r="B8" s="23" t="s">
        <v>3</v>
      </c>
      <c r="C8" s="87">
        <f>'ER 2017'!C10</f>
        <v>1148878000</v>
      </c>
      <c r="D8" s="25">
        <f>' ER 2016'!C10</f>
        <v>663086000</v>
      </c>
      <c r="E8" s="25">
        <f>'INDICADORES FINANCIEROS'!C40</f>
        <v>344142000</v>
      </c>
      <c r="F8" s="46">
        <f>'INDICADORES FINANCIEROS'!F40</f>
        <v>61980000</v>
      </c>
      <c r="G8" s="386"/>
      <c r="H8" s="386"/>
    </row>
    <row r="9" spans="2:8" ht="15.75">
      <c r="B9" s="28" t="s">
        <v>4</v>
      </c>
      <c r="C9" s="88">
        <f>'ER 2017'!C33</f>
        <v>1010660000</v>
      </c>
      <c r="D9" s="30">
        <f>' ER 2016'!C31</f>
        <v>569555000</v>
      </c>
      <c r="E9" s="30">
        <f>'INDICADORES FINANCIEROS'!C41</f>
        <v>243387000</v>
      </c>
      <c r="F9" s="48">
        <f>'INDICADORES FINANCIEROS'!F41</f>
        <v>51870000</v>
      </c>
      <c r="G9" s="386"/>
      <c r="H9" s="386"/>
    </row>
    <row r="10" spans="2:8" ht="15.75">
      <c r="B10" s="65" t="s">
        <v>5</v>
      </c>
      <c r="C10" s="379">
        <f>'ER 2017'!C35</f>
        <v>138218000</v>
      </c>
      <c r="D10" s="380">
        <f>' ER 2016'!C33</f>
        <v>93531000</v>
      </c>
      <c r="E10" s="380">
        <f>'INDICADORES FINANCIEROS'!C42</f>
        <v>100755000</v>
      </c>
      <c r="F10" s="383">
        <f>'INDICADORES FINANCIEROS'!F42</f>
        <v>10110000</v>
      </c>
      <c r="G10" s="386"/>
      <c r="H10" s="386"/>
    </row>
    <row r="11" spans="2:8" ht="15.75">
      <c r="B11" s="28" t="s">
        <v>43</v>
      </c>
      <c r="C11" s="88">
        <f>'ER 2017'!C50</f>
        <v>76822000</v>
      </c>
      <c r="D11" s="30">
        <f>' ER 2016'!C44</f>
        <v>54863000</v>
      </c>
      <c r="E11" s="30">
        <f>'INDICADORES FINANCIEROS'!C43</f>
        <v>28543000</v>
      </c>
      <c r="F11" s="48">
        <f>'INDICADORES FINANCIEROS'!F43</f>
        <v>1936000</v>
      </c>
    </row>
    <row r="12" spans="2:8" ht="15.75">
      <c r="B12" s="23" t="s">
        <v>6</v>
      </c>
      <c r="C12" s="87">
        <f>'ER 2017'!C56</f>
        <v>1225000</v>
      </c>
      <c r="D12" s="25">
        <f>' ER 2016'!C48</f>
        <v>285000</v>
      </c>
      <c r="E12" s="25">
        <v>0</v>
      </c>
      <c r="F12" s="49">
        <f>'ER 2014'!H2</f>
        <v>0</v>
      </c>
    </row>
    <row r="13" spans="2:8" ht="15.75">
      <c r="B13" s="61" t="s">
        <v>7</v>
      </c>
      <c r="C13" s="382">
        <f>'ER 2017'!C60</f>
        <v>60171000</v>
      </c>
      <c r="D13" s="377">
        <f>' ER 2016'!C52</f>
        <v>38383000</v>
      </c>
      <c r="E13" s="377">
        <f>'INDICADORES FINANCIEROS'!C44</f>
        <v>72212000</v>
      </c>
      <c r="F13" s="378">
        <f>'INDICADORES FINANCIEROS'!F44</f>
        <v>8174000</v>
      </c>
    </row>
    <row r="14" spans="2:8" ht="15.75">
      <c r="B14" s="23" t="s">
        <v>8</v>
      </c>
      <c r="C14" s="87">
        <f>'ER 2017'!C73</f>
        <v>756000</v>
      </c>
      <c r="D14" s="25"/>
      <c r="E14" s="25">
        <f>'INDICADORES FINANCIEROS'!C45</f>
        <v>25000</v>
      </c>
      <c r="F14" s="64">
        <f>'INDICADORES FINANCIEROS'!F45</f>
        <v>0</v>
      </c>
    </row>
    <row r="15" spans="2:8" ht="15.75">
      <c r="B15" s="28" t="s">
        <v>9</v>
      </c>
      <c r="C15" s="88">
        <f>'ER 2017'!C78</f>
        <v>13083000</v>
      </c>
      <c r="D15" s="30">
        <f>' ER 2016'!C63</f>
        <v>2394000</v>
      </c>
      <c r="E15" s="30">
        <f>'INDICADORES FINANCIEROS'!C46</f>
        <v>3456000</v>
      </c>
      <c r="F15" s="48">
        <f>'INDICADORES FINANCIEROS'!F46</f>
        <v>0</v>
      </c>
    </row>
    <row r="16" spans="2:8" ht="15.75">
      <c r="B16" s="65" t="s">
        <v>10</v>
      </c>
      <c r="C16" s="379">
        <f>'ER 2017'!C80</f>
        <v>47844000</v>
      </c>
      <c r="D16" s="380">
        <f>' ER 2016'!C65</f>
        <v>35989000</v>
      </c>
      <c r="E16" s="380">
        <f>'INDICADORES FINANCIEROS'!C47</f>
        <v>68781000</v>
      </c>
      <c r="F16" s="381">
        <f>'INDICADORES FINANCIEROS'!F47</f>
        <v>8174000</v>
      </c>
    </row>
    <row r="17" spans="2:6" ht="15.75">
      <c r="B17" s="31" t="s">
        <v>12</v>
      </c>
      <c r="C17" s="89"/>
      <c r="D17" s="33">
        <f>' ER 2016'!B69</f>
        <v>3239000</v>
      </c>
      <c r="E17" s="30">
        <f>'INDICADORES FINANCIEROS'!C48</f>
        <v>3768000</v>
      </c>
      <c r="F17" s="48">
        <f>'INDICADORES FINANCIEROS'!F48</f>
        <v>0</v>
      </c>
    </row>
    <row r="18" spans="2:6" ht="15.75">
      <c r="B18" s="34" t="s">
        <v>13</v>
      </c>
      <c r="C18" s="90">
        <f>'ER 2017'!B83</f>
        <v>16267000.000000002</v>
      </c>
      <c r="D18" s="36">
        <f>' ER 2016'!B68</f>
        <v>8997000</v>
      </c>
      <c r="E18" s="25">
        <f>'INDICADORES FINANCIEROS'!C49</f>
        <v>17195000</v>
      </c>
      <c r="F18" s="64">
        <f>'INDICADORES FINANCIEROS'!F49</f>
        <v>0</v>
      </c>
    </row>
    <row r="19" spans="2:6" ht="15.75">
      <c r="B19" s="374" t="s">
        <v>14</v>
      </c>
      <c r="C19" s="375">
        <f>'ER 2017'!C86</f>
        <v>31577000</v>
      </c>
      <c r="D19" s="376">
        <f>' ER 2016'!C72</f>
        <v>23753000</v>
      </c>
      <c r="E19" s="377">
        <f>'INDICADORES FINANCIEROS'!C50</f>
        <v>47818000</v>
      </c>
      <c r="F19" s="378">
        <f>'INDICADORES FINANCIEROS'!F50</f>
        <v>8174000</v>
      </c>
    </row>
  </sheetData>
  <mergeCells count="3">
    <mergeCell ref="B5:F5"/>
    <mergeCell ref="B2:F2"/>
    <mergeCell ref="B3:F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abSelected="1" topLeftCell="A31" workbookViewId="0">
      <selection activeCell="B41" sqref="B41"/>
    </sheetView>
  </sheetViews>
  <sheetFormatPr baseColWidth="10" defaultColWidth="10.7109375" defaultRowHeight="15.75"/>
  <cols>
    <col min="1" max="1" width="56" style="16" customWidth="1"/>
    <col min="2" max="2" width="23.140625" style="17" customWidth="1"/>
    <col min="3" max="3" width="56.7109375" style="17" customWidth="1"/>
    <col min="4" max="4" width="23.140625" style="17" customWidth="1"/>
    <col min="5" max="5" width="56.42578125" style="16" customWidth="1"/>
    <col min="6" max="6" width="23.140625" style="16" customWidth="1"/>
    <col min="7" max="16384" width="10.7109375" style="16"/>
  </cols>
  <sheetData>
    <row r="1" spans="1:7" ht="15.75" customHeight="1">
      <c r="A1" s="436" t="s">
        <v>85</v>
      </c>
      <c r="B1" s="436"/>
      <c r="C1" s="434" t="s">
        <v>85</v>
      </c>
      <c r="D1" s="434"/>
      <c r="E1" s="436" t="s">
        <v>85</v>
      </c>
      <c r="F1" s="436"/>
    </row>
    <row r="2" spans="1:7">
      <c r="A2" s="437" t="s">
        <v>86</v>
      </c>
      <c r="B2" s="437"/>
      <c r="C2" s="435" t="s">
        <v>86</v>
      </c>
      <c r="D2" s="435"/>
      <c r="E2" s="437" t="s">
        <v>86</v>
      </c>
      <c r="F2" s="437"/>
      <c r="G2" s="268"/>
    </row>
    <row r="3" spans="1:7" ht="15.75" customHeight="1">
      <c r="A3" s="432" t="s">
        <v>282</v>
      </c>
      <c r="B3" s="432"/>
      <c r="C3" s="433" t="s">
        <v>282</v>
      </c>
      <c r="D3" s="433"/>
      <c r="E3" s="432" t="s">
        <v>282</v>
      </c>
      <c r="F3" s="432"/>
    </row>
    <row r="4" spans="1:7">
      <c r="A4" s="432" t="s">
        <v>283</v>
      </c>
      <c r="B4" s="432"/>
      <c r="C4" s="433" t="s">
        <v>311</v>
      </c>
      <c r="D4" s="433"/>
      <c r="E4" s="432" t="s">
        <v>317</v>
      </c>
      <c r="F4" s="432"/>
    </row>
    <row r="5" spans="1:7">
      <c r="A5" s="269"/>
      <c r="B5" s="351"/>
      <c r="C5" s="351"/>
      <c r="D5" s="351"/>
      <c r="E5" s="269"/>
      <c r="F5" s="270"/>
    </row>
    <row r="6" spans="1:7">
      <c r="A6" s="271" t="s">
        <v>284</v>
      </c>
      <c r="B6" s="352"/>
      <c r="C6" s="353" t="s">
        <v>284</v>
      </c>
      <c r="D6" s="352"/>
      <c r="E6" s="271" t="s">
        <v>284</v>
      </c>
      <c r="F6" s="272"/>
    </row>
    <row r="7" spans="1:7">
      <c r="A7" s="273" t="s">
        <v>301</v>
      </c>
      <c r="B7" s="352">
        <f>+'INDICADORES FINANCIEROS'!C13</f>
        <v>60171000</v>
      </c>
      <c r="C7" s="354" t="s">
        <v>301</v>
      </c>
      <c r="D7" s="352">
        <f>+' ER 2016'!C52</f>
        <v>38383000</v>
      </c>
      <c r="E7" s="273" t="s">
        <v>301</v>
      </c>
      <c r="F7" s="272">
        <f>+'ER 2015'!C36</f>
        <v>72212000</v>
      </c>
    </row>
    <row r="8" spans="1:7">
      <c r="A8" s="273" t="s">
        <v>231</v>
      </c>
      <c r="B8" s="352">
        <f>+'ER 2017'!B32+'ER 2017'!B48</f>
        <v>150953000</v>
      </c>
      <c r="C8" s="354" t="s">
        <v>231</v>
      </c>
      <c r="D8" s="352">
        <f>+' ER 2016'!B29</f>
        <v>35110000</v>
      </c>
      <c r="E8" s="273" t="s">
        <v>231</v>
      </c>
      <c r="F8" s="272">
        <f>+'ER 2017'!F32+'ER 2017'!F48</f>
        <v>0</v>
      </c>
    </row>
    <row r="9" spans="1:7">
      <c r="A9" s="273" t="s">
        <v>310</v>
      </c>
      <c r="B9" s="352">
        <f>-'ESF CONSOLI 17-16'!C78</f>
        <v>-12236000</v>
      </c>
      <c r="C9" s="354" t="s">
        <v>310</v>
      </c>
      <c r="D9" s="352">
        <f>-'ER 2015'!C51</f>
        <v>-20963000</v>
      </c>
      <c r="E9" s="273" t="s">
        <v>310</v>
      </c>
      <c r="F9" s="272">
        <f>-'BALANCE 2014'!C41</f>
        <v>-2780000</v>
      </c>
    </row>
    <row r="10" spans="1:7">
      <c r="A10" s="273" t="s">
        <v>306</v>
      </c>
      <c r="B10" s="352">
        <f>+'ER 2017'!C73</f>
        <v>756000</v>
      </c>
      <c r="C10" s="354" t="s">
        <v>306</v>
      </c>
      <c r="D10" s="352"/>
      <c r="E10" s="273" t="s">
        <v>306</v>
      </c>
      <c r="F10" s="272">
        <f>+'ER 2015'!B39</f>
        <v>25000</v>
      </c>
    </row>
    <row r="11" spans="1:7">
      <c r="A11" s="273" t="s">
        <v>307</v>
      </c>
      <c r="B11" s="352">
        <f>-'ER 2017'!C78</f>
        <v>-13083000</v>
      </c>
      <c r="C11" s="354" t="s">
        <v>307</v>
      </c>
      <c r="D11" s="352">
        <f>-' ER 2016'!C63</f>
        <v>-2394000</v>
      </c>
      <c r="E11" s="354" t="s">
        <v>307</v>
      </c>
      <c r="F11" s="272">
        <f>-'ER 2015'!B43</f>
        <v>-3456000</v>
      </c>
    </row>
    <row r="12" spans="1:7">
      <c r="A12" s="273"/>
      <c r="B12" s="352"/>
      <c r="C12" s="354"/>
      <c r="D12" s="352"/>
      <c r="E12" s="273"/>
      <c r="F12" s="272"/>
    </row>
    <row r="13" spans="1:7">
      <c r="A13" s="271" t="s">
        <v>285</v>
      </c>
      <c r="B13" s="352"/>
      <c r="C13" s="353" t="s">
        <v>285</v>
      </c>
      <c r="D13" s="352"/>
      <c r="E13" s="271" t="s">
        <v>285</v>
      </c>
      <c r="F13" s="272"/>
    </row>
    <row r="14" spans="1:7">
      <c r="A14" s="274" t="s">
        <v>286</v>
      </c>
      <c r="B14" s="352">
        <f>-'ESF CONSOLI 17-16'!D14</f>
        <v>-105477000</v>
      </c>
      <c r="C14" s="355" t="s">
        <v>286</v>
      </c>
      <c r="D14" s="352">
        <f>-'ESF CONSOLI 16-15'!D14</f>
        <v>-77704000</v>
      </c>
      <c r="E14" s="274" t="s">
        <v>286</v>
      </c>
      <c r="F14" s="272">
        <f>+-'ESF CONSOLI 15-14'!D14</f>
        <v>-27351000</v>
      </c>
    </row>
    <row r="15" spans="1:7">
      <c r="A15" s="274" t="s">
        <v>304</v>
      </c>
      <c r="B15" s="352">
        <f>-'ESF CONSOLI 17-16'!D16</f>
        <v>-116900000</v>
      </c>
      <c r="C15" s="355" t="s">
        <v>304</v>
      </c>
      <c r="D15" s="352">
        <f>-'ESF CONSOLI 16-15'!D15</f>
        <v>-5358000</v>
      </c>
      <c r="E15" s="274" t="s">
        <v>304</v>
      </c>
      <c r="F15" s="272">
        <f>-'ESF CONSOLI 17-16'!G16</f>
        <v>0</v>
      </c>
    </row>
    <row r="16" spans="1:7">
      <c r="A16" s="274" t="s">
        <v>287</v>
      </c>
      <c r="B16" s="352">
        <f>-'ESF CONSOLI 17-16'!D15</f>
        <v>-63610000</v>
      </c>
      <c r="C16" s="355" t="s">
        <v>287</v>
      </c>
      <c r="D16" s="352">
        <f>-'ESF CONSOLI 16-15'!D16</f>
        <v>0</v>
      </c>
      <c r="E16" s="274" t="s">
        <v>287</v>
      </c>
      <c r="F16" s="272">
        <f>-'ESF CONSOLI 17-16'!G15</f>
        <v>0</v>
      </c>
    </row>
    <row r="17" spans="1:6">
      <c r="A17" s="274" t="s">
        <v>288</v>
      </c>
      <c r="B17" s="352">
        <f>-'ESF CONSOLI 17-16'!D17</f>
        <v>-4040000</v>
      </c>
      <c r="C17" s="355" t="s">
        <v>288</v>
      </c>
      <c r="D17" s="352">
        <f>-'ESF CONSOLI 16-15'!D17</f>
        <v>-6255000</v>
      </c>
      <c r="E17" s="274" t="s">
        <v>288</v>
      </c>
      <c r="F17" s="272">
        <f>-'ESF CONSOLI 15-14'!D17</f>
        <v>-5621000</v>
      </c>
    </row>
    <row r="18" spans="1:6">
      <c r="A18" s="274" t="s">
        <v>309</v>
      </c>
      <c r="B18" s="352">
        <f>+'ESF CONSOLI 17-16'!D59</f>
        <v>-7923000</v>
      </c>
      <c r="C18" s="355" t="s">
        <v>309</v>
      </c>
      <c r="D18" s="352">
        <f>+'ESF CONSOLI 16-15'!D56</f>
        <v>38622000</v>
      </c>
      <c r="E18" s="274" t="s">
        <v>309</v>
      </c>
      <c r="F18" s="272">
        <f>+'ESF CONSOLI 15-14'!D42</f>
        <v>-29729000</v>
      </c>
    </row>
    <row r="19" spans="1:6">
      <c r="A19" s="274" t="s">
        <v>289</v>
      </c>
      <c r="B19" s="352">
        <f>+'ESF CONSOLI 17-16'!D55</f>
        <v>53044000</v>
      </c>
      <c r="C19" s="355" t="s">
        <v>289</v>
      </c>
      <c r="D19" s="352">
        <f>+'ESF CONSOLI 17-16'!E55</f>
        <v>0</v>
      </c>
      <c r="E19" s="274" t="s">
        <v>289</v>
      </c>
      <c r="F19" s="272">
        <f>+'ESF CONSOLI 17-16'!G55</f>
        <v>0</v>
      </c>
    </row>
    <row r="20" spans="1:6" ht="31.5">
      <c r="A20" s="275" t="s">
        <v>290</v>
      </c>
      <c r="B20" s="352">
        <f>SUM('ESF CONSOLI 17-16'!D63:D66)</f>
        <v>-70300000</v>
      </c>
      <c r="C20" s="356" t="s">
        <v>290</v>
      </c>
      <c r="D20" s="352">
        <f>+SUM('ESF CONSOLI 16-15'!D60:D64)</f>
        <v>-32712000</v>
      </c>
      <c r="E20" s="275" t="s">
        <v>290</v>
      </c>
      <c r="F20" s="272">
        <f>+'ESF CONSOLI 15-14'!D51</f>
        <v>104076000</v>
      </c>
    </row>
    <row r="21" spans="1:6">
      <c r="A21" s="276" t="s">
        <v>305</v>
      </c>
      <c r="B21" s="352">
        <f>+SUM('ESF CONSOLI 17-16'!D70:D72)</f>
        <v>140856000</v>
      </c>
      <c r="C21" s="357" t="s">
        <v>305</v>
      </c>
      <c r="D21" s="352">
        <f>+'ESF CONSOLI 16-15'!D68+'ESF CONSOLI 16-15'!D70</f>
        <v>39858000</v>
      </c>
      <c r="E21" s="276" t="s">
        <v>305</v>
      </c>
      <c r="F21" s="272">
        <f>+SUM('ESF CONSOLI 17-16'!G70:G72)</f>
        <v>0</v>
      </c>
    </row>
    <row r="22" spans="1:6">
      <c r="A22" s="271" t="s">
        <v>285</v>
      </c>
      <c r="B22" s="358">
        <f>SUM(B14:B21)</f>
        <v>-174350000</v>
      </c>
      <c r="C22" s="353" t="s">
        <v>285</v>
      </c>
      <c r="D22" s="358">
        <f>SUM(D14:D21)</f>
        <v>-43549000</v>
      </c>
      <c r="E22" s="271" t="s">
        <v>285</v>
      </c>
      <c r="F22" s="277">
        <f>SUM(F14:F21)</f>
        <v>41375000</v>
      </c>
    </row>
    <row r="23" spans="1:6" ht="16.5" thickBot="1">
      <c r="A23" s="278" t="s">
        <v>291</v>
      </c>
      <c r="B23" s="359">
        <f>+B7+B8+B10+B11+B22+B9</f>
        <v>12211000</v>
      </c>
      <c r="C23" s="360" t="s">
        <v>291</v>
      </c>
      <c r="D23" s="359">
        <f>+D7+D8+D10+D11+D22+D9</f>
        <v>6587000</v>
      </c>
      <c r="E23" s="278" t="s">
        <v>291</v>
      </c>
      <c r="F23" s="279">
        <f>+F7+F8+F10+F11+F22+F9</f>
        <v>107376000</v>
      </c>
    </row>
    <row r="24" spans="1:6">
      <c r="A24" s="278"/>
      <c r="B24" s="358"/>
      <c r="C24" s="360"/>
      <c r="D24" s="358"/>
      <c r="E24" s="278"/>
      <c r="F24" s="277"/>
    </row>
    <row r="25" spans="1:6">
      <c r="A25" s="271" t="s">
        <v>292</v>
      </c>
      <c r="B25" s="352"/>
      <c r="C25" s="353" t="s">
        <v>292</v>
      </c>
      <c r="D25" s="352"/>
      <c r="E25" s="353" t="s">
        <v>292</v>
      </c>
      <c r="F25" s="272"/>
    </row>
    <row r="26" spans="1:6">
      <c r="A26" s="355" t="s">
        <v>316</v>
      </c>
      <c r="B26" s="17">
        <v>0</v>
      </c>
      <c r="C26" s="355" t="s">
        <v>316</v>
      </c>
      <c r="D26" s="17">
        <f>-'ESF 2016'!C26</f>
        <v>-1730000</v>
      </c>
      <c r="E26" s="355" t="s">
        <v>316</v>
      </c>
      <c r="F26" s="272">
        <f>-'ESF CONSOLI 17-16'!G41</f>
        <v>0</v>
      </c>
    </row>
    <row r="27" spans="1:6">
      <c r="A27" s="355" t="s">
        <v>315</v>
      </c>
      <c r="B27" s="352">
        <v>0</v>
      </c>
      <c r="C27" s="355" t="s">
        <v>315</v>
      </c>
      <c r="D27" s="352">
        <f>-'ESF 2016'!C30</f>
        <v>-2800000</v>
      </c>
      <c r="E27" s="355" t="s">
        <v>315</v>
      </c>
      <c r="F27" s="272"/>
    </row>
    <row r="28" spans="1:6">
      <c r="A28" s="355" t="s">
        <v>318</v>
      </c>
      <c r="B28" s="352"/>
      <c r="C28" s="355" t="s">
        <v>318</v>
      </c>
      <c r="D28" s="352"/>
      <c r="E28" s="355" t="s">
        <v>318</v>
      </c>
      <c r="F28" s="272">
        <f>-'ESF CONSOLI 15-14'!D26</f>
        <v>-151100000</v>
      </c>
    </row>
    <row r="29" spans="1:6">
      <c r="A29" s="274" t="s">
        <v>308</v>
      </c>
      <c r="B29" s="352">
        <f>-'ESF CONSOLI 17-16'!D41</f>
        <v>-2590000</v>
      </c>
      <c r="C29" s="355" t="s">
        <v>308</v>
      </c>
      <c r="D29" s="352">
        <f>-'ESF CONSOLI 16-15'!D41</f>
        <v>-1469000</v>
      </c>
      <c r="E29" s="355" t="s">
        <v>308</v>
      </c>
      <c r="F29" s="272"/>
    </row>
    <row r="30" spans="1:6">
      <c r="A30" s="274"/>
      <c r="B30" s="352"/>
      <c r="C30" s="355"/>
      <c r="D30" s="352"/>
      <c r="E30" s="274"/>
      <c r="F30" s="272"/>
    </row>
    <row r="31" spans="1:6" ht="16.5" thickBot="1">
      <c r="A31" s="278" t="s">
        <v>293</v>
      </c>
      <c r="B31" s="359">
        <f>+B29</f>
        <v>-2590000</v>
      </c>
      <c r="C31" s="360" t="s">
        <v>293</v>
      </c>
      <c r="D31" s="359">
        <f>+D26+D27+D29</f>
        <v>-5999000</v>
      </c>
      <c r="E31" s="278" t="s">
        <v>293</v>
      </c>
      <c r="F31" s="359">
        <f>+F26+F27+F29+F28</f>
        <v>-151100000</v>
      </c>
    </row>
    <row r="32" spans="1:6">
      <c r="A32" s="278"/>
      <c r="B32" s="358"/>
      <c r="C32" s="360"/>
      <c r="D32" s="358"/>
      <c r="E32" s="278"/>
      <c r="F32" s="277"/>
    </row>
    <row r="33" spans="1:6">
      <c r="A33" s="271" t="s">
        <v>294</v>
      </c>
      <c r="B33" s="352"/>
      <c r="C33" s="353" t="s">
        <v>294</v>
      </c>
      <c r="D33" s="352"/>
      <c r="E33" s="271" t="s">
        <v>294</v>
      </c>
      <c r="F33" s="272"/>
    </row>
    <row r="34" spans="1:6">
      <c r="A34" s="273" t="s">
        <v>295</v>
      </c>
      <c r="B34" s="352"/>
      <c r="C34" s="354" t="s">
        <v>295</v>
      </c>
      <c r="D34" s="352"/>
      <c r="E34" s="273" t="s">
        <v>295</v>
      </c>
      <c r="F34" s="272"/>
    </row>
    <row r="35" spans="1:6">
      <c r="A35" s="273" t="s">
        <v>296</v>
      </c>
      <c r="B35" s="361"/>
      <c r="C35" s="354" t="s">
        <v>296</v>
      </c>
      <c r="D35" s="361"/>
      <c r="E35" s="273" t="s">
        <v>296</v>
      </c>
      <c r="F35" s="280"/>
    </row>
    <row r="36" spans="1:6" ht="16.5" thickBot="1">
      <c r="A36" s="278" t="s">
        <v>297</v>
      </c>
      <c r="B36" s="362"/>
      <c r="C36" s="360" t="s">
        <v>297</v>
      </c>
      <c r="D36" s="362"/>
      <c r="E36" s="278" t="s">
        <v>297</v>
      </c>
      <c r="F36" s="281"/>
    </row>
    <row r="37" spans="1:6">
      <c r="A37" s="278"/>
      <c r="B37" s="352"/>
      <c r="C37" s="360"/>
      <c r="D37" s="352"/>
      <c r="E37" s="278"/>
      <c r="F37" s="272"/>
    </row>
    <row r="38" spans="1:6">
      <c r="A38" s="271" t="s">
        <v>298</v>
      </c>
      <c r="B38" s="352">
        <f>+B23+B31+B36</f>
        <v>9621000</v>
      </c>
      <c r="C38" s="353" t="s">
        <v>298</v>
      </c>
      <c r="D38" s="352">
        <f>+D23+D31+D36</f>
        <v>588000</v>
      </c>
      <c r="E38" s="271" t="s">
        <v>298</v>
      </c>
      <c r="F38" s="272">
        <f>+F23+F31+F36</f>
        <v>-43724000</v>
      </c>
    </row>
    <row r="39" spans="1:6">
      <c r="A39" s="271" t="s">
        <v>299</v>
      </c>
      <c r="B39" s="352">
        <f>+'ESF CONSOLI 17-16'!C11</f>
        <v>3653000</v>
      </c>
      <c r="C39" s="353" t="s">
        <v>299</v>
      </c>
      <c r="D39" s="352">
        <f>+'ESF 2015'!C12</f>
        <v>3065000</v>
      </c>
      <c r="E39" s="271" t="s">
        <v>299</v>
      </c>
      <c r="F39" s="272">
        <f>+'ESF CONSOLI 15-14'!C11</f>
        <v>46789000</v>
      </c>
    </row>
    <row r="40" spans="1:6">
      <c r="A40" s="271" t="s">
        <v>300</v>
      </c>
      <c r="B40" s="358">
        <f>+B38+B39</f>
        <v>13274000</v>
      </c>
      <c r="C40" s="353" t="s">
        <v>300</v>
      </c>
      <c r="D40" s="358">
        <f>+D38+D39</f>
        <v>3653000</v>
      </c>
      <c r="E40" s="271" t="s">
        <v>300</v>
      </c>
      <c r="F40" s="277">
        <f>+F38+F39</f>
        <v>3065000</v>
      </c>
    </row>
    <row r="43" spans="1:6">
      <c r="A43" s="373" t="s">
        <v>319</v>
      </c>
    </row>
    <row r="44" spans="1:6" ht="15.75" customHeight="1">
      <c r="A44" s="438" t="s">
        <v>320</v>
      </c>
      <c r="B44" s="389"/>
      <c r="C44" s="389"/>
    </row>
    <row r="45" spans="1:6">
      <c r="A45" s="438"/>
      <c r="B45" s="389"/>
      <c r="C45" s="389"/>
    </row>
    <row r="46" spans="1:6" ht="63.75" customHeight="1">
      <c r="A46" s="438"/>
      <c r="B46" s="389"/>
      <c r="C46" s="389"/>
    </row>
  </sheetData>
  <mergeCells count="13">
    <mergeCell ref="A44:A46"/>
    <mergeCell ref="A3:B3"/>
    <mergeCell ref="A4:B4"/>
    <mergeCell ref="A1:B1"/>
    <mergeCell ref="A2:B2"/>
    <mergeCell ref="E4:F4"/>
    <mergeCell ref="C4:D4"/>
    <mergeCell ref="C1:D1"/>
    <mergeCell ref="C2:D2"/>
    <mergeCell ref="C3:D3"/>
    <mergeCell ref="E1:F1"/>
    <mergeCell ref="E2:F2"/>
    <mergeCell ref="E3:F3"/>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7"/>
  <sheetViews>
    <sheetView zoomScaleNormal="100" workbookViewId="0">
      <selection activeCell="E100" sqref="E99:E100"/>
    </sheetView>
  </sheetViews>
  <sheetFormatPr baseColWidth="10" defaultColWidth="10.7109375" defaultRowHeight="15.75"/>
  <cols>
    <col min="1" max="1" width="55.85546875" style="12" customWidth="1"/>
    <col min="2" max="2" width="24.28515625" style="197" customWidth="1"/>
    <col min="3" max="3" width="23.28515625" style="113" customWidth="1"/>
    <col min="4" max="4" width="17.28515625" style="3" customWidth="1"/>
    <col min="5" max="5" width="15.140625" style="3" customWidth="1"/>
    <col min="6" max="6" width="13" style="3" customWidth="1"/>
    <col min="7" max="254" width="10.7109375" style="3"/>
    <col min="255" max="255" width="49" style="3" customWidth="1"/>
    <col min="256" max="256" width="19.7109375" style="3" customWidth="1"/>
    <col min="257" max="257" width="17.5703125" style="3" customWidth="1"/>
    <col min="258" max="510" width="10.7109375" style="3"/>
    <col min="511" max="511" width="49" style="3" customWidth="1"/>
    <col min="512" max="512" width="19.7109375" style="3" customWidth="1"/>
    <col min="513" max="513" width="17.5703125" style="3" customWidth="1"/>
    <col min="514" max="766" width="10.7109375" style="3"/>
    <col min="767" max="767" width="49" style="3" customWidth="1"/>
    <col min="768" max="768" width="19.7109375" style="3" customWidth="1"/>
    <col min="769" max="769" width="17.5703125" style="3" customWidth="1"/>
    <col min="770" max="1022" width="10.7109375" style="3"/>
    <col min="1023" max="1023" width="49" style="3" customWidth="1"/>
    <col min="1024" max="1024" width="19.7109375" style="3" customWidth="1"/>
    <col min="1025" max="1025" width="17.5703125" style="3" customWidth="1"/>
    <col min="1026" max="1278" width="10.7109375" style="3"/>
    <col min="1279" max="1279" width="49" style="3" customWidth="1"/>
    <col min="1280" max="1280" width="19.7109375" style="3" customWidth="1"/>
    <col min="1281" max="1281" width="17.5703125" style="3" customWidth="1"/>
    <col min="1282" max="1534" width="10.7109375" style="3"/>
    <col min="1535" max="1535" width="49" style="3" customWidth="1"/>
    <col min="1536" max="1536" width="19.7109375" style="3" customWidth="1"/>
    <col min="1537" max="1537" width="17.5703125" style="3" customWidth="1"/>
    <col min="1538" max="1790" width="10.7109375" style="3"/>
    <col min="1791" max="1791" width="49" style="3" customWidth="1"/>
    <col min="1792" max="1792" width="19.7109375" style="3" customWidth="1"/>
    <col min="1793" max="1793" width="17.5703125" style="3" customWidth="1"/>
    <col min="1794" max="2046" width="10.7109375" style="3"/>
    <col min="2047" max="2047" width="49" style="3" customWidth="1"/>
    <col min="2048" max="2048" width="19.7109375" style="3" customWidth="1"/>
    <col min="2049" max="2049" width="17.5703125" style="3" customWidth="1"/>
    <col min="2050" max="2302" width="10.7109375" style="3"/>
    <col min="2303" max="2303" width="49" style="3" customWidth="1"/>
    <col min="2304" max="2304" width="19.7109375" style="3" customWidth="1"/>
    <col min="2305" max="2305" width="17.5703125" style="3" customWidth="1"/>
    <col min="2306" max="2558" width="10.7109375" style="3"/>
    <col min="2559" max="2559" width="49" style="3" customWidth="1"/>
    <col min="2560" max="2560" width="19.7109375" style="3" customWidth="1"/>
    <col min="2561" max="2561" width="17.5703125" style="3" customWidth="1"/>
    <col min="2562" max="2814" width="10.7109375" style="3"/>
    <col min="2815" max="2815" width="49" style="3" customWidth="1"/>
    <col min="2816" max="2816" width="19.7109375" style="3" customWidth="1"/>
    <col min="2817" max="2817" width="17.5703125" style="3" customWidth="1"/>
    <col min="2818" max="3070" width="10.7109375" style="3"/>
    <col min="3071" max="3071" width="49" style="3" customWidth="1"/>
    <col min="3072" max="3072" width="19.7109375" style="3" customWidth="1"/>
    <col min="3073" max="3073" width="17.5703125" style="3" customWidth="1"/>
    <col min="3074" max="3326" width="10.7109375" style="3"/>
    <col min="3327" max="3327" width="49" style="3" customWidth="1"/>
    <col min="3328" max="3328" width="19.7109375" style="3" customWidth="1"/>
    <col min="3329" max="3329" width="17.5703125" style="3" customWidth="1"/>
    <col min="3330" max="3582" width="10.7109375" style="3"/>
    <col min="3583" max="3583" width="49" style="3" customWidth="1"/>
    <col min="3584" max="3584" width="19.7109375" style="3" customWidth="1"/>
    <col min="3585" max="3585" width="17.5703125" style="3" customWidth="1"/>
    <col min="3586" max="3838" width="10.7109375" style="3"/>
    <col min="3839" max="3839" width="49" style="3" customWidth="1"/>
    <col min="3840" max="3840" width="19.7109375" style="3" customWidth="1"/>
    <col min="3841" max="3841" width="17.5703125" style="3" customWidth="1"/>
    <col min="3842" max="4094" width="10.7109375" style="3"/>
    <col min="4095" max="4095" width="49" style="3" customWidth="1"/>
    <col min="4096" max="4096" width="19.7109375" style="3" customWidth="1"/>
    <col min="4097" max="4097" width="17.5703125" style="3" customWidth="1"/>
    <col min="4098" max="4350" width="10.7109375" style="3"/>
    <col min="4351" max="4351" width="49" style="3" customWidth="1"/>
    <col min="4352" max="4352" width="19.7109375" style="3" customWidth="1"/>
    <col min="4353" max="4353" width="17.5703125" style="3" customWidth="1"/>
    <col min="4354" max="4606" width="10.7109375" style="3"/>
    <col min="4607" max="4607" width="49" style="3" customWidth="1"/>
    <col min="4608" max="4608" width="19.7109375" style="3" customWidth="1"/>
    <col min="4609" max="4609" width="17.5703125" style="3" customWidth="1"/>
    <col min="4610" max="4862" width="10.7109375" style="3"/>
    <col min="4863" max="4863" width="49" style="3" customWidth="1"/>
    <col min="4864" max="4864" width="19.7109375" style="3" customWidth="1"/>
    <col min="4865" max="4865" width="17.5703125" style="3" customWidth="1"/>
    <col min="4866" max="5118" width="10.7109375" style="3"/>
    <col min="5119" max="5119" width="49" style="3" customWidth="1"/>
    <col min="5120" max="5120" width="19.7109375" style="3" customWidth="1"/>
    <col min="5121" max="5121" width="17.5703125" style="3" customWidth="1"/>
    <col min="5122" max="5374" width="10.7109375" style="3"/>
    <col min="5375" max="5375" width="49" style="3" customWidth="1"/>
    <col min="5376" max="5376" width="19.7109375" style="3" customWidth="1"/>
    <col min="5377" max="5377" width="17.5703125" style="3" customWidth="1"/>
    <col min="5378" max="5630" width="10.7109375" style="3"/>
    <col min="5631" max="5631" width="49" style="3" customWidth="1"/>
    <col min="5632" max="5632" width="19.7109375" style="3" customWidth="1"/>
    <col min="5633" max="5633" width="17.5703125" style="3" customWidth="1"/>
    <col min="5634" max="5886" width="10.7109375" style="3"/>
    <col min="5887" max="5887" width="49" style="3" customWidth="1"/>
    <col min="5888" max="5888" width="19.7109375" style="3" customWidth="1"/>
    <col min="5889" max="5889" width="17.5703125" style="3" customWidth="1"/>
    <col min="5890" max="6142" width="10.7109375" style="3"/>
    <col min="6143" max="6143" width="49" style="3" customWidth="1"/>
    <col min="6144" max="6144" width="19.7109375" style="3" customWidth="1"/>
    <col min="6145" max="6145" width="17.5703125" style="3" customWidth="1"/>
    <col min="6146" max="6398" width="10.7109375" style="3"/>
    <col min="6399" max="6399" width="49" style="3" customWidth="1"/>
    <col min="6400" max="6400" width="19.7109375" style="3" customWidth="1"/>
    <col min="6401" max="6401" width="17.5703125" style="3" customWidth="1"/>
    <col min="6402" max="6654" width="10.7109375" style="3"/>
    <col min="6655" max="6655" width="49" style="3" customWidth="1"/>
    <col min="6656" max="6656" width="19.7109375" style="3" customWidth="1"/>
    <col min="6657" max="6657" width="17.5703125" style="3" customWidth="1"/>
    <col min="6658" max="6910" width="10.7109375" style="3"/>
    <col min="6911" max="6911" width="49" style="3" customWidth="1"/>
    <col min="6912" max="6912" width="19.7109375" style="3" customWidth="1"/>
    <col min="6913" max="6913" width="17.5703125" style="3" customWidth="1"/>
    <col min="6914" max="7166" width="10.7109375" style="3"/>
    <col min="7167" max="7167" width="49" style="3" customWidth="1"/>
    <col min="7168" max="7168" width="19.7109375" style="3" customWidth="1"/>
    <col min="7169" max="7169" width="17.5703125" style="3" customWidth="1"/>
    <col min="7170" max="7422" width="10.7109375" style="3"/>
    <col min="7423" max="7423" width="49" style="3" customWidth="1"/>
    <col min="7424" max="7424" width="19.7109375" style="3" customWidth="1"/>
    <col min="7425" max="7425" width="17.5703125" style="3" customWidth="1"/>
    <col min="7426" max="7678" width="10.7109375" style="3"/>
    <col min="7679" max="7679" width="49" style="3" customWidth="1"/>
    <col min="7680" max="7680" width="19.7109375" style="3" customWidth="1"/>
    <col min="7681" max="7681" width="17.5703125" style="3" customWidth="1"/>
    <col min="7682" max="7934" width="10.7109375" style="3"/>
    <col min="7935" max="7935" width="49" style="3" customWidth="1"/>
    <col min="7936" max="7936" width="19.7109375" style="3" customWidth="1"/>
    <col min="7937" max="7937" width="17.5703125" style="3" customWidth="1"/>
    <col min="7938" max="8190" width="10.7109375" style="3"/>
    <col min="8191" max="8191" width="49" style="3" customWidth="1"/>
    <col min="8192" max="8192" width="19.7109375" style="3" customWidth="1"/>
    <col min="8193" max="8193" width="17.5703125" style="3" customWidth="1"/>
    <col min="8194" max="8446" width="10.7109375" style="3"/>
    <col min="8447" max="8447" width="49" style="3" customWidth="1"/>
    <col min="8448" max="8448" width="19.7109375" style="3" customWidth="1"/>
    <col min="8449" max="8449" width="17.5703125" style="3" customWidth="1"/>
    <col min="8450" max="8702" width="10.7109375" style="3"/>
    <col min="8703" max="8703" width="49" style="3" customWidth="1"/>
    <col min="8704" max="8704" width="19.7109375" style="3" customWidth="1"/>
    <col min="8705" max="8705" width="17.5703125" style="3" customWidth="1"/>
    <col min="8706" max="8958" width="10.7109375" style="3"/>
    <col min="8959" max="8959" width="49" style="3" customWidth="1"/>
    <col min="8960" max="8960" width="19.7109375" style="3" customWidth="1"/>
    <col min="8961" max="8961" width="17.5703125" style="3" customWidth="1"/>
    <col min="8962" max="9214" width="10.7109375" style="3"/>
    <col min="9215" max="9215" width="49" style="3" customWidth="1"/>
    <col min="9216" max="9216" width="19.7109375" style="3" customWidth="1"/>
    <col min="9217" max="9217" width="17.5703125" style="3" customWidth="1"/>
    <col min="9218" max="9470" width="10.7109375" style="3"/>
    <col min="9471" max="9471" width="49" style="3" customWidth="1"/>
    <col min="9472" max="9472" width="19.7109375" style="3" customWidth="1"/>
    <col min="9473" max="9473" width="17.5703125" style="3" customWidth="1"/>
    <col min="9474" max="9726" width="10.7109375" style="3"/>
    <col min="9727" max="9727" width="49" style="3" customWidth="1"/>
    <col min="9728" max="9728" width="19.7109375" style="3" customWidth="1"/>
    <col min="9729" max="9729" width="17.5703125" style="3" customWidth="1"/>
    <col min="9730" max="9982" width="10.7109375" style="3"/>
    <col min="9983" max="9983" width="49" style="3" customWidth="1"/>
    <col min="9984" max="9984" width="19.7109375" style="3" customWidth="1"/>
    <col min="9985" max="9985" width="17.5703125" style="3" customWidth="1"/>
    <col min="9986" max="10238" width="10.7109375" style="3"/>
    <col min="10239" max="10239" width="49" style="3" customWidth="1"/>
    <col min="10240" max="10240" width="19.7109375" style="3" customWidth="1"/>
    <col min="10241" max="10241" width="17.5703125" style="3" customWidth="1"/>
    <col min="10242" max="10494" width="10.7109375" style="3"/>
    <col min="10495" max="10495" width="49" style="3" customWidth="1"/>
    <col min="10496" max="10496" width="19.7109375" style="3" customWidth="1"/>
    <col min="10497" max="10497" width="17.5703125" style="3" customWidth="1"/>
    <col min="10498" max="10750" width="10.7109375" style="3"/>
    <col min="10751" max="10751" width="49" style="3" customWidth="1"/>
    <col min="10752" max="10752" width="19.7109375" style="3" customWidth="1"/>
    <col min="10753" max="10753" width="17.5703125" style="3" customWidth="1"/>
    <col min="10754" max="11006" width="10.7109375" style="3"/>
    <col min="11007" max="11007" width="49" style="3" customWidth="1"/>
    <col min="11008" max="11008" width="19.7109375" style="3" customWidth="1"/>
    <col min="11009" max="11009" width="17.5703125" style="3" customWidth="1"/>
    <col min="11010" max="11262" width="10.7109375" style="3"/>
    <col min="11263" max="11263" width="49" style="3" customWidth="1"/>
    <col min="11264" max="11264" width="19.7109375" style="3" customWidth="1"/>
    <col min="11265" max="11265" width="17.5703125" style="3" customWidth="1"/>
    <col min="11266" max="11518" width="10.7109375" style="3"/>
    <col min="11519" max="11519" width="49" style="3" customWidth="1"/>
    <col min="11520" max="11520" width="19.7109375" style="3" customWidth="1"/>
    <col min="11521" max="11521" width="17.5703125" style="3" customWidth="1"/>
    <col min="11522" max="11774" width="10.7109375" style="3"/>
    <col min="11775" max="11775" width="49" style="3" customWidth="1"/>
    <col min="11776" max="11776" width="19.7109375" style="3" customWidth="1"/>
    <col min="11777" max="11777" width="17.5703125" style="3" customWidth="1"/>
    <col min="11778" max="12030" width="10.7109375" style="3"/>
    <col min="12031" max="12031" width="49" style="3" customWidth="1"/>
    <col min="12032" max="12032" width="19.7109375" style="3" customWidth="1"/>
    <col min="12033" max="12033" width="17.5703125" style="3" customWidth="1"/>
    <col min="12034" max="12286" width="10.7109375" style="3"/>
    <col min="12287" max="12287" width="49" style="3" customWidth="1"/>
    <col min="12288" max="12288" width="19.7109375" style="3" customWidth="1"/>
    <col min="12289" max="12289" width="17.5703125" style="3" customWidth="1"/>
    <col min="12290" max="12542" width="10.7109375" style="3"/>
    <col min="12543" max="12543" width="49" style="3" customWidth="1"/>
    <col min="12544" max="12544" width="19.7109375" style="3" customWidth="1"/>
    <col min="12545" max="12545" width="17.5703125" style="3" customWidth="1"/>
    <col min="12546" max="12798" width="10.7109375" style="3"/>
    <col min="12799" max="12799" width="49" style="3" customWidth="1"/>
    <col min="12800" max="12800" width="19.7109375" style="3" customWidth="1"/>
    <col min="12801" max="12801" width="17.5703125" style="3" customWidth="1"/>
    <col min="12802" max="13054" width="10.7109375" style="3"/>
    <col min="13055" max="13055" width="49" style="3" customWidth="1"/>
    <col min="13056" max="13056" width="19.7109375" style="3" customWidth="1"/>
    <col min="13057" max="13057" width="17.5703125" style="3" customWidth="1"/>
    <col min="13058" max="13310" width="10.7109375" style="3"/>
    <col min="13311" max="13311" width="49" style="3" customWidth="1"/>
    <col min="13312" max="13312" width="19.7109375" style="3" customWidth="1"/>
    <col min="13313" max="13313" width="17.5703125" style="3" customWidth="1"/>
    <col min="13314" max="13566" width="10.7109375" style="3"/>
    <col min="13567" max="13567" width="49" style="3" customWidth="1"/>
    <col min="13568" max="13568" width="19.7109375" style="3" customWidth="1"/>
    <col min="13569" max="13569" width="17.5703125" style="3" customWidth="1"/>
    <col min="13570" max="13822" width="10.7109375" style="3"/>
    <col min="13823" max="13823" width="49" style="3" customWidth="1"/>
    <col min="13824" max="13824" width="19.7109375" style="3" customWidth="1"/>
    <col min="13825" max="13825" width="17.5703125" style="3" customWidth="1"/>
    <col min="13826" max="14078" width="10.7109375" style="3"/>
    <col min="14079" max="14079" width="49" style="3" customWidth="1"/>
    <col min="14080" max="14080" width="19.7109375" style="3" customWidth="1"/>
    <col min="14081" max="14081" width="17.5703125" style="3" customWidth="1"/>
    <col min="14082" max="14334" width="10.7109375" style="3"/>
    <col min="14335" max="14335" width="49" style="3" customWidth="1"/>
    <col min="14336" max="14336" width="19.7109375" style="3" customWidth="1"/>
    <col min="14337" max="14337" width="17.5703125" style="3" customWidth="1"/>
    <col min="14338" max="14590" width="10.7109375" style="3"/>
    <col min="14591" max="14591" width="49" style="3" customWidth="1"/>
    <col min="14592" max="14592" width="19.7109375" style="3" customWidth="1"/>
    <col min="14593" max="14593" width="17.5703125" style="3" customWidth="1"/>
    <col min="14594" max="14846" width="10.7109375" style="3"/>
    <col min="14847" max="14847" width="49" style="3" customWidth="1"/>
    <col min="14848" max="14848" width="19.7109375" style="3" customWidth="1"/>
    <col min="14849" max="14849" width="17.5703125" style="3" customWidth="1"/>
    <col min="14850" max="15102" width="10.7109375" style="3"/>
    <col min="15103" max="15103" width="49" style="3" customWidth="1"/>
    <col min="15104" max="15104" width="19.7109375" style="3" customWidth="1"/>
    <col min="15105" max="15105" width="17.5703125" style="3" customWidth="1"/>
    <col min="15106" max="15358" width="10.7109375" style="3"/>
    <col min="15359" max="15359" width="49" style="3" customWidth="1"/>
    <col min="15360" max="15360" width="19.7109375" style="3" customWidth="1"/>
    <col min="15361" max="15361" width="17.5703125" style="3" customWidth="1"/>
    <col min="15362" max="15614" width="10.7109375" style="3"/>
    <col min="15615" max="15615" width="49" style="3" customWidth="1"/>
    <col min="15616" max="15616" width="19.7109375" style="3" customWidth="1"/>
    <col min="15617" max="15617" width="17.5703125" style="3" customWidth="1"/>
    <col min="15618" max="15870" width="10.7109375" style="3"/>
    <col min="15871" max="15871" width="49" style="3" customWidth="1"/>
    <col min="15872" max="15872" width="19.7109375" style="3" customWidth="1"/>
    <col min="15873" max="15873" width="17.5703125" style="3" customWidth="1"/>
    <col min="15874" max="16126" width="10.7109375" style="3"/>
    <col min="16127" max="16127" width="49" style="3" customWidth="1"/>
    <col min="16128" max="16128" width="19.7109375" style="3" customWidth="1"/>
    <col min="16129" max="16129" width="17.5703125" style="3" customWidth="1"/>
    <col min="16130" max="16384" width="10.7109375" style="3"/>
  </cols>
  <sheetData>
    <row r="1" spans="1:4" s="126" customFormat="1">
      <c r="A1" s="439" t="s">
        <v>85</v>
      </c>
      <c r="B1" s="439"/>
      <c r="C1" s="439"/>
      <c r="D1" s="439"/>
    </row>
    <row r="2" spans="1:4" s="126" customFormat="1">
      <c r="A2" s="440" t="s">
        <v>86</v>
      </c>
      <c r="B2" s="440"/>
      <c r="C2" s="440"/>
      <c r="D2" s="440"/>
    </row>
    <row r="3" spans="1:4" s="126" customFormat="1">
      <c r="A3" s="113"/>
      <c r="B3" s="113"/>
      <c r="C3" s="113"/>
    </row>
    <row r="4" spans="1:4" s="126" customFormat="1">
      <c r="A4" s="441" t="s">
        <v>302</v>
      </c>
      <c r="B4" s="442"/>
      <c r="C4" s="442"/>
      <c r="D4" s="442"/>
    </row>
    <row r="5" spans="1:4" s="126" customFormat="1">
      <c r="A5" s="189"/>
      <c r="B5" s="196"/>
      <c r="C5" s="113"/>
    </row>
    <row r="6" spans="1:4" s="126" customFormat="1">
      <c r="A6" s="179" t="s">
        <v>137</v>
      </c>
      <c r="B6" s="215">
        <v>2017</v>
      </c>
      <c r="C6" s="216">
        <v>2016</v>
      </c>
      <c r="D6" s="145" t="s">
        <v>303</v>
      </c>
    </row>
    <row r="7" spans="1:4" s="126" customFormat="1">
      <c r="A7" s="180" t="s">
        <v>138</v>
      </c>
      <c r="B7" s="214"/>
      <c r="C7" s="113"/>
    </row>
    <row r="8" spans="1:4" s="126" customFormat="1">
      <c r="A8" s="445" t="s">
        <v>139</v>
      </c>
      <c r="B8" s="445"/>
      <c r="C8" s="113"/>
    </row>
    <row r="9" spans="1:4" s="126" customFormat="1">
      <c r="A9" s="18" t="s">
        <v>140</v>
      </c>
      <c r="B9" s="201">
        <v>2419000</v>
      </c>
      <c r="C9" s="113">
        <f>+'ESF 2016'!B10</f>
        <v>883000</v>
      </c>
      <c r="D9" s="126">
        <f>+B9-C9</f>
        <v>1536000</v>
      </c>
    </row>
    <row r="10" spans="1:4" s="126" customFormat="1" ht="16.5" thickBot="1">
      <c r="A10" s="18" t="s">
        <v>141</v>
      </c>
      <c r="B10" s="202">
        <v>10855000</v>
      </c>
      <c r="C10" s="217">
        <f>+'ESF 2016'!B11</f>
        <v>2770000</v>
      </c>
      <c r="D10" s="126">
        <f>+B10-C10</f>
        <v>8085000</v>
      </c>
    </row>
    <row r="11" spans="1:4" s="126" customFormat="1" ht="31.5">
      <c r="A11" s="15" t="s">
        <v>142</v>
      </c>
      <c r="B11" s="203">
        <f>SUM(B9:B10)</f>
        <v>13274000</v>
      </c>
      <c r="C11" s="218">
        <f>SUM(C9:C10)</f>
        <v>3653000</v>
      </c>
    </row>
    <row r="12" spans="1:4" s="126" customFormat="1">
      <c r="A12" s="15"/>
      <c r="B12" s="201"/>
      <c r="C12" s="113"/>
    </row>
    <row r="13" spans="1:4" s="126" customFormat="1" ht="31.5">
      <c r="A13" s="15" t="s">
        <v>144</v>
      </c>
      <c r="B13" s="201"/>
      <c r="C13" s="113"/>
    </row>
    <row r="14" spans="1:4" s="126" customFormat="1">
      <c r="A14" s="18" t="s">
        <v>145</v>
      </c>
      <c r="B14" s="201">
        <v>221026000</v>
      </c>
      <c r="C14" s="113">
        <f>+'ESF 2016'!B15</f>
        <v>115549000</v>
      </c>
      <c r="D14" s="126">
        <f t="shared" ref="D14:D72" si="0">+B14-C14</f>
        <v>105477000</v>
      </c>
    </row>
    <row r="15" spans="1:4" s="126" customFormat="1">
      <c r="A15" s="18" t="s">
        <v>146</v>
      </c>
      <c r="B15" s="201">
        <v>68968000</v>
      </c>
      <c r="C15" s="113">
        <f>+'ESF 2016'!B16</f>
        <v>5358000</v>
      </c>
      <c r="D15" s="126">
        <f t="shared" si="0"/>
        <v>63610000</v>
      </c>
    </row>
    <row r="16" spans="1:4" s="126" customFormat="1">
      <c r="A16" s="18" t="s">
        <v>236</v>
      </c>
      <c r="B16" s="201">
        <v>116900000</v>
      </c>
      <c r="D16" s="126">
        <f>+B16-C16</f>
        <v>116900000</v>
      </c>
    </row>
    <row r="17" spans="1:4" s="126" customFormat="1" ht="16.5" thickBot="1">
      <c r="A17" s="18" t="s">
        <v>147</v>
      </c>
      <c r="B17" s="202">
        <v>16536000</v>
      </c>
      <c r="C17" s="217">
        <f>+'ESF 2016'!B17</f>
        <v>12496000</v>
      </c>
      <c r="D17" s="126">
        <f>+B17-C17</f>
        <v>4040000</v>
      </c>
    </row>
    <row r="18" spans="1:4" s="126" customFormat="1" ht="31.5">
      <c r="A18" s="15" t="s">
        <v>148</v>
      </c>
      <c r="B18" s="203">
        <f>SUM(B14:B17)</f>
        <v>423430000</v>
      </c>
      <c r="C18" s="218">
        <f>SUM(C14:C17)</f>
        <v>133403000</v>
      </c>
    </row>
    <row r="19" spans="1:4" s="126" customFormat="1">
      <c r="A19" s="15"/>
      <c r="B19" s="201"/>
      <c r="C19" s="113"/>
    </row>
    <row r="20" spans="1:4" s="126" customFormat="1" ht="16.5" thickBot="1">
      <c r="A20" s="208" t="s">
        <v>149</v>
      </c>
      <c r="B20" s="213">
        <f>+B11+B18</f>
        <v>436704000</v>
      </c>
      <c r="C20" s="220">
        <f>+C11+C18</f>
        <v>137056000</v>
      </c>
    </row>
    <row r="21" spans="1:4">
      <c r="A21" s="18"/>
      <c r="B21" s="201"/>
      <c r="D21" s="126"/>
    </row>
    <row r="22" spans="1:4" s="126" customFormat="1">
      <c r="A22" s="446" t="s">
        <v>150</v>
      </c>
      <c r="B22" s="446"/>
      <c r="C22" s="113"/>
    </row>
    <row r="23" spans="1:4">
      <c r="A23" s="447" t="s">
        <v>151</v>
      </c>
      <c r="B23" s="448"/>
      <c r="D23" s="126"/>
    </row>
    <row r="24" spans="1:4">
      <c r="A24" s="14"/>
      <c r="B24" s="203"/>
      <c r="D24" s="126"/>
    </row>
    <row r="25" spans="1:4">
      <c r="A25" s="15" t="s">
        <v>152</v>
      </c>
      <c r="B25" s="198"/>
      <c r="D25" s="126"/>
    </row>
    <row r="26" spans="1:4">
      <c r="A26" s="18" t="s">
        <v>153</v>
      </c>
      <c r="B26" s="201">
        <v>1730000</v>
      </c>
      <c r="C26" s="113">
        <f>+'ESF 2016'!B25</f>
        <v>1730000</v>
      </c>
      <c r="D26" s="126">
        <f t="shared" si="0"/>
        <v>0</v>
      </c>
    </row>
    <row r="27" spans="1:4" ht="16.5" thickBot="1">
      <c r="A27" s="18" t="s">
        <v>160</v>
      </c>
      <c r="B27" s="202">
        <v>-173000</v>
      </c>
      <c r="C27" s="217"/>
      <c r="D27" s="126">
        <f t="shared" si="0"/>
        <v>-173000</v>
      </c>
    </row>
    <row r="28" spans="1:4">
      <c r="A28" s="15" t="s">
        <v>154</v>
      </c>
      <c r="B28" s="203">
        <f>SUM(B26:B27)</f>
        <v>1557000</v>
      </c>
      <c r="C28" s="218">
        <f>SUM(C26:C27)</f>
        <v>1730000</v>
      </c>
      <c r="D28" s="126"/>
    </row>
    <row r="29" spans="1:4">
      <c r="A29" s="14"/>
      <c r="B29" s="203"/>
      <c r="D29" s="126"/>
    </row>
    <row r="30" spans="1:4">
      <c r="A30" s="15" t="s">
        <v>155</v>
      </c>
      <c r="B30" s="198"/>
      <c r="D30" s="126"/>
    </row>
    <row r="31" spans="1:4">
      <c r="A31" s="18" t="s">
        <v>156</v>
      </c>
      <c r="B31" s="201">
        <v>2800000</v>
      </c>
      <c r="C31" s="113">
        <f>+'ESF 2016'!B29</f>
        <v>2800000</v>
      </c>
      <c r="D31" s="126"/>
    </row>
    <row r="32" spans="1:4" ht="16.5" thickBot="1">
      <c r="A32" s="18" t="s">
        <v>160</v>
      </c>
      <c r="B32" s="202">
        <v>-560000</v>
      </c>
      <c r="C32" s="217"/>
      <c r="D32" s="126">
        <f t="shared" si="0"/>
        <v>-560000</v>
      </c>
    </row>
    <row r="33" spans="1:4" ht="31.5">
      <c r="A33" s="15" t="s">
        <v>157</v>
      </c>
      <c r="B33" s="203">
        <f>SUM(B31:B32)</f>
        <v>2240000</v>
      </c>
      <c r="C33" s="218">
        <f>SUM(C31:C32)</f>
        <v>2800000</v>
      </c>
      <c r="D33" s="126"/>
    </row>
    <row r="34" spans="1:4">
      <c r="A34" s="14"/>
      <c r="B34" s="203"/>
      <c r="D34" s="126"/>
    </row>
    <row r="35" spans="1:4">
      <c r="A35" s="15" t="s">
        <v>158</v>
      </c>
      <c r="B35" s="198"/>
      <c r="D35" s="126"/>
    </row>
    <row r="36" spans="1:4">
      <c r="A36" s="18" t="s">
        <v>159</v>
      </c>
      <c r="B36" s="201">
        <v>751100000</v>
      </c>
      <c r="C36" s="113">
        <f>+'ESF 2016'!B33</f>
        <v>751100000</v>
      </c>
      <c r="D36" s="126">
        <f t="shared" si="0"/>
        <v>0</v>
      </c>
    </row>
    <row r="37" spans="1:4" ht="16.5" thickBot="1">
      <c r="A37" s="18" t="s">
        <v>160</v>
      </c>
      <c r="B37" s="202">
        <v>-185330000</v>
      </c>
      <c r="C37" s="217">
        <f>+'ESF 2016'!B34</f>
        <v>-35110000</v>
      </c>
      <c r="D37" s="126">
        <f t="shared" si="0"/>
        <v>-150220000</v>
      </c>
    </row>
    <row r="38" spans="1:4">
      <c r="A38" s="15" t="s">
        <v>161</v>
      </c>
      <c r="B38" s="203">
        <f>SUM(B36:B37)</f>
        <v>565770000</v>
      </c>
      <c r="C38" s="218">
        <f>SUM(C36:C37)</f>
        <v>715990000</v>
      </c>
      <c r="D38" s="126"/>
    </row>
    <row r="39" spans="1:4">
      <c r="A39" s="15"/>
      <c r="B39" s="201"/>
      <c r="D39" s="126"/>
    </row>
    <row r="40" spans="1:4">
      <c r="A40" s="15" t="s">
        <v>23</v>
      </c>
      <c r="B40" s="201"/>
      <c r="D40" s="126"/>
    </row>
    <row r="41" spans="1:4" ht="16.5" thickBot="1">
      <c r="A41" s="18" t="s">
        <v>237</v>
      </c>
      <c r="B41" s="202">
        <f>3598000+461000</f>
        <v>4059000</v>
      </c>
      <c r="C41" s="217">
        <f>+'ESF 2016'!B40</f>
        <v>1469000</v>
      </c>
      <c r="D41" s="126">
        <f t="shared" si="0"/>
        <v>2590000</v>
      </c>
    </row>
    <row r="42" spans="1:4">
      <c r="A42" s="15" t="s">
        <v>164</v>
      </c>
      <c r="B42" s="203">
        <f>+B41</f>
        <v>4059000</v>
      </c>
      <c r="C42" s="218">
        <f>+C41</f>
        <v>1469000</v>
      </c>
      <c r="D42" s="126"/>
    </row>
    <row r="43" spans="1:4">
      <c r="A43" s="18"/>
      <c r="B43" s="201"/>
      <c r="D43" s="126"/>
    </row>
    <row r="44" spans="1:4" ht="16.5" thickBot="1">
      <c r="A44" s="208" t="s">
        <v>165</v>
      </c>
      <c r="B44" s="209">
        <f>+B28+B33+B38+B42</f>
        <v>573626000</v>
      </c>
      <c r="C44" s="221">
        <f>+C28+C33+C38+C42</f>
        <v>721989000</v>
      </c>
      <c r="D44" s="126"/>
    </row>
    <row r="45" spans="1:4">
      <c r="A45" s="18"/>
      <c r="B45" s="201"/>
      <c r="D45" s="126"/>
    </row>
    <row r="46" spans="1:4" s="9" customFormat="1" ht="16.5" thickBot="1">
      <c r="A46" s="208" t="s">
        <v>166</v>
      </c>
      <c r="B46" s="210">
        <f>+B44+B20</f>
        <v>1010330000</v>
      </c>
      <c r="C46" s="221">
        <f>+C44+C20</f>
        <v>859045000</v>
      </c>
      <c r="D46" s="126"/>
    </row>
    <row r="47" spans="1:4">
      <c r="A47" s="18"/>
      <c r="B47" s="201"/>
      <c r="D47" s="126"/>
    </row>
    <row r="48" spans="1:4">
      <c r="A48" s="439" t="s">
        <v>85</v>
      </c>
      <c r="B48" s="439"/>
      <c r="C48" s="439"/>
      <c r="D48" s="439"/>
    </row>
    <row r="49" spans="1:4">
      <c r="A49" s="440" t="s">
        <v>86</v>
      </c>
      <c r="B49" s="440"/>
      <c r="C49" s="440"/>
      <c r="D49" s="440"/>
    </row>
    <row r="50" spans="1:4">
      <c r="A50" s="113"/>
      <c r="B50" s="113"/>
      <c r="D50" s="126"/>
    </row>
    <row r="51" spans="1:4">
      <c r="A51" s="441" t="s">
        <v>302</v>
      </c>
      <c r="B51" s="442"/>
      <c r="C51" s="442"/>
      <c r="D51" s="442"/>
    </row>
    <row r="52" spans="1:4">
      <c r="A52" s="18"/>
      <c r="B52" s="201"/>
      <c r="D52" s="126"/>
    </row>
    <row r="53" spans="1:4">
      <c r="A53" s="258" t="s">
        <v>167</v>
      </c>
      <c r="B53" s="215">
        <v>2017</v>
      </c>
      <c r="C53" s="216">
        <v>2016</v>
      </c>
      <c r="D53" s="145" t="s">
        <v>303</v>
      </c>
    </row>
    <row r="54" spans="1:4">
      <c r="A54" s="205" t="s">
        <v>238</v>
      </c>
      <c r="B54" s="203"/>
      <c r="D54" s="126"/>
    </row>
    <row r="55" spans="1:4" ht="16.5" thickBot="1">
      <c r="A55" s="206" t="s">
        <v>239</v>
      </c>
      <c r="B55" s="202">
        <v>53044000</v>
      </c>
      <c r="C55" s="113">
        <v>0</v>
      </c>
      <c r="D55" s="126">
        <f t="shared" si="0"/>
        <v>53044000</v>
      </c>
    </row>
    <row r="56" spans="1:4">
      <c r="A56" s="205" t="s">
        <v>240</v>
      </c>
      <c r="B56" s="203">
        <f>SUM(B55)</f>
        <v>53044000</v>
      </c>
      <c r="D56" s="126"/>
    </row>
    <row r="57" spans="1:4">
      <c r="A57" s="207"/>
      <c r="B57" s="203"/>
      <c r="D57" s="126"/>
    </row>
    <row r="58" spans="1:4">
      <c r="A58" s="15" t="s">
        <v>27</v>
      </c>
      <c r="B58" s="201"/>
      <c r="D58" s="126"/>
    </row>
    <row r="59" spans="1:4" ht="16.5" thickBot="1">
      <c r="A59" s="18" t="s">
        <v>168</v>
      </c>
      <c r="B59" s="202">
        <v>30699000</v>
      </c>
      <c r="C59" s="217">
        <f>+'ESF 2016'!C57</f>
        <v>38622000</v>
      </c>
      <c r="D59" s="126">
        <f t="shared" si="0"/>
        <v>-7923000</v>
      </c>
    </row>
    <row r="60" spans="1:4">
      <c r="A60" s="15" t="s">
        <v>169</v>
      </c>
      <c r="B60" s="203">
        <f>SUM(B59)</f>
        <v>30699000</v>
      </c>
      <c r="C60" s="218">
        <f>SUM(C59)</f>
        <v>38622000</v>
      </c>
    </row>
    <row r="61" spans="1:4">
      <c r="A61" s="207"/>
      <c r="B61" s="203"/>
      <c r="D61" s="126"/>
    </row>
    <row r="62" spans="1:4" ht="31.5">
      <c r="A62" s="15" t="s">
        <v>170</v>
      </c>
      <c r="B62" s="201"/>
      <c r="D62" s="126"/>
    </row>
    <row r="63" spans="1:4">
      <c r="A63" s="223" t="s">
        <v>171</v>
      </c>
      <c r="B63" s="201"/>
      <c r="C63" s="113">
        <f>+'ESF 2016'!B60</f>
        <v>87000</v>
      </c>
      <c r="D63" s="126">
        <f t="shared" si="0"/>
        <v>-87000</v>
      </c>
    </row>
    <row r="64" spans="1:4">
      <c r="A64" s="18" t="s">
        <v>172</v>
      </c>
      <c r="B64" s="201">
        <v>1064000</v>
      </c>
      <c r="C64" s="113">
        <f>+'ESF 2016'!B61</f>
        <v>809000</v>
      </c>
      <c r="D64" s="126">
        <f t="shared" si="0"/>
        <v>255000</v>
      </c>
    </row>
    <row r="65" spans="1:4">
      <c r="A65" s="223" t="s">
        <v>173</v>
      </c>
      <c r="B65" s="201"/>
      <c r="C65" s="113">
        <f>+'ESF 2016'!B62</f>
        <v>1107000</v>
      </c>
      <c r="D65" s="126">
        <f t="shared" si="0"/>
        <v>-1107000</v>
      </c>
    </row>
    <row r="66" spans="1:4" ht="16.5" thickBot="1">
      <c r="A66" s="223" t="s">
        <v>174</v>
      </c>
      <c r="B66" s="202"/>
      <c r="C66" s="217">
        <f>+'ESF 2016'!B63</f>
        <v>69361000</v>
      </c>
      <c r="D66" s="126">
        <f t="shared" si="0"/>
        <v>-69361000</v>
      </c>
    </row>
    <row r="67" spans="1:4" ht="30" customHeight="1">
      <c r="A67" s="211" t="s">
        <v>220</v>
      </c>
      <c r="B67" s="212">
        <f>+B64</f>
        <v>1064000</v>
      </c>
      <c r="C67" s="212">
        <f>+SUM(C63:C66)</f>
        <v>71364000</v>
      </c>
      <c r="D67" s="126"/>
    </row>
    <row r="68" spans="1:4">
      <c r="A68" s="15"/>
      <c r="B68" s="201"/>
      <c r="D68" s="126"/>
    </row>
    <row r="69" spans="1:4">
      <c r="A69" s="15" t="s">
        <v>178</v>
      </c>
      <c r="B69" s="201"/>
      <c r="D69" s="126"/>
    </row>
    <row r="70" spans="1:4">
      <c r="A70" s="18" t="str">
        <f>+'ESF 2016'!A67</f>
        <v>Ingresos recibidos por anticipado</v>
      </c>
      <c r="B70" s="201"/>
      <c r="C70" s="113">
        <f>+'ESF 2016'!B67</f>
        <v>2190000</v>
      </c>
      <c r="D70" s="126">
        <f t="shared" si="0"/>
        <v>-2190000</v>
      </c>
    </row>
    <row r="71" spans="1:4">
      <c r="A71" s="18" t="s">
        <v>241</v>
      </c>
      <c r="B71" s="201">
        <v>15120000</v>
      </c>
      <c r="C71" s="3"/>
      <c r="D71" s="126">
        <f t="shared" si="0"/>
        <v>15120000</v>
      </c>
    </row>
    <row r="72" spans="1:4" ht="16.5" thickBot="1">
      <c r="A72" s="18" t="s">
        <v>179</v>
      </c>
      <c r="B72" s="202">
        <v>165594000</v>
      </c>
      <c r="C72" s="217">
        <f>+'ESF 2016'!B71</f>
        <v>37668000</v>
      </c>
      <c r="D72" s="126">
        <f t="shared" si="0"/>
        <v>127926000</v>
      </c>
    </row>
    <row r="73" spans="1:4">
      <c r="A73" s="15" t="s">
        <v>180</v>
      </c>
      <c r="B73" s="203">
        <f>SUM(B71:B72)</f>
        <v>180714000</v>
      </c>
      <c r="C73" s="203">
        <f>SUM(C70:C72)</f>
        <v>39858000</v>
      </c>
      <c r="D73" s="126"/>
    </row>
    <row r="74" spans="1:4">
      <c r="A74" s="15"/>
      <c r="B74" s="201"/>
      <c r="D74" s="126"/>
    </row>
    <row r="75" spans="1:4">
      <c r="A75" s="15" t="s">
        <v>181</v>
      </c>
      <c r="B75" s="201"/>
      <c r="D75" s="126"/>
    </row>
    <row r="76" spans="1:4">
      <c r="A76" s="18" t="s">
        <v>182</v>
      </c>
      <c r="B76" s="201">
        <f>'ER 2017'!B83</f>
        <v>16267000.000000002</v>
      </c>
      <c r="C76" s="113">
        <f>+'ESF 2016'!B75</f>
        <v>8997000</v>
      </c>
      <c r="D76" s="126">
        <f t="shared" ref="D76:D96" si="1">+B76-C76</f>
        <v>7270000.0000000019</v>
      </c>
    </row>
    <row r="77" spans="1:4" ht="16.5" thickBot="1">
      <c r="A77" s="18" t="str">
        <f>+'ESF 2016'!A76</f>
        <v>Impuesto sobre la renta para la equidad CREE</v>
      </c>
      <c r="B77" s="202"/>
      <c r="C77" s="217">
        <f>+'ESF 2016'!B76</f>
        <v>3239000</v>
      </c>
      <c r="D77" s="126">
        <f t="shared" si="1"/>
        <v>-3239000</v>
      </c>
    </row>
    <row r="78" spans="1:4">
      <c r="A78" s="15" t="s">
        <v>183</v>
      </c>
      <c r="B78" s="203">
        <f>SUM(B76)</f>
        <v>16267000.000000002</v>
      </c>
      <c r="C78" s="203">
        <f>+C76+C77</f>
        <v>12236000</v>
      </c>
      <c r="D78" s="126"/>
    </row>
    <row r="79" spans="1:4">
      <c r="A79" s="15"/>
      <c r="B79" s="201"/>
      <c r="D79" s="126"/>
    </row>
    <row r="80" spans="1:4" s="9" customFormat="1" ht="16.5" thickBot="1">
      <c r="A80" s="208" t="s">
        <v>184</v>
      </c>
      <c r="B80" s="209">
        <f>+B78+B73+B67+B60+B56</f>
        <v>281788000</v>
      </c>
      <c r="C80" s="209">
        <f>+C78+C73+C67+C60+C56</f>
        <v>162080000</v>
      </c>
      <c r="D80" s="126"/>
    </row>
    <row r="81" spans="1:4" s="9" customFormat="1">
      <c r="A81" s="15"/>
      <c r="B81" s="203"/>
      <c r="C81" s="222"/>
      <c r="D81" s="126"/>
    </row>
    <row r="82" spans="1:4">
      <c r="A82" s="443" t="s">
        <v>185</v>
      </c>
      <c r="B82" s="444"/>
      <c r="C82" s="444"/>
      <c r="D82" s="126"/>
    </row>
    <row r="83" spans="1:4">
      <c r="A83" s="15" t="s">
        <v>186</v>
      </c>
      <c r="B83" s="201"/>
      <c r="D83" s="126"/>
    </row>
    <row r="84" spans="1:4" ht="16.5" thickBot="1">
      <c r="A84" s="18" t="s">
        <v>187</v>
      </c>
      <c r="B84" s="202">
        <v>620000000</v>
      </c>
      <c r="C84" s="217">
        <f>+'ESF 2016'!C84</f>
        <v>620000000</v>
      </c>
      <c r="D84" s="126"/>
    </row>
    <row r="85" spans="1:4">
      <c r="A85" s="15" t="s">
        <v>188</v>
      </c>
      <c r="B85" s="203">
        <f>SUM(B84)</f>
        <v>620000000</v>
      </c>
      <c r="C85" s="203">
        <f>SUM(C84)</f>
        <v>620000000</v>
      </c>
      <c r="D85" s="126"/>
    </row>
    <row r="86" spans="1:4">
      <c r="A86" s="15"/>
      <c r="B86" s="201"/>
      <c r="D86" s="126"/>
    </row>
    <row r="87" spans="1:4">
      <c r="A87" s="15" t="s">
        <v>189</v>
      </c>
      <c r="B87" s="201"/>
      <c r="D87" s="126"/>
    </row>
    <row r="88" spans="1:4" ht="16.5" thickBot="1">
      <c r="A88" s="18" t="s">
        <v>190</v>
      </c>
      <c r="B88" s="202">
        <f>+'ESF 2016'!B87+(' ER 2016'!C72*10%)-300</f>
        <v>7696000</v>
      </c>
      <c r="C88" s="217">
        <f>+'ESF 2016'!C88</f>
        <v>5321000</v>
      </c>
      <c r="D88" s="126">
        <f t="shared" si="1"/>
        <v>2375000</v>
      </c>
    </row>
    <row r="89" spans="1:4">
      <c r="A89" s="15" t="s">
        <v>191</v>
      </c>
      <c r="B89" s="203">
        <f>SUM(B88)</f>
        <v>7696000</v>
      </c>
      <c r="C89" s="203">
        <f>SUM(C88)</f>
        <v>5321000</v>
      </c>
      <c r="D89" s="126"/>
    </row>
    <row r="90" spans="1:4">
      <c r="A90" s="15"/>
      <c r="B90" s="201"/>
      <c r="D90" s="126"/>
    </row>
    <row r="91" spans="1:4">
      <c r="A91" s="15" t="s">
        <v>36</v>
      </c>
      <c r="B91" s="201"/>
      <c r="D91" s="126"/>
    </row>
    <row r="92" spans="1:4" ht="16.5" thickBot="1">
      <c r="A92" s="18" t="s">
        <v>192</v>
      </c>
      <c r="B92" s="202">
        <f>+'ER 2017'!C86</f>
        <v>31577000</v>
      </c>
      <c r="C92" s="217">
        <f>+'ESF 2016'!C92</f>
        <v>23753000</v>
      </c>
      <c r="D92" s="126">
        <f t="shared" si="1"/>
        <v>7824000</v>
      </c>
    </row>
    <row r="93" spans="1:4">
      <c r="A93" s="15" t="s">
        <v>193</v>
      </c>
      <c r="B93" s="203">
        <f>SUM(B92)</f>
        <v>31577000</v>
      </c>
      <c r="C93" s="203">
        <f>SUM(C92)</f>
        <v>23753000</v>
      </c>
      <c r="D93" s="126"/>
    </row>
    <row r="94" spans="1:4">
      <c r="A94" s="15"/>
      <c r="B94" s="201"/>
      <c r="D94" s="126"/>
    </row>
    <row r="95" spans="1:4">
      <c r="A95" s="15" t="s">
        <v>194</v>
      </c>
      <c r="B95" s="201"/>
      <c r="D95" s="126"/>
    </row>
    <row r="96" spans="1:4" ht="16.5" thickBot="1">
      <c r="A96" s="18" t="s">
        <v>195</v>
      </c>
      <c r="B96" s="202">
        <f>+'ESF 2016'!B95+21378000</f>
        <v>69269000</v>
      </c>
      <c r="C96" s="217">
        <f>+'ESF 2016'!C96</f>
        <v>47891000</v>
      </c>
      <c r="D96" s="126">
        <f t="shared" si="1"/>
        <v>21378000</v>
      </c>
    </row>
    <row r="97" spans="1:4" ht="31.5">
      <c r="A97" s="15" t="s">
        <v>196</v>
      </c>
      <c r="B97" s="203">
        <f>SUM(B96)</f>
        <v>69269000</v>
      </c>
      <c r="C97" s="203">
        <f>SUM(C96)</f>
        <v>47891000</v>
      </c>
      <c r="D97" s="126"/>
    </row>
    <row r="98" spans="1:4">
      <c r="A98" s="15"/>
      <c r="B98" s="201"/>
      <c r="D98" s="126"/>
    </row>
    <row r="99" spans="1:4" s="9" customFormat="1" ht="16.5" thickBot="1">
      <c r="A99" s="252" t="s">
        <v>197</v>
      </c>
      <c r="B99" s="253">
        <f>+B93+B89+B85+B97</f>
        <v>728542000</v>
      </c>
      <c r="C99" s="253">
        <f>+C93+C89+C85+C97</f>
        <v>696965000</v>
      </c>
      <c r="D99" s="126"/>
    </row>
    <row r="100" spans="1:4">
      <c r="A100" s="18"/>
      <c r="B100" s="201"/>
      <c r="D100" s="126"/>
    </row>
    <row r="101" spans="1:4" s="9" customFormat="1" ht="16.5" thickBot="1">
      <c r="A101" s="208" t="s">
        <v>198</v>
      </c>
      <c r="B101" s="209">
        <f>+B99+B80</f>
        <v>1010330000</v>
      </c>
      <c r="C101" s="209">
        <f>+C99+C80</f>
        <v>859045000</v>
      </c>
      <c r="D101" s="126"/>
    </row>
    <row r="102" spans="1:4" s="9" customFormat="1">
      <c r="A102" s="13"/>
      <c r="B102" s="224">
        <f>+B101-B46</f>
        <v>0</v>
      </c>
      <c r="C102" s="224">
        <f>+C101-C46</f>
        <v>0</v>
      </c>
    </row>
    <row r="103" spans="1:4" s="9" customFormat="1">
      <c r="A103" s="13"/>
      <c r="B103" s="196"/>
      <c r="C103" s="222"/>
    </row>
    <row r="104" spans="1:4" s="9" customFormat="1">
      <c r="A104" s="13"/>
      <c r="B104" s="196"/>
      <c r="C104" s="222"/>
    </row>
    <row r="105" spans="1:4" s="9" customFormat="1">
      <c r="A105" s="193" t="s">
        <v>130</v>
      </c>
      <c r="B105" s="200" t="s">
        <v>131</v>
      </c>
      <c r="C105" s="222"/>
    </row>
    <row r="106" spans="1:4">
      <c r="A106" s="194" t="s">
        <v>132</v>
      </c>
      <c r="B106" s="181" t="s">
        <v>133</v>
      </c>
    </row>
    <row r="107" spans="1:4">
      <c r="A107" s="195" t="s">
        <v>251</v>
      </c>
      <c r="B107" s="200" t="s">
        <v>134</v>
      </c>
    </row>
  </sheetData>
  <mergeCells count="10">
    <mergeCell ref="A1:D1"/>
    <mergeCell ref="A2:D2"/>
    <mergeCell ref="A4:D4"/>
    <mergeCell ref="A82:C82"/>
    <mergeCell ref="A48:D48"/>
    <mergeCell ref="A49:D49"/>
    <mergeCell ref="A51:D51"/>
    <mergeCell ref="A8:B8"/>
    <mergeCell ref="A22:B22"/>
    <mergeCell ref="A23:B23"/>
  </mergeCells>
  <pageMargins left="0.70866141732283472" right="0.70866141732283472" top="0.74803149606299213" bottom="0.74803149606299213" header="0.31496062992125984" footer="0.31496062992125984"/>
  <pageSetup scale="68" orientation="portrait" horizontalDpi="0" verticalDpi="0" r:id="rId1"/>
  <rowBreaks count="1" manualBreakCount="1">
    <brk id="4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5"/>
  <sheetViews>
    <sheetView zoomScaleNormal="100" workbookViewId="0">
      <selection activeCell="C20" sqref="C20"/>
    </sheetView>
  </sheetViews>
  <sheetFormatPr baseColWidth="10" defaultColWidth="10.7109375" defaultRowHeight="15.75"/>
  <cols>
    <col min="1" max="1" width="55.85546875" style="12" customWidth="1"/>
    <col min="2" max="3" width="23.28515625" style="113" customWidth="1"/>
    <col min="4" max="4" width="20.85546875" style="3" customWidth="1"/>
    <col min="5" max="5" width="11.28515625" style="3" bestFit="1" customWidth="1"/>
    <col min="6" max="6" width="15.140625" style="3" customWidth="1"/>
    <col min="7" max="7" width="13" style="3" customWidth="1"/>
    <col min="8" max="255" width="10.7109375" style="3"/>
    <col min="256" max="256" width="49" style="3" customWidth="1"/>
    <col min="257" max="257" width="19.7109375" style="3" customWidth="1"/>
    <col min="258" max="258" width="17.5703125" style="3" customWidth="1"/>
    <col min="259" max="511" width="10.7109375" style="3"/>
    <col min="512" max="512" width="49" style="3" customWidth="1"/>
    <col min="513" max="513" width="19.7109375" style="3" customWidth="1"/>
    <col min="514" max="514" width="17.5703125" style="3" customWidth="1"/>
    <col min="515" max="767" width="10.7109375" style="3"/>
    <col min="768" max="768" width="49" style="3" customWidth="1"/>
    <col min="769" max="769" width="19.7109375" style="3" customWidth="1"/>
    <col min="770" max="770" width="17.5703125" style="3" customWidth="1"/>
    <col min="771" max="1023" width="10.7109375" style="3"/>
    <col min="1024" max="1024" width="49" style="3" customWidth="1"/>
    <col min="1025" max="1025" width="19.7109375" style="3" customWidth="1"/>
    <col min="1026" max="1026" width="17.5703125" style="3" customWidth="1"/>
    <col min="1027" max="1279" width="10.7109375" style="3"/>
    <col min="1280" max="1280" width="49" style="3" customWidth="1"/>
    <col min="1281" max="1281" width="19.7109375" style="3" customWidth="1"/>
    <col min="1282" max="1282" width="17.5703125" style="3" customWidth="1"/>
    <col min="1283" max="1535" width="10.7109375" style="3"/>
    <col min="1536" max="1536" width="49" style="3" customWidth="1"/>
    <col min="1537" max="1537" width="19.7109375" style="3" customWidth="1"/>
    <col min="1538" max="1538" width="17.5703125" style="3" customWidth="1"/>
    <col min="1539" max="1791" width="10.7109375" style="3"/>
    <col min="1792" max="1792" width="49" style="3" customWidth="1"/>
    <col min="1793" max="1793" width="19.7109375" style="3" customWidth="1"/>
    <col min="1794" max="1794" width="17.5703125" style="3" customWidth="1"/>
    <col min="1795" max="2047" width="10.7109375" style="3"/>
    <col min="2048" max="2048" width="49" style="3" customWidth="1"/>
    <col min="2049" max="2049" width="19.7109375" style="3" customWidth="1"/>
    <col min="2050" max="2050" width="17.5703125" style="3" customWidth="1"/>
    <col min="2051" max="2303" width="10.7109375" style="3"/>
    <col min="2304" max="2304" width="49" style="3" customWidth="1"/>
    <col min="2305" max="2305" width="19.7109375" style="3" customWidth="1"/>
    <col min="2306" max="2306" width="17.5703125" style="3" customWidth="1"/>
    <col min="2307" max="2559" width="10.7109375" style="3"/>
    <col min="2560" max="2560" width="49" style="3" customWidth="1"/>
    <col min="2561" max="2561" width="19.7109375" style="3" customWidth="1"/>
    <col min="2562" max="2562" width="17.5703125" style="3" customWidth="1"/>
    <col min="2563" max="2815" width="10.7109375" style="3"/>
    <col min="2816" max="2816" width="49" style="3" customWidth="1"/>
    <col min="2817" max="2817" width="19.7109375" style="3" customWidth="1"/>
    <col min="2818" max="2818" width="17.5703125" style="3" customWidth="1"/>
    <col min="2819" max="3071" width="10.7109375" style="3"/>
    <col min="3072" max="3072" width="49" style="3" customWidth="1"/>
    <col min="3073" max="3073" width="19.7109375" style="3" customWidth="1"/>
    <col min="3074" max="3074" width="17.5703125" style="3" customWidth="1"/>
    <col min="3075" max="3327" width="10.7109375" style="3"/>
    <col min="3328" max="3328" width="49" style="3" customWidth="1"/>
    <col min="3329" max="3329" width="19.7109375" style="3" customWidth="1"/>
    <col min="3330" max="3330" width="17.5703125" style="3" customWidth="1"/>
    <col min="3331" max="3583" width="10.7109375" style="3"/>
    <col min="3584" max="3584" width="49" style="3" customWidth="1"/>
    <col min="3585" max="3585" width="19.7109375" style="3" customWidth="1"/>
    <col min="3586" max="3586" width="17.5703125" style="3" customWidth="1"/>
    <col min="3587" max="3839" width="10.7109375" style="3"/>
    <col min="3840" max="3840" width="49" style="3" customWidth="1"/>
    <col min="3841" max="3841" width="19.7109375" style="3" customWidth="1"/>
    <col min="3842" max="3842" width="17.5703125" style="3" customWidth="1"/>
    <col min="3843" max="4095" width="10.7109375" style="3"/>
    <col min="4096" max="4096" width="49" style="3" customWidth="1"/>
    <col min="4097" max="4097" width="19.7109375" style="3" customWidth="1"/>
    <col min="4098" max="4098" width="17.5703125" style="3" customWidth="1"/>
    <col min="4099" max="4351" width="10.7109375" style="3"/>
    <col min="4352" max="4352" width="49" style="3" customWidth="1"/>
    <col min="4353" max="4353" width="19.7109375" style="3" customWidth="1"/>
    <col min="4354" max="4354" width="17.5703125" style="3" customWidth="1"/>
    <col min="4355" max="4607" width="10.7109375" style="3"/>
    <col min="4608" max="4608" width="49" style="3" customWidth="1"/>
    <col min="4609" max="4609" width="19.7109375" style="3" customWidth="1"/>
    <col min="4610" max="4610" width="17.5703125" style="3" customWidth="1"/>
    <col min="4611" max="4863" width="10.7109375" style="3"/>
    <col min="4864" max="4864" width="49" style="3" customWidth="1"/>
    <col min="4865" max="4865" width="19.7109375" style="3" customWidth="1"/>
    <col min="4866" max="4866" width="17.5703125" style="3" customWidth="1"/>
    <col min="4867" max="5119" width="10.7109375" style="3"/>
    <col min="5120" max="5120" width="49" style="3" customWidth="1"/>
    <col min="5121" max="5121" width="19.7109375" style="3" customWidth="1"/>
    <col min="5122" max="5122" width="17.5703125" style="3" customWidth="1"/>
    <col min="5123" max="5375" width="10.7109375" style="3"/>
    <col min="5376" max="5376" width="49" style="3" customWidth="1"/>
    <col min="5377" max="5377" width="19.7109375" style="3" customWidth="1"/>
    <col min="5378" max="5378" width="17.5703125" style="3" customWidth="1"/>
    <col min="5379" max="5631" width="10.7109375" style="3"/>
    <col min="5632" max="5632" width="49" style="3" customWidth="1"/>
    <col min="5633" max="5633" width="19.7109375" style="3" customWidth="1"/>
    <col min="5634" max="5634" width="17.5703125" style="3" customWidth="1"/>
    <col min="5635" max="5887" width="10.7109375" style="3"/>
    <col min="5888" max="5888" width="49" style="3" customWidth="1"/>
    <col min="5889" max="5889" width="19.7109375" style="3" customWidth="1"/>
    <col min="5890" max="5890" width="17.5703125" style="3" customWidth="1"/>
    <col min="5891" max="6143" width="10.7109375" style="3"/>
    <col min="6144" max="6144" width="49" style="3" customWidth="1"/>
    <col min="6145" max="6145" width="19.7109375" style="3" customWidth="1"/>
    <col min="6146" max="6146" width="17.5703125" style="3" customWidth="1"/>
    <col min="6147" max="6399" width="10.7109375" style="3"/>
    <col min="6400" max="6400" width="49" style="3" customWidth="1"/>
    <col min="6401" max="6401" width="19.7109375" style="3" customWidth="1"/>
    <col min="6402" max="6402" width="17.5703125" style="3" customWidth="1"/>
    <col min="6403" max="6655" width="10.7109375" style="3"/>
    <col min="6656" max="6656" width="49" style="3" customWidth="1"/>
    <col min="6657" max="6657" width="19.7109375" style="3" customWidth="1"/>
    <col min="6658" max="6658" width="17.5703125" style="3" customWidth="1"/>
    <col min="6659" max="6911" width="10.7109375" style="3"/>
    <col min="6912" max="6912" width="49" style="3" customWidth="1"/>
    <col min="6913" max="6913" width="19.7109375" style="3" customWidth="1"/>
    <col min="6914" max="6914" width="17.5703125" style="3" customWidth="1"/>
    <col min="6915" max="7167" width="10.7109375" style="3"/>
    <col min="7168" max="7168" width="49" style="3" customWidth="1"/>
    <col min="7169" max="7169" width="19.7109375" style="3" customWidth="1"/>
    <col min="7170" max="7170" width="17.5703125" style="3" customWidth="1"/>
    <col min="7171" max="7423" width="10.7109375" style="3"/>
    <col min="7424" max="7424" width="49" style="3" customWidth="1"/>
    <col min="7425" max="7425" width="19.7109375" style="3" customWidth="1"/>
    <col min="7426" max="7426" width="17.5703125" style="3" customWidth="1"/>
    <col min="7427" max="7679" width="10.7109375" style="3"/>
    <col min="7680" max="7680" width="49" style="3" customWidth="1"/>
    <col min="7681" max="7681" width="19.7109375" style="3" customWidth="1"/>
    <col min="7682" max="7682" width="17.5703125" style="3" customWidth="1"/>
    <col min="7683" max="7935" width="10.7109375" style="3"/>
    <col min="7936" max="7936" width="49" style="3" customWidth="1"/>
    <col min="7937" max="7937" width="19.7109375" style="3" customWidth="1"/>
    <col min="7938" max="7938" width="17.5703125" style="3" customWidth="1"/>
    <col min="7939" max="8191" width="10.7109375" style="3"/>
    <col min="8192" max="8192" width="49" style="3" customWidth="1"/>
    <col min="8193" max="8193" width="19.7109375" style="3" customWidth="1"/>
    <col min="8194" max="8194" width="17.5703125" style="3" customWidth="1"/>
    <col min="8195" max="8447" width="10.7109375" style="3"/>
    <col min="8448" max="8448" width="49" style="3" customWidth="1"/>
    <col min="8449" max="8449" width="19.7109375" style="3" customWidth="1"/>
    <col min="8450" max="8450" width="17.5703125" style="3" customWidth="1"/>
    <col min="8451" max="8703" width="10.7109375" style="3"/>
    <col min="8704" max="8704" width="49" style="3" customWidth="1"/>
    <col min="8705" max="8705" width="19.7109375" style="3" customWidth="1"/>
    <col min="8706" max="8706" width="17.5703125" style="3" customWidth="1"/>
    <col min="8707" max="8959" width="10.7109375" style="3"/>
    <col min="8960" max="8960" width="49" style="3" customWidth="1"/>
    <col min="8961" max="8961" width="19.7109375" style="3" customWidth="1"/>
    <col min="8962" max="8962" width="17.5703125" style="3" customWidth="1"/>
    <col min="8963" max="9215" width="10.7109375" style="3"/>
    <col min="9216" max="9216" width="49" style="3" customWidth="1"/>
    <col min="9217" max="9217" width="19.7109375" style="3" customWidth="1"/>
    <col min="9218" max="9218" width="17.5703125" style="3" customWidth="1"/>
    <col min="9219" max="9471" width="10.7109375" style="3"/>
    <col min="9472" max="9472" width="49" style="3" customWidth="1"/>
    <col min="9473" max="9473" width="19.7109375" style="3" customWidth="1"/>
    <col min="9474" max="9474" width="17.5703125" style="3" customWidth="1"/>
    <col min="9475" max="9727" width="10.7109375" style="3"/>
    <col min="9728" max="9728" width="49" style="3" customWidth="1"/>
    <col min="9729" max="9729" width="19.7109375" style="3" customWidth="1"/>
    <col min="9730" max="9730" width="17.5703125" style="3" customWidth="1"/>
    <col min="9731" max="9983" width="10.7109375" style="3"/>
    <col min="9984" max="9984" width="49" style="3" customWidth="1"/>
    <col min="9985" max="9985" width="19.7109375" style="3" customWidth="1"/>
    <col min="9986" max="9986" width="17.5703125" style="3" customWidth="1"/>
    <col min="9987" max="10239" width="10.7109375" style="3"/>
    <col min="10240" max="10240" width="49" style="3" customWidth="1"/>
    <col min="10241" max="10241" width="19.7109375" style="3" customWidth="1"/>
    <col min="10242" max="10242" width="17.5703125" style="3" customWidth="1"/>
    <col min="10243" max="10495" width="10.7109375" style="3"/>
    <col min="10496" max="10496" width="49" style="3" customWidth="1"/>
    <col min="10497" max="10497" width="19.7109375" style="3" customWidth="1"/>
    <col min="10498" max="10498" width="17.5703125" style="3" customWidth="1"/>
    <col min="10499" max="10751" width="10.7109375" style="3"/>
    <col min="10752" max="10752" width="49" style="3" customWidth="1"/>
    <col min="10753" max="10753" width="19.7109375" style="3" customWidth="1"/>
    <col min="10754" max="10754" width="17.5703125" style="3" customWidth="1"/>
    <col min="10755" max="11007" width="10.7109375" style="3"/>
    <col min="11008" max="11008" width="49" style="3" customWidth="1"/>
    <col min="11009" max="11009" width="19.7109375" style="3" customWidth="1"/>
    <col min="11010" max="11010" width="17.5703125" style="3" customWidth="1"/>
    <col min="11011" max="11263" width="10.7109375" style="3"/>
    <col min="11264" max="11264" width="49" style="3" customWidth="1"/>
    <col min="11265" max="11265" width="19.7109375" style="3" customWidth="1"/>
    <col min="11266" max="11266" width="17.5703125" style="3" customWidth="1"/>
    <col min="11267" max="11519" width="10.7109375" style="3"/>
    <col min="11520" max="11520" width="49" style="3" customWidth="1"/>
    <col min="11521" max="11521" width="19.7109375" style="3" customWidth="1"/>
    <col min="11522" max="11522" width="17.5703125" style="3" customWidth="1"/>
    <col min="11523" max="11775" width="10.7109375" style="3"/>
    <col min="11776" max="11776" width="49" style="3" customWidth="1"/>
    <col min="11777" max="11777" width="19.7109375" style="3" customWidth="1"/>
    <col min="11778" max="11778" width="17.5703125" style="3" customWidth="1"/>
    <col min="11779" max="12031" width="10.7109375" style="3"/>
    <col min="12032" max="12032" width="49" style="3" customWidth="1"/>
    <col min="12033" max="12033" width="19.7109375" style="3" customWidth="1"/>
    <col min="12034" max="12034" width="17.5703125" style="3" customWidth="1"/>
    <col min="12035" max="12287" width="10.7109375" style="3"/>
    <col min="12288" max="12288" width="49" style="3" customWidth="1"/>
    <col min="12289" max="12289" width="19.7109375" style="3" customWidth="1"/>
    <col min="12290" max="12290" width="17.5703125" style="3" customWidth="1"/>
    <col min="12291" max="12543" width="10.7109375" style="3"/>
    <col min="12544" max="12544" width="49" style="3" customWidth="1"/>
    <col min="12545" max="12545" width="19.7109375" style="3" customWidth="1"/>
    <col min="12546" max="12546" width="17.5703125" style="3" customWidth="1"/>
    <col min="12547" max="12799" width="10.7109375" style="3"/>
    <col min="12800" max="12800" width="49" style="3" customWidth="1"/>
    <col min="12801" max="12801" width="19.7109375" style="3" customWidth="1"/>
    <col min="12802" max="12802" width="17.5703125" style="3" customWidth="1"/>
    <col min="12803" max="13055" width="10.7109375" style="3"/>
    <col min="13056" max="13056" width="49" style="3" customWidth="1"/>
    <col min="13057" max="13057" width="19.7109375" style="3" customWidth="1"/>
    <col min="13058" max="13058" width="17.5703125" style="3" customWidth="1"/>
    <col min="13059" max="13311" width="10.7109375" style="3"/>
    <col min="13312" max="13312" width="49" style="3" customWidth="1"/>
    <col min="13313" max="13313" width="19.7109375" style="3" customWidth="1"/>
    <col min="13314" max="13314" width="17.5703125" style="3" customWidth="1"/>
    <col min="13315" max="13567" width="10.7109375" style="3"/>
    <col min="13568" max="13568" width="49" style="3" customWidth="1"/>
    <col min="13569" max="13569" width="19.7109375" style="3" customWidth="1"/>
    <col min="13570" max="13570" width="17.5703125" style="3" customWidth="1"/>
    <col min="13571" max="13823" width="10.7109375" style="3"/>
    <col min="13824" max="13824" width="49" style="3" customWidth="1"/>
    <col min="13825" max="13825" width="19.7109375" style="3" customWidth="1"/>
    <col min="13826" max="13826" width="17.5703125" style="3" customWidth="1"/>
    <col min="13827" max="14079" width="10.7109375" style="3"/>
    <col min="14080" max="14080" width="49" style="3" customWidth="1"/>
    <col min="14081" max="14081" width="19.7109375" style="3" customWidth="1"/>
    <col min="14082" max="14082" width="17.5703125" style="3" customWidth="1"/>
    <col min="14083" max="14335" width="10.7109375" style="3"/>
    <col min="14336" max="14336" width="49" style="3" customWidth="1"/>
    <col min="14337" max="14337" width="19.7109375" style="3" customWidth="1"/>
    <col min="14338" max="14338" width="17.5703125" style="3" customWidth="1"/>
    <col min="14339" max="14591" width="10.7109375" style="3"/>
    <col min="14592" max="14592" width="49" style="3" customWidth="1"/>
    <col min="14593" max="14593" width="19.7109375" style="3" customWidth="1"/>
    <col min="14594" max="14594" width="17.5703125" style="3" customWidth="1"/>
    <col min="14595" max="14847" width="10.7109375" style="3"/>
    <col min="14848" max="14848" width="49" style="3" customWidth="1"/>
    <col min="14849" max="14849" width="19.7109375" style="3" customWidth="1"/>
    <col min="14850" max="14850" width="17.5703125" style="3" customWidth="1"/>
    <col min="14851" max="15103" width="10.7109375" style="3"/>
    <col min="15104" max="15104" width="49" style="3" customWidth="1"/>
    <col min="15105" max="15105" width="19.7109375" style="3" customWidth="1"/>
    <col min="15106" max="15106" width="17.5703125" style="3" customWidth="1"/>
    <col min="15107" max="15359" width="10.7109375" style="3"/>
    <col min="15360" max="15360" width="49" style="3" customWidth="1"/>
    <col min="15361" max="15361" width="19.7109375" style="3" customWidth="1"/>
    <col min="15362" max="15362" width="17.5703125" style="3" customWidth="1"/>
    <col min="15363" max="15615" width="10.7109375" style="3"/>
    <col min="15616" max="15616" width="49" style="3" customWidth="1"/>
    <col min="15617" max="15617" width="19.7109375" style="3" customWidth="1"/>
    <col min="15618" max="15618" width="17.5703125" style="3" customWidth="1"/>
    <col min="15619" max="15871" width="10.7109375" style="3"/>
    <col min="15872" max="15872" width="49" style="3" customWidth="1"/>
    <col min="15873" max="15873" width="19.7109375" style="3" customWidth="1"/>
    <col min="15874" max="15874" width="17.5703125" style="3" customWidth="1"/>
    <col min="15875" max="16127" width="10.7109375" style="3"/>
    <col min="16128" max="16128" width="49" style="3" customWidth="1"/>
    <col min="16129" max="16129" width="19.7109375" style="3" customWidth="1"/>
    <col min="16130" max="16130" width="17.5703125" style="3" customWidth="1"/>
    <col min="16131" max="16384" width="10.7109375" style="3"/>
  </cols>
  <sheetData>
    <row r="1" spans="1:4" s="126" customFormat="1">
      <c r="A1" s="439" t="s">
        <v>85</v>
      </c>
      <c r="B1" s="439"/>
      <c r="C1" s="439"/>
      <c r="D1" s="439"/>
    </row>
    <row r="2" spans="1:4" s="126" customFormat="1">
      <c r="A2" s="440" t="s">
        <v>86</v>
      </c>
      <c r="B2" s="440"/>
      <c r="C2" s="440"/>
      <c r="D2" s="440"/>
    </row>
    <row r="3" spans="1:4" s="126" customFormat="1">
      <c r="A3" s="113"/>
      <c r="B3" s="113"/>
      <c r="C3" s="113"/>
    </row>
    <row r="4" spans="1:4" s="126" customFormat="1">
      <c r="A4" s="441" t="s">
        <v>302</v>
      </c>
      <c r="B4" s="442"/>
      <c r="C4" s="442"/>
      <c r="D4" s="442"/>
    </row>
    <row r="5" spans="1:4" s="126" customFormat="1">
      <c r="A5" s="189"/>
      <c r="B5" s="113"/>
      <c r="C5" s="113"/>
    </row>
    <row r="6" spans="1:4" s="126" customFormat="1">
      <c r="A6" s="179" t="s">
        <v>137</v>
      </c>
      <c r="B6" s="226">
        <v>2016</v>
      </c>
      <c r="C6" s="227" t="s">
        <v>275</v>
      </c>
      <c r="D6" s="145" t="s">
        <v>303</v>
      </c>
    </row>
    <row r="7" spans="1:4" s="126" customFormat="1">
      <c r="A7" s="180" t="s">
        <v>138</v>
      </c>
      <c r="B7" s="113"/>
      <c r="C7" s="113"/>
    </row>
    <row r="8" spans="1:4" s="126" customFormat="1">
      <c r="A8" s="106" t="s">
        <v>139</v>
      </c>
      <c r="B8" s="113"/>
      <c r="C8" s="113"/>
    </row>
    <row r="9" spans="1:4" s="126" customFormat="1">
      <c r="A9" s="18" t="s">
        <v>140</v>
      </c>
      <c r="B9" s="113">
        <f>+'ESF 2016'!B10</f>
        <v>883000</v>
      </c>
      <c r="C9" s="113">
        <f>+'ESF 2015'!B11</f>
        <v>3065000</v>
      </c>
      <c r="D9" s="126">
        <f>+B9-C9</f>
        <v>-2182000</v>
      </c>
    </row>
    <row r="10" spans="1:4" s="126" customFormat="1" ht="16.5" thickBot="1">
      <c r="A10" s="18" t="s">
        <v>141</v>
      </c>
      <c r="B10" s="217">
        <f>+'ESF 2016'!B11</f>
        <v>2770000</v>
      </c>
      <c r="C10" s="217">
        <f>+'ESF 2016'!C11</f>
        <v>0</v>
      </c>
      <c r="D10" s="126">
        <f>+B10-C10</f>
        <v>2770000</v>
      </c>
    </row>
    <row r="11" spans="1:4" s="126" customFormat="1" ht="20.25" customHeight="1">
      <c r="A11" s="15" t="s">
        <v>142</v>
      </c>
      <c r="B11" s="218">
        <f>SUM(B9:B10)</f>
        <v>3653000</v>
      </c>
      <c r="C11" s="218">
        <f>SUM(C9:C10)</f>
        <v>3065000</v>
      </c>
    </row>
    <row r="12" spans="1:4" s="126" customFormat="1">
      <c r="A12" s="15"/>
      <c r="B12" s="113"/>
      <c r="C12" s="113"/>
    </row>
    <row r="13" spans="1:4" s="126" customFormat="1" ht="31.5">
      <c r="A13" s="15" t="s">
        <v>144</v>
      </c>
      <c r="B13" s="113"/>
      <c r="C13" s="113"/>
    </row>
    <row r="14" spans="1:4" s="126" customFormat="1">
      <c r="A14" s="18" t="s">
        <v>145</v>
      </c>
      <c r="B14" s="113">
        <f>+'ESF 2016'!B15</f>
        <v>115549000</v>
      </c>
      <c r="C14" s="113">
        <f>+'ESF 2015'!B15</f>
        <v>37845000</v>
      </c>
      <c r="D14" s="126">
        <f>+B14-C14</f>
        <v>77704000</v>
      </c>
    </row>
    <row r="15" spans="1:4" s="126" customFormat="1">
      <c r="A15" s="18" t="s">
        <v>146</v>
      </c>
      <c r="B15" s="113">
        <f>+'ESF 2016'!B16</f>
        <v>5358000</v>
      </c>
      <c r="C15" s="113"/>
      <c r="D15" s="126">
        <f t="shared" ref="D15:D17" si="0">+B15-C15</f>
        <v>5358000</v>
      </c>
    </row>
    <row r="16" spans="1:4" s="126" customFormat="1">
      <c r="A16" s="18" t="s">
        <v>236</v>
      </c>
      <c r="B16" s="126">
        <v>0</v>
      </c>
      <c r="C16" s="113"/>
      <c r="D16" s="126">
        <f t="shared" si="0"/>
        <v>0</v>
      </c>
    </row>
    <row r="17" spans="1:4" s="126" customFormat="1" ht="16.5" thickBot="1">
      <c r="A17" s="18" t="s">
        <v>147</v>
      </c>
      <c r="B17" s="217">
        <f>+'ESF 2016'!B17</f>
        <v>12496000</v>
      </c>
      <c r="C17" s="219">
        <f>+'ESF 2015'!B16</f>
        <v>6241000</v>
      </c>
      <c r="D17" s="126">
        <f t="shared" si="0"/>
        <v>6255000</v>
      </c>
    </row>
    <row r="18" spans="1:4" s="126" customFormat="1" ht="31.5">
      <c r="A18" s="15" t="s">
        <v>148</v>
      </c>
      <c r="B18" s="218">
        <f>SUM(B14:B17)</f>
        <v>133403000</v>
      </c>
      <c r="C18" s="218">
        <f>SUM(C14:C17)</f>
        <v>44086000</v>
      </c>
    </row>
    <row r="19" spans="1:4" s="126" customFormat="1">
      <c r="A19" s="15"/>
      <c r="B19" s="113"/>
      <c r="C19" s="113"/>
    </row>
    <row r="20" spans="1:4" s="126" customFormat="1" ht="16.5" thickBot="1">
      <c r="A20" s="208" t="s">
        <v>149</v>
      </c>
      <c r="B20" s="220">
        <f>+B11+B18</f>
        <v>137056000</v>
      </c>
      <c r="C20" s="220">
        <f>+C11+C18</f>
        <v>47151000</v>
      </c>
    </row>
    <row r="21" spans="1:4">
      <c r="A21" s="18"/>
      <c r="D21" s="126"/>
    </row>
    <row r="22" spans="1:4" s="126" customFormat="1">
      <c r="A22" s="261" t="s">
        <v>150</v>
      </c>
      <c r="B22" s="113"/>
      <c r="C22" s="113"/>
    </row>
    <row r="23" spans="1:4">
      <c r="A23" s="225" t="s">
        <v>151</v>
      </c>
      <c r="D23" s="126"/>
    </row>
    <row r="24" spans="1:4">
      <c r="A24" s="14"/>
      <c r="D24" s="126"/>
    </row>
    <row r="25" spans="1:4">
      <c r="A25" s="15" t="s">
        <v>152</v>
      </c>
      <c r="D25" s="126"/>
    </row>
    <row r="26" spans="1:4">
      <c r="A26" s="18" t="s">
        <v>153</v>
      </c>
      <c r="B26" s="113">
        <f>+'ESF 2016'!B25</f>
        <v>1730000</v>
      </c>
      <c r="C26" s="113">
        <v>0</v>
      </c>
      <c r="D26" s="126">
        <f>+B26-C26</f>
        <v>1730000</v>
      </c>
    </row>
    <row r="27" spans="1:4" ht="16.5" thickBot="1">
      <c r="A27" s="18" t="s">
        <v>160</v>
      </c>
      <c r="B27" s="217"/>
      <c r="C27" s="217"/>
      <c r="D27" s="126">
        <f>+B27-C27</f>
        <v>0</v>
      </c>
    </row>
    <row r="28" spans="1:4">
      <c r="A28" s="15" t="s">
        <v>154</v>
      </c>
      <c r="B28" s="218">
        <f>SUM(B26:B27)</f>
        <v>1730000</v>
      </c>
      <c r="C28" s="218">
        <f>SUM(C26:C27)</f>
        <v>0</v>
      </c>
      <c r="D28" s="126"/>
    </row>
    <row r="29" spans="1:4">
      <c r="A29" s="14"/>
      <c r="D29" s="126"/>
    </row>
    <row r="30" spans="1:4">
      <c r="A30" s="15" t="s">
        <v>155</v>
      </c>
      <c r="D30" s="126"/>
    </row>
    <row r="31" spans="1:4">
      <c r="A31" s="18" t="s">
        <v>156</v>
      </c>
      <c r="B31" s="113">
        <f>+'ESF 2016'!B29</f>
        <v>2800000</v>
      </c>
      <c r="C31" s="113">
        <v>0</v>
      </c>
      <c r="D31" s="126">
        <f>+B31-C31</f>
        <v>2800000</v>
      </c>
    </row>
    <row r="32" spans="1:4" ht="16.5" thickBot="1">
      <c r="A32" s="18" t="s">
        <v>160</v>
      </c>
      <c r="B32" s="217">
        <v>0</v>
      </c>
      <c r="C32" s="217">
        <v>0</v>
      </c>
      <c r="D32" s="126"/>
    </row>
    <row r="33" spans="1:4" ht="31.5">
      <c r="A33" s="15" t="s">
        <v>157</v>
      </c>
      <c r="B33" s="218">
        <f>SUM(B31:B32)</f>
        <v>2800000</v>
      </c>
      <c r="C33" s="218"/>
      <c r="D33" s="126"/>
    </row>
    <row r="34" spans="1:4">
      <c r="A34" s="14"/>
      <c r="D34" s="126"/>
    </row>
    <row r="35" spans="1:4">
      <c r="A35" s="15" t="s">
        <v>158</v>
      </c>
      <c r="D35" s="126"/>
    </row>
    <row r="36" spans="1:4">
      <c r="A36" s="18" t="s">
        <v>159</v>
      </c>
      <c r="B36" s="113">
        <f>+'ESF 2016'!B33</f>
        <v>751100000</v>
      </c>
      <c r="C36" s="113">
        <f>+'ESF 2015'!B24</f>
        <v>751100000</v>
      </c>
      <c r="D36" s="126">
        <f>+B36-C36</f>
        <v>0</v>
      </c>
    </row>
    <row r="37" spans="1:4" ht="16.5" thickBot="1">
      <c r="A37" s="18" t="s">
        <v>160</v>
      </c>
      <c r="B37" s="217">
        <f>+'ESF 2016'!B34</f>
        <v>-35110000</v>
      </c>
      <c r="C37" s="217">
        <v>0</v>
      </c>
      <c r="D37" s="126">
        <f>+B37-C37</f>
        <v>-35110000</v>
      </c>
    </row>
    <row r="38" spans="1:4">
      <c r="A38" s="15" t="s">
        <v>161</v>
      </c>
      <c r="B38" s="218">
        <f>SUM(B36:B37)</f>
        <v>715990000</v>
      </c>
      <c r="C38" s="218">
        <f>SUM(C36:C37)</f>
        <v>751100000</v>
      </c>
      <c r="D38" s="126"/>
    </row>
    <row r="39" spans="1:4">
      <c r="A39" s="15"/>
      <c r="D39" s="126"/>
    </row>
    <row r="40" spans="1:4">
      <c r="A40" s="15" t="s">
        <v>23</v>
      </c>
      <c r="D40" s="126"/>
    </row>
    <row r="41" spans="1:4" ht="16.5" thickBot="1">
      <c r="A41" s="18" t="s">
        <v>237</v>
      </c>
      <c r="B41" s="217">
        <f>+'ESF 2016'!B40</f>
        <v>1469000</v>
      </c>
      <c r="C41" s="217">
        <v>0</v>
      </c>
      <c r="D41" s="126">
        <f>+B41-C41</f>
        <v>1469000</v>
      </c>
    </row>
    <row r="42" spans="1:4">
      <c r="A42" s="15" t="s">
        <v>164</v>
      </c>
      <c r="B42" s="218">
        <f>+B41</f>
        <v>1469000</v>
      </c>
      <c r="C42" s="218">
        <f>+C41</f>
        <v>0</v>
      </c>
      <c r="D42" s="126"/>
    </row>
    <row r="43" spans="1:4">
      <c r="A43" s="18"/>
      <c r="D43" s="126"/>
    </row>
    <row r="44" spans="1:4" ht="16.5" thickBot="1">
      <c r="A44" s="208" t="s">
        <v>165</v>
      </c>
      <c r="B44" s="221">
        <f>+B28+B33+B38+B42</f>
        <v>721989000</v>
      </c>
      <c r="C44" s="221">
        <f>+C28+C33+C38+C42</f>
        <v>751100000</v>
      </c>
      <c r="D44" s="126"/>
    </row>
    <row r="45" spans="1:4">
      <c r="A45" s="18"/>
      <c r="D45" s="126"/>
    </row>
    <row r="46" spans="1:4" s="9" customFormat="1" ht="16.5" thickBot="1">
      <c r="A46" s="208" t="s">
        <v>166</v>
      </c>
      <c r="B46" s="221">
        <f>+B44+B20</f>
        <v>859045000</v>
      </c>
      <c r="C46" s="221">
        <f>+C44+C20</f>
        <v>798251000</v>
      </c>
      <c r="D46" s="126"/>
    </row>
    <row r="47" spans="1:4" s="9" customFormat="1">
      <c r="A47" s="266"/>
      <c r="B47" s="267"/>
      <c r="C47" s="267"/>
      <c r="D47" s="126"/>
    </row>
    <row r="48" spans="1:4">
      <c r="A48" s="439" t="s">
        <v>85</v>
      </c>
      <c r="B48" s="439"/>
      <c r="C48" s="439"/>
      <c r="D48" s="439"/>
    </row>
    <row r="49" spans="1:7">
      <c r="A49" s="440" t="s">
        <v>86</v>
      </c>
      <c r="B49" s="440"/>
      <c r="C49" s="440"/>
      <c r="D49" s="440"/>
      <c r="E49" s="12"/>
      <c r="F49" s="12"/>
      <c r="G49" s="12"/>
    </row>
    <row r="50" spans="1:7">
      <c r="A50" s="113"/>
      <c r="D50" s="126"/>
      <c r="E50" s="12"/>
      <c r="F50" s="12"/>
      <c r="G50" s="12"/>
    </row>
    <row r="51" spans="1:7" ht="15.75" customHeight="1">
      <c r="A51" s="441" t="s">
        <v>302</v>
      </c>
      <c r="B51" s="442"/>
      <c r="C51" s="442"/>
      <c r="D51" s="442"/>
      <c r="E51" s="12"/>
      <c r="F51" s="12"/>
      <c r="G51" s="12"/>
    </row>
    <row r="52" spans="1:7">
      <c r="A52" s="18"/>
      <c r="D52" s="126"/>
      <c r="E52" s="12"/>
      <c r="F52" s="12"/>
      <c r="G52" s="12"/>
    </row>
    <row r="53" spans="1:7">
      <c r="A53" s="265" t="s">
        <v>167</v>
      </c>
      <c r="B53" s="226">
        <v>2016</v>
      </c>
      <c r="C53" s="227" t="s">
        <v>275</v>
      </c>
      <c r="D53" s="145" t="s">
        <v>303</v>
      </c>
      <c r="E53" s="12"/>
      <c r="F53" s="12"/>
      <c r="G53" s="12"/>
    </row>
    <row r="54" spans="1:7">
      <c r="A54" s="207"/>
      <c r="D54" s="126"/>
      <c r="E54" s="12"/>
      <c r="F54" s="12"/>
      <c r="G54" s="12"/>
    </row>
    <row r="55" spans="1:7">
      <c r="A55" s="15" t="s">
        <v>27</v>
      </c>
      <c r="D55" s="126"/>
      <c r="E55" s="12"/>
      <c r="F55" s="12"/>
      <c r="G55" s="12"/>
    </row>
    <row r="56" spans="1:7" ht="16.5" thickBot="1">
      <c r="A56" s="18" t="s">
        <v>168</v>
      </c>
      <c r="B56" s="217">
        <f>+'ESF 2016'!C57</f>
        <v>38622000</v>
      </c>
      <c r="C56" s="217">
        <v>0</v>
      </c>
      <c r="D56" s="126">
        <f>+B56-C56</f>
        <v>38622000</v>
      </c>
      <c r="E56" s="12"/>
      <c r="F56" s="12"/>
      <c r="G56" s="12"/>
    </row>
    <row r="57" spans="1:7">
      <c r="A57" s="15" t="s">
        <v>169</v>
      </c>
      <c r="B57" s="218">
        <f>SUM(B56)</f>
        <v>38622000</v>
      </c>
      <c r="C57" s="218"/>
      <c r="E57" s="13"/>
      <c r="F57" s="12"/>
      <c r="G57" s="12"/>
    </row>
    <row r="58" spans="1:7">
      <c r="A58" s="207"/>
      <c r="D58" s="126"/>
      <c r="E58" s="12"/>
      <c r="F58" s="12"/>
      <c r="G58" s="12"/>
    </row>
    <row r="59" spans="1:7" ht="31.5">
      <c r="A59" s="15" t="s">
        <v>170</v>
      </c>
      <c r="D59" s="126"/>
      <c r="E59" s="12"/>
      <c r="F59" s="12"/>
      <c r="G59" s="12"/>
    </row>
    <row r="60" spans="1:7">
      <c r="A60" s="223" t="s">
        <v>171</v>
      </c>
      <c r="B60" s="113">
        <f>+'ESF 2016'!B60</f>
        <v>87000</v>
      </c>
      <c r="D60" s="126">
        <f>+B60-C60</f>
        <v>87000</v>
      </c>
      <c r="E60" s="12"/>
      <c r="F60" s="12"/>
      <c r="G60" s="12"/>
    </row>
    <row r="61" spans="1:7">
      <c r="A61" s="18" t="s">
        <v>172</v>
      </c>
      <c r="B61" s="113">
        <f>+'ESF 2016'!B61</f>
        <v>809000</v>
      </c>
      <c r="C61" s="113">
        <f>+'ESF 2015'!B34</f>
        <v>135000</v>
      </c>
      <c r="D61" s="126">
        <f t="shared" ref="D61:D64" si="1">+B61-C61</f>
        <v>674000</v>
      </c>
      <c r="E61" s="12"/>
      <c r="F61" s="12"/>
      <c r="G61" s="12"/>
    </row>
    <row r="62" spans="1:7">
      <c r="A62" s="18" t="s">
        <v>312</v>
      </c>
      <c r="C62" s="113">
        <f>+'ESF 2015'!B35</f>
        <v>23000</v>
      </c>
      <c r="D62" s="126">
        <f t="shared" si="1"/>
        <v>-23000</v>
      </c>
      <c r="E62" s="12"/>
      <c r="F62" s="12"/>
      <c r="G62" s="12"/>
    </row>
    <row r="63" spans="1:7">
      <c r="A63" s="223" t="s">
        <v>173</v>
      </c>
      <c r="B63" s="113">
        <f>+'ESF 2016'!B62</f>
        <v>1107000</v>
      </c>
      <c r="D63" s="126">
        <f t="shared" si="1"/>
        <v>1107000</v>
      </c>
      <c r="E63" s="12"/>
      <c r="F63" s="12"/>
      <c r="G63" s="12"/>
    </row>
    <row r="64" spans="1:7" ht="16.5" thickBot="1">
      <c r="A64" s="223" t="s">
        <v>174</v>
      </c>
      <c r="B64" s="217">
        <f>+'ESF 2016'!B63</f>
        <v>69361000</v>
      </c>
      <c r="C64" s="217">
        <f>+'ESF 2015'!B36</f>
        <v>103918000</v>
      </c>
      <c r="D64" s="126">
        <f t="shared" si="1"/>
        <v>-34557000</v>
      </c>
      <c r="E64" s="12"/>
      <c r="F64" s="12"/>
      <c r="G64" s="12"/>
    </row>
    <row r="65" spans="1:7" ht="30" customHeight="1">
      <c r="A65" s="211" t="s">
        <v>220</v>
      </c>
      <c r="B65" s="212">
        <f>+SUM(B60:B64)</f>
        <v>71364000</v>
      </c>
      <c r="C65" s="212">
        <f>+SUM(C60:C64)</f>
        <v>104076000</v>
      </c>
      <c r="D65" s="126"/>
      <c r="E65" s="12"/>
      <c r="F65" s="12"/>
      <c r="G65" s="12"/>
    </row>
    <row r="66" spans="1:7">
      <c r="A66" s="15"/>
      <c r="D66" s="126"/>
      <c r="E66" s="15"/>
      <c r="F66" s="12"/>
      <c r="G66" s="12"/>
    </row>
    <row r="67" spans="1:7">
      <c r="A67" s="15" t="s">
        <v>178</v>
      </c>
      <c r="D67" s="126"/>
      <c r="E67" s="12"/>
      <c r="F67" s="12"/>
      <c r="G67" s="12"/>
    </row>
    <row r="68" spans="1:7">
      <c r="A68" s="18" t="str">
        <f>+'ESF 2016'!A67</f>
        <v>Ingresos recibidos por anticipado</v>
      </c>
      <c r="B68" s="113">
        <f>+'ESF 2016'!B67</f>
        <v>2190000</v>
      </c>
      <c r="D68" s="126">
        <f t="shared" ref="D68" si="2">+B68-C68</f>
        <v>2190000</v>
      </c>
      <c r="E68" s="12"/>
      <c r="F68" s="12"/>
      <c r="G68" s="12"/>
    </row>
    <row r="69" spans="1:7">
      <c r="A69" s="18" t="s">
        <v>241</v>
      </c>
      <c r="B69" s="3"/>
      <c r="C69" s="3"/>
      <c r="D69" s="126"/>
      <c r="E69" s="12"/>
      <c r="F69" s="12"/>
      <c r="G69" s="12"/>
    </row>
    <row r="70" spans="1:7" ht="16.5" thickBot="1">
      <c r="A70" s="18" t="s">
        <v>179</v>
      </c>
      <c r="B70" s="217">
        <f>+'ESF 2016'!B71</f>
        <v>37668000</v>
      </c>
      <c r="C70" s="217"/>
      <c r="D70" s="126">
        <f t="shared" ref="D70" si="3">+B70-C70</f>
        <v>37668000</v>
      </c>
      <c r="E70" s="12"/>
      <c r="F70" s="12"/>
      <c r="G70" s="12"/>
    </row>
    <row r="71" spans="1:7">
      <c r="A71" s="15" t="s">
        <v>180</v>
      </c>
      <c r="B71" s="203">
        <f>SUM(B68:B70)</f>
        <v>39858000</v>
      </c>
      <c r="C71" s="203"/>
      <c r="D71" s="126"/>
      <c r="E71" s="12"/>
      <c r="F71" s="12"/>
      <c r="G71" s="12"/>
    </row>
    <row r="72" spans="1:7">
      <c r="A72" s="15"/>
      <c r="D72" s="126"/>
      <c r="E72" s="12"/>
      <c r="F72" s="12"/>
      <c r="G72" s="12"/>
    </row>
    <row r="73" spans="1:7">
      <c r="A73" s="15" t="s">
        <v>181</v>
      </c>
      <c r="D73" s="126"/>
      <c r="E73" s="12"/>
      <c r="F73" s="12"/>
      <c r="G73" s="12"/>
    </row>
    <row r="74" spans="1:7">
      <c r="A74" s="18" t="s">
        <v>182</v>
      </c>
      <c r="B74" s="113">
        <f>+'ESF 2016'!B75</f>
        <v>8997000</v>
      </c>
      <c r="C74" s="113">
        <f>+'ESF 2015'!B40</f>
        <v>17195000</v>
      </c>
      <c r="D74" s="126">
        <f>+B74-C74</f>
        <v>-8198000</v>
      </c>
    </row>
    <row r="75" spans="1:7" ht="16.5" thickBot="1">
      <c r="A75" s="18" t="str">
        <f>+'ESF 2016'!A76</f>
        <v>Impuesto sobre la renta para la equidad CREE</v>
      </c>
      <c r="B75" s="217">
        <f>+'ESF 2016'!B76</f>
        <v>3239000</v>
      </c>
      <c r="C75" s="217">
        <f>+'ESF 2015'!B41</f>
        <v>3768000</v>
      </c>
      <c r="D75" s="126">
        <f>+B75-C75</f>
        <v>-529000</v>
      </c>
    </row>
    <row r="76" spans="1:7">
      <c r="A76" s="15" t="s">
        <v>183</v>
      </c>
      <c r="B76" s="203">
        <f>+B74+B75</f>
        <v>12236000</v>
      </c>
      <c r="C76" s="203">
        <f>+C74+C75</f>
        <v>20963000</v>
      </c>
      <c r="D76" s="126"/>
    </row>
    <row r="77" spans="1:7">
      <c r="A77" s="15"/>
      <c r="D77" s="126"/>
    </row>
    <row r="78" spans="1:7" s="9" customFormat="1" ht="16.5" thickBot="1">
      <c r="A78" s="208" t="s">
        <v>184</v>
      </c>
      <c r="B78" s="209">
        <f>+B76+B71+B65+B57</f>
        <v>162080000</v>
      </c>
      <c r="C78" s="209">
        <f>+C76+C71+C65+C57</f>
        <v>125039000</v>
      </c>
      <c r="D78" s="126"/>
    </row>
    <row r="79" spans="1:7" s="9" customFormat="1">
      <c r="A79" s="15"/>
      <c r="B79" s="222"/>
      <c r="C79" s="222"/>
      <c r="D79" s="126"/>
    </row>
    <row r="80" spans="1:7">
      <c r="A80" s="443" t="s">
        <v>185</v>
      </c>
      <c r="B80" s="444"/>
      <c r="C80" s="204"/>
      <c r="D80" s="126"/>
    </row>
    <row r="81" spans="1:5">
      <c r="A81" s="15" t="s">
        <v>186</v>
      </c>
      <c r="D81" s="126"/>
    </row>
    <row r="82" spans="1:5" ht="16.5" thickBot="1">
      <c r="A82" s="18" t="s">
        <v>187</v>
      </c>
      <c r="B82" s="217">
        <f>+'ESF 2016'!C84</f>
        <v>620000000</v>
      </c>
      <c r="C82" s="217">
        <f>+'ESF 2015'!B54</f>
        <v>620000000</v>
      </c>
      <c r="D82" s="126"/>
    </row>
    <row r="83" spans="1:5">
      <c r="A83" s="15" t="s">
        <v>188</v>
      </c>
      <c r="B83" s="203">
        <f>SUM(B82)</f>
        <v>620000000</v>
      </c>
      <c r="C83" s="203">
        <f>SUM(C82)</f>
        <v>620000000</v>
      </c>
      <c r="D83" s="126"/>
    </row>
    <row r="84" spans="1:5">
      <c r="A84" s="15"/>
      <c r="D84" s="126"/>
    </row>
    <row r="85" spans="1:5">
      <c r="A85" s="15" t="s">
        <v>189</v>
      </c>
      <c r="D85" s="126"/>
    </row>
    <row r="86" spans="1:5" ht="16.5" thickBot="1">
      <c r="A86" s="18" t="s">
        <v>190</v>
      </c>
      <c r="B86" s="217">
        <f>+'ESF 2016'!C88</f>
        <v>5321000</v>
      </c>
      <c r="C86" s="217">
        <f>+'ESF 2015'!B62</f>
        <v>539000</v>
      </c>
      <c r="D86" s="126">
        <f>+B86-C86</f>
        <v>4782000</v>
      </c>
    </row>
    <row r="87" spans="1:5">
      <c r="A87" s="15" t="s">
        <v>191</v>
      </c>
      <c r="B87" s="203">
        <f>SUM(B86)</f>
        <v>5321000</v>
      </c>
      <c r="C87" s="203">
        <f>SUM(C86)</f>
        <v>539000</v>
      </c>
      <c r="D87" s="126"/>
    </row>
    <row r="88" spans="1:5">
      <c r="A88" s="15"/>
      <c r="D88" s="126"/>
      <c r="E88" s="108"/>
    </row>
    <row r="89" spans="1:5">
      <c r="A89" s="15" t="s">
        <v>36</v>
      </c>
      <c r="D89" s="126"/>
    </row>
    <row r="90" spans="1:5" ht="16.5" thickBot="1">
      <c r="A90" s="18" t="s">
        <v>192</v>
      </c>
      <c r="B90" s="217">
        <f>+'ESF 2016'!C92</f>
        <v>23753000</v>
      </c>
      <c r="C90" s="217">
        <f>+'ESF 2015'!B58</f>
        <v>47818000</v>
      </c>
      <c r="D90" s="126">
        <f>+B90-C90</f>
        <v>-24065000</v>
      </c>
    </row>
    <row r="91" spans="1:5">
      <c r="A91" s="15" t="s">
        <v>193</v>
      </c>
      <c r="B91" s="203">
        <f>SUM(B90)</f>
        <v>23753000</v>
      </c>
      <c r="C91" s="203">
        <f>SUM(C90)</f>
        <v>47818000</v>
      </c>
      <c r="D91" s="126"/>
    </row>
    <row r="92" spans="1:5">
      <c r="A92" s="15"/>
      <c r="D92" s="126"/>
    </row>
    <row r="93" spans="1:5">
      <c r="A93" s="15" t="s">
        <v>194</v>
      </c>
      <c r="D93" s="126"/>
    </row>
    <row r="94" spans="1:5" ht="16.5" thickBot="1">
      <c r="A94" s="18" t="s">
        <v>195</v>
      </c>
      <c r="B94" s="217">
        <f>+'ESF 2016'!C96</f>
        <v>47891000</v>
      </c>
      <c r="C94" s="217">
        <f>+'ESF 2015'!B66</f>
        <v>4855000</v>
      </c>
      <c r="D94" s="126">
        <f>+B94-C94</f>
        <v>43036000</v>
      </c>
    </row>
    <row r="95" spans="1:5" ht="31.5">
      <c r="A95" s="15" t="s">
        <v>196</v>
      </c>
      <c r="B95" s="203">
        <f>SUM(B94)</f>
        <v>47891000</v>
      </c>
      <c r="C95" s="203">
        <f>SUM(C94)</f>
        <v>4855000</v>
      </c>
      <c r="D95" s="126"/>
    </row>
    <row r="96" spans="1:5">
      <c r="A96" s="15"/>
      <c r="D96" s="126"/>
    </row>
    <row r="97" spans="1:5" s="9" customFormat="1" ht="16.5" thickBot="1">
      <c r="A97" s="252" t="s">
        <v>197</v>
      </c>
      <c r="B97" s="253">
        <f>+B91+B87+B83+B95</f>
        <v>696965000</v>
      </c>
      <c r="C97" s="253">
        <f>+C91+C87+C83+C95</f>
        <v>673212000</v>
      </c>
      <c r="D97" s="126"/>
    </row>
    <row r="98" spans="1:5">
      <c r="A98" s="18"/>
      <c r="D98" s="126"/>
    </row>
    <row r="99" spans="1:5" s="9" customFormat="1" ht="16.5" thickBot="1">
      <c r="A99" s="208" t="s">
        <v>198</v>
      </c>
      <c r="B99" s="209">
        <f>+B97+B78</f>
        <v>859045000</v>
      </c>
      <c r="C99" s="209">
        <f>+C97+C78</f>
        <v>798251000</v>
      </c>
      <c r="D99" s="126"/>
      <c r="E99" s="129"/>
    </row>
    <row r="100" spans="1:5" s="9" customFormat="1">
      <c r="A100" s="13"/>
      <c r="B100" s="224">
        <f>+B99-B46</f>
        <v>0</v>
      </c>
      <c r="C100" s="224">
        <f>+C99-C46</f>
        <v>0</v>
      </c>
    </row>
    <row r="101" spans="1:5" s="9" customFormat="1">
      <c r="A101" s="13"/>
      <c r="B101" s="222"/>
      <c r="C101" s="222"/>
    </row>
    <row r="102" spans="1:5" s="9" customFormat="1">
      <c r="A102" s="13"/>
      <c r="B102" s="222"/>
      <c r="C102" s="222"/>
    </row>
    <row r="103" spans="1:5" s="9" customFormat="1">
      <c r="A103" s="193" t="s">
        <v>130</v>
      </c>
      <c r="B103" s="450" t="s">
        <v>131</v>
      </c>
      <c r="C103" s="450"/>
    </row>
    <row r="104" spans="1:5">
      <c r="A104" s="194" t="s">
        <v>132</v>
      </c>
      <c r="B104" s="449" t="s">
        <v>133</v>
      </c>
      <c r="C104" s="449"/>
    </row>
    <row r="105" spans="1:5">
      <c r="A105" s="195" t="s">
        <v>251</v>
      </c>
      <c r="B105" s="450" t="s">
        <v>134</v>
      </c>
      <c r="C105" s="450"/>
    </row>
  </sheetData>
  <mergeCells count="10">
    <mergeCell ref="B104:C104"/>
    <mergeCell ref="B105:C105"/>
    <mergeCell ref="A80:B80"/>
    <mergeCell ref="B103:C103"/>
    <mergeCell ref="A1:D1"/>
    <mergeCell ref="A2:D2"/>
    <mergeCell ref="A4:D4"/>
    <mergeCell ref="A48:D48"/>
    <mergeCell ref="A49:D49"/>
    <mergeCell ref="A51:D51"/>
  </mergeCells>
  <pageMargins left="0.70866141732283472" right="0.70866141732283472" top="0.74803149606299213" bottom="0.74803149606299213" header="0.31496062992125984" footer="0.31496062992125984"/>
  <pageSetup scale="72" orientation="portrait" horizontalDpi="0" verticalDpi="0" r:id="rId1"/>
  <rowBreaks count="1" manualBreakCount="1">
    <brk id="4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5"/>
  <sheetViews>
    <sheetView zoomScaleNormal="100" workbookViewId="0">
      <selection activeCell="E62" sqref="E62"/>
    </sheetView>
  </sheetViews>
  <sheetFormatPr baseColWidth="10" defaultColWidth="10.7109375" defaultRowHeight="15.75"/>
  <cols>
    <col min="1" max="1" width="55.85546875" style="12" customWidth="1"/>
    <col min="2" max="3" width="23.28515625" style="113" customWidth="1"/>
    <col min="4" max="4" width="20.85546875" style="3" customWidth="1"/>
    <col min="5" max="5" width="11.28515625" style="3" bestFit="1" customWidth="1"/>
    <col min="6" max="6" width="15.140625" style="3" customWidth="1"/>
    <col min="7" max="7" width="13" style="3" customWidth="1"/>
    <col min="8" max="255" width="10.7109375" style="3"/>
    <col min="256" max="256" width="49" style="3" customWidth="1"/>
    <col min="257" max="257" width="19.7109375" style="3" customWidth="1"/>
    <col min="258" max="258" width="17.5703125" style="3" customWidth="1"/>
    <col min="259" max="511" width="10.7109375" style="3"/>
    <col min="512" max="512" width="49" style="3" customWidth="1"/>
    <col min="513" max="513" width="19.7109375" style="3" customWidth="1"/>
    <col min="514" max="514" width="17.5703125" style="3" customWidth="1"/>
    <col min="515" max="767" width="10.7109375" style="3"/>
    <col min="768" max="768" width="49" style="3" customWidth="1"/>
    <col min="769" max="769" width="19.7109375" style="3" customWidth="1"/>
    <col min="770" max="770" width="17.5703125" style="3" customWidth="1"/>
    <col min="771" max="1023" width="10.7109375" style="3"/>
    <col min="1024" max="1024" width="49" style="3" customWidth="1"/>
    <col min="1025" max="1025" width="19.7109375" style="3" customWidth="1"/>
    <col min="1026" max="1026" width="17.5703125" style="3" customWidth="1"/>
    <col min="1027" max="1279" width="10.7109375" style="3"/>
    <col min="1280" max="1280" width="49" style="3" customWidth="1"/>
    <col min="1281" max="1281" width="19.7109375" style="3" customWidth="1"/>
    <col min="1282" max="1282" width="17.5703125" style="3" customWidth="1"/>
    <col min="1283" max="1535" width="10.7109375" style="3"/>
    <col min="1536" max="1536" width="49" style="3" customWidth="1"/>
    <col min="1537" max="1537" width="19.7109375" style="3" customWidth="1"/>
    <col min="1538" max="1538" width="17.5703125" style="3" customWidth="1"/>
    <col min="1539" max="1791" width="10.7109375" style="3"/>
    <col min="1792" max="1792" width="49" style="3" customWidth="1"/>
    <col min="1793" max="1793" width="19.7109375" style="3" customWidth="1"/>
    <col min="1794" max="1794" width="17.5703125" style="3" customWidth="1"/>
    <col min="1795" max="2047" width="10.7109375" style="3"/>
    <col min="2048" max="2048" width="49" style="3" customWidth="1"/>
    <col min="2049" max="2049" width="19.7109375" style="3" customWidth="1"/>
    <col min="2050" max="2050" width="17.5703125" style="3" customWidth="1"/>
    <col min="2051" max="2303" width="10.7109375" style="3"/>
    <col min="2304" max="2304" width="49" style="3" customWidth="1"/>
    <col min="2305" max="2305" width="19.7109375" style="3" customWidth="1"/>
    <col min="2306" max="2306" width="17.5703125" style="3" customWidth="1"/>
    <col min="2307" max="2559" width="10.7109375" style="3"/>
    <col min="2560" max="2560" width="49" style="3" customWidth="1"/>
    <col min="2561" max="2561" width="19.7109375" style="3" customWidth="1"/>
    <col min="2562" max="2562" width="17.5703125" style="3" customWidth="1"/>
    <col min="2563" max="2815" width="10.7109375" style="3"/>
    <col min="2816" max="2816" width="49" style="3" customWidth="1"/>
    <col min="2817" max="2817" width="19.7109375" style="3" customWidth="1"/>
    <col min="2818" max="2818" width="17.5703125" style="3" customWidth="1"/>
    <col min="2819" max="3071" width="10.7109375" style="3"/>
    <col min="3072" max="3072" width="49" style="3" customWidth="1"/>
    <col min="3073" max="3073" width="19.7109375" style="3" customWidth="1"/>
    <col min="3074" max="3074" width="17.5703125" style="3" customWidth="1"/>
    <col min="3075" max="3327" width="10.7109375" style="3"/>
    <col min="3328" max="3328" width="49" style="3" customWidth="1"/>
    <col min="3329" max="3329" width="19.7109375" style="3" customWidth="1"/>
    <col min="3330" max="3330" width="17.5703125" style="3" customWidth="1"/>
    <col min="3331" max="3583" width="10.7109375" style="3"/>
    <col min="3584" max="3584" width="49" style="3" customWidth="1"/>
    <col min="3585" max="3585" width="19.7109375" style="3" customWidth="1"/>
    <col min="3586" max="3586" width="17.5703125" style="3" customWidth="1"/>
    <col min="3587" max="3839" width="10.7109375" style="3"/>
    <col min="3840" max="3840" width="49" style="3" customWidth="1"/>
    <col min="3841" max="3841" width="19.7109375" style="3" customWidth="1"/>
    <col min="3842" max="3842" width="17.5703125" style="3" customWidth="1"/>
    <col min="3843" max="4095" width="10.7109375" style="3"/>
    <col min="4096" max="4096" width="49" style="3" customWidth="1"/>
    <col min="4097" max="4097" width="19.7109375" style="3" customWidth="1"/>
    <col min="4098" max="4098" width="17.5703125" style="3" customWidth="1"/>
    <col min="4099" max="4351" width="10.7109375" style="3"/>
    <col min="4352" max="4352" width="49" style="3" customWidth="1"/>
    <col min="4353" max="4353" width="19.7109375" style="3" customWidth="1"/>
    <col min="4354" max="4354" width="17.5703125" style="3" customWidth="1"/>
    <col min="4355" max="4607" width="10.7109375" style="3"/>
    <col min="4608" max="4608" width="49" style="3" customWidth="1"/>
    <col min="4609" max="4609" width="19.7109375" style="3" customWidth="1"/>
    <col min="4610" max="4610" width="17.5703125" style="3" customWidth="1"/>
    <col min="4611" max="4863" width="10.7109375" style="3"/>
    <col min="4864" max="4864" width="49" style="3" customWidth="1"/>
    <col min="4865" max="4865" width="19.7109375" style="3" customWidth="1"/>
    <col min="4866" max="4866" width="17.5703125" style="3" customWidth="1"/>
    <col min="4867" max="5119" width="10.7109375" style="3"/>
    <col min="5120" max="5120" width="49" style="3" customWidth="1"/>
    <col min="5121" max="5121" width="19.7109375" style="3" customWidth="1"/>
    <col min="5122" max="5122" width="17.5703125" style="3" customWidth="1"/>
    <col min="5123" max="5375" width="10.7109375" style="3"/>
    <col min="5376" max="5376" width="49" style="3" customWidth="1"/>
    <col min="5377" max="5377" width="19.7109375" style="3" customWidth="1"/>
    <col min="5378" max="5378" width="17.5703125" style="3" customWidth="1"/>
    <col min="5379" max="5631" width="10.7109375" style="3"/>
    <col min="5632" max="5632" width="49" style="3" customWidth="1"/>
    <col min="5633" max="5633" width="19.7109375" style="3" customWidth="1"/>
    <col min="5634" max="5634" width="17.5703125" style="3" customWidth="1"/>
    <col min="5635" max="5887" width="10.7109375" style="3"/>
    <col min="5888" max="5888" width="49" style="3" customWidth="1"/>
    <col min="5889" max="5889" width="19.7109375" style="3" customWidth="1"/>
    <col min="5890" max="5890" width="17.5703125" style="3" customWidth="1"/>
    <col min="5891" max="6143" width="10.7109375" style="3"/>
    <col min="6144" max="6144" width="49" style="3" customWidth="1"/>
    <col min="6145" max="6145" width="19.7109375" style="3" customWidth="1"/>
    <col min="6146" max="6146" width="17.5703125" style="3" customWidth="1"/>
    <col min="6147" max="6399" width="10.7109375" style="3"/>
    <col min="6400" max="6400" width="49" style="3" customWidth="1"/>
    <col min="6401" max="6401" width="19.7109375" style="3" customWidth="1"/>
    <col min="6402" max="6402" width="17.5703125" style="3" customWidth="1"/>
    <col min="6403" max="6655" width="10.7109375" style="3"/>
    <col min="6656" max="6656" width="49" style="3" customWidth="1"/>
    <col min="6657" max="6657" width="19.7109375" style="3" customWidth="1"/>
    <col min="6658" max="6658" width="17.5703125" style="3" customWidth="1"/>
    <col min="6659" max="6911" width="10.7109375" style="3"/>
    <col min="6912" max="6912" width="49" style="3" customWidth="1"/>
    <col min="6913" max="6913" width="19.7109375" style="3" customWidth="1"/>
    <col min="6914" max="6914" width="17.5703125" style="3" customWidth="1"/>
    <col min="6915" max="7167" width="10.7109375" style="3"/>
    <col min="7168" max="7168" width="49" style="3" customWidth="1"/>
    <col min="7169" max="7169" width="19.7109375" style="3" customWidth="1"/>
    <col min="7170" max="7170" width="17.5703125" style="3" customWidth="1"/>
    <col min="7171" max="7423" width="10.7109375" style="3"/>
    <col min="7424" max="7424" width="49" style="3" customWidth="1"/>
    <col min="7425" max="7425" width="19.7109375" style="3" customWidth="1"/>
    <col min="7426" max="7426" width="17.5703125" style="3" customWidth="1"/>
    <col min="7427" max="7679" width="10.7109375" style="3"/>
    <col min="7680" max="7680" width="49" style="3" customWidth="1"/>
    <col min="7681" max="7681" width="19.7109375" style="3" customWidth="1"/>
    <col min="7682" max="7682" width="17.5703125" style="3" customWidth="1"/>
    <col min="7683" max="7935" width="10.7109375" style="3"/>
    <col min="7936" max="7936" width="49" style="3" customWidth="1"/>
    <col min="7937" max="7937" width="19.7109375" style="3" customWidth="1"/>
    <col min="7938" max="7938" width="17.5703125" style="3" customWidth="1"/>
    <col min="7939" max="8191" width="10.7109375" style="3"/>
    <col min="8192" max="8192" width="49" style="3" customWidth="1"/>
    <col min="8193" max="8193" width="19.7109375" style="3" customWidth="1"/>
    <col min="8194" max="8194" width="17.5703125" style="3" customWidth="1"/>
    <col min="8195" max="8447" width="10.7109375" style="3"/>
    <col min="8448" max="8448" width="49" style="3" customWidth="1"/>
    <col min="8449" max="8449" width="19.7109375" style="3" customWidth="1"/>
    <col min="8450" max="8450" width="17.5703125" style="3" customWidth="1"/>
    <col min="8451" max="8703" width="10.7109375" style="3"/>
    <col min="8704" max="8704" width="49" style="3" customWidth="1"/>
    <col min="8705" max="8705" width="19.7109375" style="3" customWidth="1"/>
    <col min="8706" max="8706" width="17.5703125" style="3" customWidth="1"/>
    <col min="8707" max="8959" width="10.7109375" style="3"/>
    <col min="8960" max="8960" width="49" style="3" customWidth="1"/>
    <col min="8961" max="8961" width="19.7109375" style="3" customWidth="1"/>
    <col min="8962" max="8962" width="17.5703125" style="3" customWidth="1"/>
    <col min="8963" max="9215" width="10.7109375" style="3"/>
    <col min="9216" max="9216" width="49" style="3" customWidth="1"/>
    <col min="9217" max="9217" width="19.7109375" style="3" customWidth="1"/>
    <col min="9218" max="9218" width="17.5703125" style="3" customWidth="1"/>
    <col min="9219" max="9471" width="10.7109375" style="3"/>
    <col min="9472" max="9472" width="49" style="3" customWidth="1"/>
    <col min="9473" max="9473" width="19.7109375" style="3" customWidth="1"/>
    <col min="9474" max="9474" width="17.5703125" style="3" customWidth="1"/>
    <col min="9475" max="9727" width="10.7109375" style="3"/>
    <col min="9728" max="9728" width="49" style="3" customWidth="1"/>
    <col min="9729" max="9729" width="19.7109375" style="3" customWidth="1"/>
    <col min="9730" max="9730" width="17.5703125" style="3" customWidth="1"/>
    <col min="9731" max="9983" width="10.7109375" style="3"/>
    <col min="9984" max="9984" width="49" style="3" customWidth="1"/>
    <col min="9985" max="9985" width="19.7109375" style="3" customWidth="1"/>
    <col min="9986" max="9986" width="17.5703125" style="3" customWidth="1"/>
    <col min="9987" max="10239" width="10.7109375" style="3"/>
    <col min="10240" max="10240" width="49" style="3" customWidth="1"/>
    <col min="10241" max="10241" width="19.7109375" style="3" customWidth="1"/>
    <col min="10242" max="10242" width="17.5703125" style="3" customWidth="1"/>
    <col min="10243" max="10495" width="10.7109375" style="3"/>
    <col min="10496" max="10496" width="49" style="3" customWidth="1"/>
    <col min="10497" max="10497" width="19.7109375" style="3" customWidth="1"/>
    <col min="10498" max="10498" width="17.5703125" style="3" customWidth="1"/>
    <col min="10499" max="10751" width="10.7109375" style="3"/>
    <col min="10752" max="10752" width="49" style="3" customWidth="1"/>
    <col min="10753" max="10753" width="19.7109375" style="3" customWidth="1"/>
    <col min="10754" max="10754" width="17.5703125" style="3" customWidth="1"/>
    <col min="10755" max="11007" width="10.7109375" style="3"/>
    <col min="11008" max="11008" width="49" style="3" customWidth="1"/>
    <col min="11009" max="11009" width="19.7109375" style="3" customWidth="1"/>
    <col min="11010" max="11010" width="17.5703125" style="3" customWidth="1"/>
    <col min="11011" max="11263" width="10.7109375" style="3"/>
    <col min="11264" max="11264" width="49" style="3" customWidth="1"/>
    <col min="11265" max="11265" width="19.7109375" style="3" customWidth="1"/>
    <col min="11266" max="11266" width="17.5703125" style="3" customWidth="1"/>
    <col min="11267" max="11519" width="10.7109375" style="3"/>
    <col min="11520" max="11520" width="49" style="3" customWidth="1"/>
    <col min="11521" max="11521" width="19.7109375" style="3" customWidth="1"/>
    <col min="11522" max="11522" width="17.5703125" style="3" customWidth="1"/>
    <col min="11523" max="11775" width="10.7109375" style="3"/>
    <col min="11776" max="11776" width="49" style="3" customWidth="1"/>
    <col min="11777" max="11777" width="19.7109375" style="3" customWidth="1"/>
    <col min="11778" max="11778" width="17.5703125" style="3" customWidth="1"/>
    <col min="11779" max="12031" width="10.7109375" style="3"/>
    <col min="12032" max="12032" width="49" style="3" customWidth="1"/>
    <col min="12033" max="12033" width="19.7109375" style="3" customWidth="1"/>
    <col min="12034" max="12034" width="17.5703125" style="3" customWidth="1"/>
    <col min="12035" max="12287" width="10.7109375" style="3"/>
    <col min="12288" max="12288" width="49" style="3" customWidth="1"/>
    <col min="12289" max="12289" width="19.7109375" style="3" customWidth="1"/>
    <col min="12290" max="12290" width="17.5703125" style="3" customWidth="1"/>
    <col min="12291" max="12543" width="10.7109375" style="3"/>
    <col min="12544" max="12544" width="49" style="3" customWidth="1"/>
    <col min="12545" max="12545" width="19.7109375" style="3" customWidth="1"/>
    <col min="12546" max="12546" width="17.5703125" style="3" customWidth="1"/>
    <col min="12547" max="12799" width="10.7109375" style="3"/>
    <col min="12800" max="12800" width="49" style="3" customWidth="1"/>
    <col min="12801" max="12801" width="19.7109375" style="3" customWidth="1"/>
    <col min="12802" max="12802" width="17.5703125" style="3" customWidth="1"/>
    <col min="12803" max="13055" width="10.7109375" style="3"/>
    <col min="13056" max="13056" width="49" style="3" customWidth="1"/>
    <col min="13057" max="13057" width="19.7109375" style="3" customWidth="1"/>
    <col min="13058" max="13058" width="17.5703125" style="3" customWidth="1"/>
    <col min="13059" max="13311" width="10.7109375" style="3"/>
    <col min="13312" max="13312" width="49" style="3" customWidth="1"/>
    <col min="13313" max="13313" width="19.7109375" style="3" customWidth="1"/>
    <col min="13314" max="13314" width="17.5703125" style="3" customWidth="1"/>
    <col min="13315" max="13567" width="10.7109375" style="3"/>
    <col min="13568" max="13568" width="49" style="3" customWidth="1"/>
    <col min="13569" max="13569" width="19.7109375" style="3" customWidth="1"/>
    <col min="13570" max="13570" width="17.5703125" style="3" customWidth="1"/>
    <col min="13571" max="13823" width="10.7109375" style="3"/>
    <col min="13824" max="13824" width="49" style="3" customWidth="1"/>
    <col min="13825" max="13825" width="19.7109375" style="3" customWidth="1"/>
    <col min="13826" max="13826" width="17.5703125" style="3" customWidth="1"/>
    <col min="13827" max="14079" width="10.7109375" style="3"/>
    <col min="14080" max="14080" width="49" style="3" customWidth="1"/>
    <col min="14081" max="14081" width="19.7109375" style="3" customWidth="1"/>
    <col min="14082" max="14082" width="17.5703125" style="3" customWidth="1"/>
    <col min="14083" max="14335" width="10.7109375" style="3"/>
    <col min="14336" max="14336" width="49" style="3" customWidth="1"/>
    <col min="14337" max="14337" width="19.7109375" style="3" customWidth="1"/>
    <col min="14338" max="14338" width="17.5703125" style="3" customWidth="1"/>
    <col min="14339" max="14591" width="10.7109375" style="3"/>
    <col min="14592" max="14592" width="49" style="3" customWidth="1"/>
    <col min="14593" max="14593" width="19.7109375" style="3" customWidth="1"/>
    <col min="14594" max="14594" width="17.5703125" style="3" customWidth="1"/>
    <col min="14595" max="14847" width="10.7109375" style="3"/>
    <col min="14848" max="14848" width="49" style="3" customWidth="1"/>
    <col min="14849" max="14849" width="19.7109375" style="3" customWidth="1"/>
    <col min="14850" max="14850" width="17.5703125" style="3" customWidth="1"/>
    <col min="14851" max="15103" width="10.7109375" style="3"/>
    <col min="15104" max="15104" width="49" style="3" customWidth="1"/>
    <col min="15105" max="15105" width="19.7109375" style="3" customWidth="1"/>
    <col min="15106" max="15106" width="17.5703125" style="3" customWidth="1"/>
    <col min="15107" max="15359" width="10.7109375" style="3"/>
    <col min="15360" max="15360" width="49" style="3" customWidth="1"/>
    <col min="15361" max="15361" width="19.7109375" style="3" customWidth="1"/>
    <col min="15362" max="15362" width="17.5703125" style="3" customWidth="1"/>
    <col min="15363" max="15615" width="10.7109375" style="3"/>
    <col min="15616" max="15616" width="49" style="3" customWidth="1"/>
    <col min="15617" max="15617" width="19.7109375" style="3" customWidth="1"/>
    <col min="15618" max="15618" width="17.5703125" style="3" customWidth="1"/>
    <col min="15619" max="15871" width="10.7109375" style="3"/>
    <col min="15872" max="15872" width="49" style="3" customWidth="1"/>
    <col min="15873" max="15873" width="19.7109375" style="3" customWidth="1"/>
    <col min="15874" max="15874" width="17.5703125" style="3" customWidth="1"/>
    <col min="15875" max="16127" width="10.7109375" style="3"/>
    <col min="16128" max="16128" width="49" style="3" customWidth="1"/>
    <col min="16129" max="16129" width="19.7109375" style="3" customWidth="1"/>
    <col min="16130" max="16130" width="17.5703125" style="3" customWidth="1"/>
    <col min="16131" max="16384" width="10.7109375" style="3"/>
  </cols>
  <sheetData>
    <row r="1" spans="1:4" s="126" customFormat="1">
      <c r="A1" s="439" t="s">
        <v>85</v>
      </c>
      <c r="B1" s="439"/>
      <c r="C1" s="439"/>
      <c r="D1" s="439"/>
    </row>
    <row r="2" spans="1:4" s="126" customFormat="1">
      <c r="A2" s="440" t="s">
        <v>86</v>
      </c>
      <c r="B2" s="440"/>
      <c r="C2" s="440"/>
      <c r="D2" s="440"/>
    </row>
    <row r="3" spans="1:4" s="126" customFormat="1">
      <c r="A3" s="113"/>
      <c r="B3" s="113"/>
      <c r="C3" s="113"/>
    </row>
    <row r="4" spans="1:4" s="126" customFormat="1">
      <c r="A4" s="441" t="s">
        <v>302</v>
      </c>
      <c r="B4" s="442"/>
      <c r="C4" s="442"/>
      <c r="D4" s="442"/>
    </row>
    <row r="5" spans="1:4" s="126" customFormat="1">
      <c r="A5" s="189"/>
      <c r="B5" s="113"/>
      <c r="C5" s="113"/>
    </row>
    <row r="6" spans="1:4" s="126" customFormat="1">
      <c r="A6" s="255" t="s">
        <v>137</v>
      </c>
      <c r="B6" s="227" t="s">
        <v>275</v>
      </c>
      <c r="C6" s="227" t="s">
        <v>276</v>
      </c>
      <c r="D6" s="145" t="s">
        <v>303</v>
      </c>
    </row>
    <row r="7" spans="1:4" s="126" customFormat="1">
      <c r="A7" s="264" t="s">
        <v>138</v>
      </c>
      <c r="B7" s="113"/>
      <c r="C7" s="113"/>
    </row>
    <row r="8" spans="1:4" s="126" customFormat="1">
      <c r="A8" s="260" t="s">
        <v>139</v>
      </c>
      <c r="B8" s="113"/>
      <c r="C8" s="113"/>
    </row>
    <row r="9" spans="1:4" s="126" customFormat="1">
      <c r="A9" s="18" t="s">
        <v>140</v>
      </c>
      <c r="B9" s="113">
        <f>+'ESF 2015'!B11</f>
        <v>3065000</v>
      </c>
      <c r="C9" s="113">
        <f>+'BALANCE 2014'!B10</f>
        <v>13891000</v>
      </c>
      <c r="D9" s="126">
        <f>+B9-C9</f>
        <v>-10826000</v>
      </c>
    </row>
    <row r="10" spans="1:4" s="126" customFormat="1" ht="16.5" thickBot="1">
      <c r="A10" s="18" t="s">
        <v>141</v>
      </c>
      <c r="B10" s="217">
        <f>+'ESF 2016'!C11</f>
        <v>0</v>
      </c>
      <c r="C10" s="217">
        <f>+'BALANCE 2014'!B11</f>
        <v>32898000</v>
      </c>
      <c r="D10" s="126">
        <f t="shared" ref="D10:D51" si="0">+B10-C10</f>
        <v>-32898000</v>
      </c>
    </row>
    <row r="11" spans="1:4" s="126" customFormat="1" ht="20.25" customHeight="1">
      <c r="A11" s="15" t="s">
        <v>142</v>
      </c>
      <c r="B11" s="218">
        <f>SUM(B9:B10)</f>
        <v>3065000</v>
      </c>
      <c r="C11" s="218">
        <f>SUM(C9:C10)</f>
        <v>46789000</v>
      </c>
      <c r="D11" s="126">
        <f t="shared" si="0"/>
        <v>-43724000</v>
      </c>
    </row>
    <row r="12" spans="1:4" s="126" customFormat="1">
      <c r="A12" s="15"/>
      <c r="B12" s="113"/>
      <c r="C12" s="113"/>
    </row>
    <row r="13" spans="1:4" s="126" customFormat="1" ht="31.5">
      <c r="A13" s="15" t="s">
        <v>144</v>
      </c>
      <c r="B13" s="113"/>
      <c r="C13" s="113"/>
    </row>
    <row r="14" spans="1:4" s="126" customFormat="1">
      <c r="A14" s="18" t="s">
        <v>145</v>
      </c>
      <c r="B14" s="113">
        <f>+'ESF 2015'!B15</f>
        <v>37845000</v>
      </c>
      <c r="C14" s="113">
        <f>+'BALANCE 2014'!B15</f>
        <v>10494000</v>
      </c>
      <c r="D14" s="126">
        <f t="shared" si="0"/>
        <v>27351000</v>
      </c>
    </row>
    <row r="15" spans="1:4" s="126" customFormat="1">
      <c r="A15" s="18" t="s">
        <v>146</v>
      </c>
      <c r="B15" s="113"/>
      <c r="C15" s="113"/>
      <c r="D15" s="126">
        <f t="shared" si="0"/>
        <v>0</v>
      </c>
    </row>
    <row r="16" spans="1:4" s="126" customFormat="1">
      <c r="A16" s="18" t="s">
        <v>236</v>
      </c>
      <c r="B16" s="113"/>
      <c r="C16" s="113"/>
      <c r="D16" s="126">
        <f t="shared" si="0"/>
        <v>0</v>
      </c>
    </row>
    <row r="17" spans="1:4" s="126" customFormat="1" ht="16.5" thickBot="1">
      <c r="A17" s="18" t="s">
        <v>147</v>
      </c>
      <c r="B17" s="219">
        <f>+'ESF 2015'!B16</f>
        <v>6241000</v>
      </c>
      <c r="C17" s="219">
        <f>+'BALANCE 2014'!B16</f>
        <v>620000</v>
      </c>
      <c r="D17" s="126">
        <f t="shared" si="0"/>
        <v>5621000</v>
      </c>
    </row>
    <row r="18" spans="1:4" s="126" customFormat="1" ht="31.5">
      <c r="A18" s="15" t="s">
        <v>148</v>
      </c>
      <c r="B18" s="218">
        <f>SUM(B14:B17)</f>
        <v>44086000</v>
      </c>
      <c r="C18" s="218">
        <f>SUM(C14:C17)</f>
        <v>11114000</v>
      </c>
    </row>
    <row r="19" spans="1:4" s="126" customFormat="1">
      <c r="A19" s="15"/>
      <c r="B19" s="113"/>
      <c r="C19" s="113"/>
    </row>
    <row r="20" spans="1:4" s="126" customFormat="1" ht="16.5" thickBot="1">
      <c r="A20" s="208" t="s">
        <v>149</v>
      </c>
      <c r="B20" s="220">
        <f>+B11+B18</f>
        <v>47151000</v>
      </c>
      <c r="C20" s="220">
        <f>+C11+C18</f>
        <v>57903000</v>
      </c>
    </row>
    <row r="21" spans="1:4">
      <c r="A21" s="18"/>
      <c r="D21" s="126"/>
    </row>
    <row r="22" spans="1:4" s="126" customFormat="1">
      <c r="A22" s="261" t="s">
        <v>150</v>
      </c>
      <c r="B22" s="113"/>
      <c r="C22" s="113"/>
    </row>
    <row r="23" spans="1:4">
      <c r="A23" s="262" t="s">
        <v>151</v>
      </c>
      <c r="D23" s="126"/>
    </row>
    <row r="24" spans="1:4">
      <c r="A24" s="14"/>
      <c r="D24" s="126"/>
    </row>
    <row r="25" spans="1:4">
      <c r="A25" s="15" t="s">
        <v>158</v>
      </c>
      <c r="D25" s="126"/>
    </row>
    <row r="26" spans="1:4">
      <c r="A26" s="18" t="s">
        <v>159</v>
      </c>
      <c r="B26" s="113">
        <f>+'ESF 2015'!B24</f>
        <v>751100000</v>
      </c>
      <c r="C26" s="113">
        <f>+'BALANCE 2014'!B25</f>
        <v>600000000</v>
      </c>
      <c r="D26" s="126">
        <f t="shared" si="0"/>
        <v>151100000</v>
      </c>
    </row>
    <row r="27" spans="1:4" ht="16.5" thickBot="1">
      <c r="A27" s="18" t="s">
        <v>160</v>
      </c>
      <c r="B27" s="217">
        <v>0</v>
      </c>
      <c r="C27" s="217">
        <v>0</v>
      </c>
      <c r="D27" s="126"/>
    </row>
    <row r="28" spans="1:4">
      <c r="A28" s="15" t="s">
        <v>161</v>
      </c>
      <c r="B28" s="218">
        <f>SUM(B26:B27)</f>
        <v>751100000</v>
      </c>
      <c r="C28" s="218">
        <f>SUM(C26:C27)</f>
        <v>600000000</v>
      </c>
      <c r="D28" s="126"/>
    </row>
    <row r="29" spans="1:4">
      <c r="A29" s="15"/>
      <c r="D29" s="126"/>
    </row>
    <row r="30" spans="1:4" ht="16.5" thickBot="1">
      <c r="A30" s="208" t="s">
        <v>165</v>
      </c>
      <c r="B30" s="221">
        <f>+B28</f>
        <v>751100000</v>
      </c>
      <c r="C30" s="221">
        <f>+C28</f>
        <v>600000000</v>
      </c>
      <c r="D30" s="126"/>
    </row>
    <row r="31" spans="1:4">
      <c r="A31" s="18"/>
      <c r="D31" s="126"/>
    </row>
    <row r="32" spans="1:4" s="9" customFormat="1" ht="16.5" thickBot="1">
      <c r="A32" s="208" t="s">
        <v>166</v>
      </c>
      <c r="B32" s="221">
        <f>+B30+B20</f>
        <v>798251000</v>
      </c>
      <c r="C32" s="221">
        <f>+C30+C20</f>
        <v>657903000</v>
      </c>
      <c r="D32" s="126"/>
    </row>
    <row r="33" spans="1:7" s="9" customFormat="1">
      <c r="A33" s="266"/>
      <c r="B33" s="267"/>
      <c r="C33" s="267"/>
      <c r="D33" s="126"/>
    </row>
    <row r="34" spans="1:7">
      <c r="A34" s="439" t="s">
        <v>85</v>
      </c>
      <c r="B34" s="439"/>
      <c r="C34" s="439"/>
      <c r="D34" s="439"/>
    </row>
    <row r="35" spans="1:7">
      <c r="A35" s="440" t="s">
        <v>86</v>
      </c>
      <c r="B35" s="440"/>
      <c r="C35" s="440"/>
      <c r="D35" s="440"/>
      <c r="E35" s="12"/>
      <c r="F35" s="12"/>
      <c r="G35" s="12"/>
    </row>
    <row r="36" spans="1:7">
      <c r="A36" s="113"/>
      <c r="D36" s="126"/>
      <c r="E36" s="12"/>
      <c r="F36" s="12"/>
      <c r="G36" s="12"/>
    </row>
    <row r="37" spans="1:7" ht="15.75" customHeight="1">
      <c r="A37" s="441" t="s">
        <v>302</v>
      </c>
      <c r="B37" s="442"/>
      <c r="C37" s="442"/>
      <c r="D37" s="442"/>
      <c r="E37" s="12"/>
      <c r="F37" s="12"/>
      <c r="G37" s="12"/>
    </row>
    <row r="38" spans="1:7">
      <c r="A38" s="18"/>
      <c r="D38" s="126"/>
      <c r="E38" s="12"/>
      <c r="F38" s="12"/>
      <c r="G38" s="12"/>
    </row>
    <row r="39" spans="1:7">
      <c r="A39" s="265" t="s">
        <v>167</v>
      </c>
      <c r="B39" s="227" t="s">
        <v>275</v>
      </c>
      <c r="C39" s="227" t="s">
        <v>276</v>
      </c>
      <c r="D39" s="145" t="s">
        <v>303</v>
      </c>
      <c r="E39" s="12"/>
      <c r="F39" s="12"/>
      <c r="G39" s="12"/>
    </row>
    <row r="40" spans="1:7">
      <c r="A40" s="259"/>
      <c r="D40" s="126"/>
      <c r="E40" s="12"/>
      <c r="F40" s="12"/>
      <c r="G40" s="12"/>
    </row>
    <row r="41" spans="1:7">
      <c r="A41" s="15" t="s">
        <v>27</v>
      </c>
      <c r="D41" s="126"/>
      <c r="E41" s="12"/>
      <c r="F41" s="12"/>
      <c r="G41" s="12"/>
    </row>
    <row r="42" spans="1:7" ht="16.5" thickBot="1">
      <c r="A42" s="18" t="s">
        <v>168</v>
      </c>
      <c r="B42" s="217">
        <v>0</v>
      </c>
      <c r="C42" s="217">
        <f>+'BALANCE 2014'!B35</f>
        <v>29729000</v>
      </c>
      <c r="D42" s="126">
        <f t="shared" si="0"/>
        <v>-29729000</v>
      </c>
      <c r="E42" s="12"/>
      <c r="F42" s="12"/>
      <c r="G42" s="12"/>
    </row>
    <row r="43" spans="1:7">
      <c r="A43" s="15" t="s">
        <v>169</v>
      </c>
      <c r="B43" s="218">
        <f>+B42</f>
        <v>0</v>
      </c>
      <c r="C43" s="218">
        <f>+C42</f>
        <v>29729000</v>
      </c>
      <c r="D43" s="126"/>
      <c r="E43" s="13"/>
      <c r="F43" s="12"/>
      <c r="G43" s="12"/>
    </row>
    <row r="44" spans="1:7">
      <c r="A44" s="259"/>
      <c r="D44" s="126"/>
      <c r="E44" s="12"/>
      <c r="F44" s="12"/>
      <c r="G44" s="12"/>
    </row>
    <row r="45" spans="1:7" ht="31.5">
      <c r="A45" s="15" t="s">
        <v>170</v>
      </c>
      <c r="D45" s="126"/>
      <c r="E45" s="12"/>
      <c r="F45" s="12"/>
      <c r="G45" s="12"/>
    </row>
    <row r="46" spans="1:7">
      <c r="A46" s="223" t="s">
        <v>171</v>
      </c>
      <c r="D46" s="126"/>
      <c r="E46" s="12"/>
      <c r="F46" s="12"/>
      <c r="G46" s="12"/>
    </row>
    <row r="47" spans="1:7">
      <c r="A47" s="18" t="s">
        <v>172</v>
      </c>
      <c r="B47" s="113">
        <f>+'ESF 2015'!B34</f>
        <v>135000</v>
      </c>
      <c r="C47" s="113">
        <v>0</v>
      </c>
      <c r="D47" s="126">
        <f t="shared" si="0"/>
        <v>135000</v>
      </c>
      <c r="E47" s="12"/>
      <c r="F47" s="12"/>
      <c r="G47" s="12"/>
    </row>
    <row r="48" spans="1:7">
      <c r="A48" s="18" t="s">
        <v>312</v>
      </c>
      <c r="B48" s="113">
        <f>+'ESF 2015'!B35</f>
        <v>23000</v>
      </c>
      <c r="C48" s="113">
        <v>0</v>
      </c>
      <c r="D48" s="126">
        <f t="shared" si="0"/>
        <v>23000</v>
      </c>
      <c r="E48" s="12"/>
      <c r="F48" s="12"/>
      <c r="G48" s="12"/>
    </row>
    <row r="49" spans="1:7">
      <c r="A49" s="223" t="s">
        <v>173</v>
      </c>
      <c r="C49" s="113">
        <v>0</v>
      </c>
      <c r="D49" s="126">
        <f t="shared" si="0"/>
        <v>0</v>
      </c>
      <c r="E49" s="12"/>
      <c r="F49" s="12"/>
      <c r="G49" s="12"/>
    </row>
    <row r="50" spans="1:7" ht="16.5" thickBot="1">
      <c r="A50" s="223" t="s">
        <v>174</v>
      </c>
      <c r="B50" s="217">
        <f>+'ESF 2015'!B36</f>
        <v>103918000</v>
      </c>
      <c r="C50" s="217"/>
      <c r="D50" s="126">
        <f t="shared" si="0"/>
        <v>103918000</v>
      </c>
      <c r="E50" s="12"/>
      <c r="F50" s="12"/>
      <c r="G50" s="12"/>
    </row>
    <row r="51" spans="1:7" ht="30" customHeight="1">
      <c r="A51" s="211" t="s">
        <v>220</v>
      </c>
      <c r="B51" s="212">
        <f>+SUM(B46:B50)</f>
        <v>104076000</v>
      </c>
      <c r="C51" s="367"/>
      <c r="D51" s="126">
        <f t="shared" si="0"/>
        <v>104076000</v>
      </c>
      <c r="E51" s="12"/>
      <c r="F51" s="12"/>
      <c r="G51" s="12"/>
    </row>
    <row r="52" spans="1:7">
      <c r="A52" s="15"/>
      <c r="D52" s="126"/>
      <c r="E52" s="15"/>
      <c r="F52" s="12"/>
      <c r="G52" s="12"/>
    </row>
    <row r="53" spans="1:7">
      <c r="A53" s="15" t="s">
        <v>181</v>
      </c>
      <c r="D53" s="126"/>
      <c r="E53" s="12"/>
      <c r="F53" s="12"/>
      <c r="G53" s="12"/>
    </row>
    <row r="54" spans="1:7">
      <c r="A54" s="18" t="s">
        <v>182</v>
      </c>
      <c r="B54" s="113">
        <f>+'ESF 2015'!B40</f>
        <v>17195000</v>
      </c>
      <c r="C54" s="113">
        <f>+'BALANCE 2014'!B39</f>
        <v>2044000</v>
      </c>
      <c r="D54" s="126">
        <f t="shared" ref="D54:D76" si="1">+B54-C54</f>
        <v>15151000</v>
      </c>
    </row>
    <row r="55" spans="1:7" ht="16.5" thickBot="1">
      <c r="A55" s="18" t="str">
        <f>+'ESF 2016'!A76</f>
        <v>Impuesto sobre la renta para la equidad CREE</v>
      </c>
      <c r="B55" s="217">
        <f>+'ESF 2015'!B41</f>
        <v>3768000</v>
      </c>
      <c r="C55" s="217">
        <f>+'BALANCE 2014'!B40</f>
        <v>736000</v>
      </c>
      <c r="D55" s="126">
        <f t="shared" si="1"/>
        <v>3032000</v>
      </c>
    </row>
    <row r="56" spans="1:7">
      <c r="A56" s="15" t="s">
        <v>183</v>
      </c>
      <c r="B56" s="203">
        <f>+B54+B55</f>
        <v>20963000</v>
      </c>
      <c r="C56" s="203">
        <f>+C54+C55</f>
        <v>2780000</v>
      </c>
      <c r="D56" s="126"/>
    </row>
    <row r="57" spans="1:7">
      <c r="A57" s="15"/>
      <c r="D57" s="126"/>
    </row>
    <row r="58" spans="1:7" s="9" customFormat="1" ht="16.5" thickBot="1">
      <c r="A58" s="208" t="s">
        <v>184</v>
      </c>
      <c r="B58" s="209">
        <f>+B56+B51+B43</f>
        <v>125039000</v>
      </c>
      <c r="C58" s="209">
        <f>+C56+C51+C43</f>
        <v>32509000</v>
      </c>
      <c r="D58" s="126"/>
    </row>
    <row r="59" spans="1:7" s="9" customFormat="1">
      <c r="A59" s="15"/>
      <c r="B59" s="222"/>
      <c r="C59" s="222"/>
      <c r="D59" s="126"/>
    </row>
    <row r="60" spans="1:7">
      <c r="A60" s="256" t="s">
        <v>185</v>
      </c>
      <c r="B60" s="257"/>
      <c r="C60" s="257"/>
      <c r="D60" s="126"/>
    </row>
    <row r="61" spans="1:7">
      <c r="A61" s="15" t="s">
        <v>186</v>
      </c>
      <c r="D61" s="126"/>
    </row>
    <row r="62" spans="1:7" ht="16.5" thickBot="1">
      <c r="A62" s="18" t="s">
        <v>187</v>
      </c>
      <c r="B62" s="217">
        <f>+'ESF 2015'!B54</f>
        <v>620000000</v>
      </c>
      <c r="C62" s="217">
        <f>+'BALANCE 2014'!B54</f>
        <v>620000000</v>
      </c>
      <c r="D62" s="126"/>
    </row>
    <row r="63" spans="1:7">
      <c r="A63" s="15" t="s">
        <v>188</v>
      </c>
      <c r="B63" s="203">
        <f>SUM(B62)</f>
        <v>620000000</v>
      </c>
      <c r="C63" s="203">
        <f>SUM(C62)</f>
        <v>620000000</v>
      </c>
      <c r="D63" s="126"/>
    </row>
    <row r="64" spans="1:7">
      <c r="A64" s="15"/>
      <c r="D64" s="126"/>
    </row>
    <row r="65" spans="1:5">
      <c r="A65" s="15" t="s">
        <v>189</v>
      </c>
      <c r="D65" s="126"/>
    </row>
    <row r="66" spans="1:5" ht="16.5" thickBot="1">
      <c r="A66" s="18" t="s">
        <v>190</v>
      </c>
      <c r="B66" s="217">
        <f>+'ESF 2015'!B62</f>
        <v>539000</v>
      </c>
      <c r="C66" s="217">
        <v>0</v>
      </c>
      <c r="D66" s="126">
        <f t="shared" si="1"/>
        <v>539000</v>
      </c>
    </row>
    <row r="67" spans="1:5">
      <c r="A67" s="15" t="s">
        <v>191</v>
      </c>
      <c r="B67" s="203">
        <f>SUM(B66)</f>
        <v>539000</v>
      </c>
      <c r="C67" s="203"/>
      <c r="D67" s="126"/>
    </row>
    <row r="68" spans="1:5">
      <c r="A68" s="15"/>
      <c r="D68" s="126"/>
      <c r="E68" s="108"/>
    </row>
    <row r="69" spans="1:5">
      <c r="A69" s="15" t="s">
        <v>36</v>
      </c>
      <c r="D69" s="126"/>
    </row>
    <row r="70" spans="1:5" ht="16.5" thickBot="1">
      <c r="A70" s="18" t="s">
        <v>192</v>
      </c>
      <c r="B70" s="217">
        <f>+'ESF 2015'!B58</f>
        <v>47818000</v>
      </c>
      <c r="C70" s="217">
        <f>+'BALANCE 2014'!C59</f>
        <v>5394000</v>
      </c>
      <c r="D70" s="126">
        <f t="shared" si="1"/>
        <v>42424000</v>
      </c>
    </row>
    <row r="71" spans="1:5">
      <c r="A71" s="15" t="s">
        <v>193</v>
      </c>
      <c r="B71" s="203">
        <f>SUM(B70)</f>
        <v>47818000</v>
      </c>
      <c r="C71" s="203">
        <f>SUM(C70)</f>
        <v>5394000</v>
      </c>
      <c r="D71" s="126"/>
    </row>
    <row r="72" spans="1:5">
      <c r="A72" s="15"/>
      <c r="D72" s="126">
        <f t="shared" si="1"/>
        <v>0</v>
      </c>
    </row>
    <row r="73" spans="1:5">
      <c r="A73" s="15" t="s">
        <v>194</v>
      </c>
      <c r="D73" s="126">
        <f t="shared" si="1"/>
        <v>0</v>
      </c>
    </row>
    <row r="74" spans="1:5" ht="16.5" thickBot="1">
      <c r="A74" s="18" t="s">
        <v>195</v>
      </c>
      <c r="B74" s="217">
        <f>+'ESF 2015'!B66</f>
        <v>4855000</v>
      </c>
      <c r="C74" s="217">
        <v>0</v>
      </c>
      <c r="D74" s="126">
        <f t="shared" si="1"/>
        <v>4855000</v>
      </c>
    </row>
    <row r="75" spans="1:5" ht="31.5">
      <c r="A75" s="15" t="s">
        <v>196</v>
      </c>
      <c r="B75" s="203">
        <f>SUM(B74)</f>
        <v>4855000</v>
      </c>
      <c r="C75" s="203"/>
      <c r="D75" s="126"/>
    </row>
    <row r="76" spans="1:5">
      <c r="A76" s="15"/>
      <c r="D76" s="126">
        <f t="shared" si="1"/>
        <v>0</v>
      </c>
    </row>
    <row r="77" spans="1:5" s="9" customFormat="1" ht="16.5" thickBot="1">
      <c r="A77" s="252" t="s">
        <v>197</v>
      </c>
      <c r="B77" s="253">
        <f>+B71+B67+B63+B75</f>
        <v>673212000</v>
      </c>
      <c r="C77" s="253">
        <f>+C71+C67+C63+C75</f>
        <v>625394000</v>
      </c>
      <c r="D77" s="126"/>
    </row>
    <row r="78" spans="1:5">
      <c r="A78" s="18"/>
      <c r="D78" s="126"/>
    </row>
    <row r="79" spans="1:5" s="9" customFormat="1" ht="16.5" thickBot="1">
      <c r="A79" s="208" t="s">
        <v>198</v>
      </c>
      <c r="B79" s="209">
        <f>+B77+B58</f>
        <v>798251000</v>
      </c>
      <c r="C79" s="209">
        <f>+C77+C58</f>
        <v>657903000</v>
      </c>
      <c r="D79" s="126"/>
      <c r="E79" s="129"/>
    </row>
    <row r="80" spans="1:5" s="9" customFormat="1">
      <c r="A80" s="13"/>
      <c r="B80" s="196">
        <f>+B79-B32</f>
        <v>0</v>
      </c>
      <c r="C80" s="196">
        <f>+C79-C32</f>
        <v>0</v>
      </c>
    </row>
    <row r="81" spans="1:3" s="9" customFormat="1">
      <c r="A81" s="13"/>
      <c r="B81" s="222"/>
      <c r="C81" s="222"/>
    </row>
    <row r="82" spans="1:3" s="9" customFormat="1">
      <c r="A82" s="13"/>
      <c r="B82" s="222"/>
      <c r="C82" s="222"/>
    </row>
    <row r="83" spans="1:3" s="9" customFormat="1">
      <c r="A83" s="193" t="s">
        <v>130</v>
      </c>
      <c r="B83" s="450" t="s">
        <v>131</v>
      </c>
      <c r="C83" s="450"/>
    </row>
    <row r="84" spans="1:3">
      <c r="A84" s="194" t="s">
        <v>132</v>
      </c>
      <c r="B84" s="449" t="s">
        <v>133</v>
      </c>
      <c r="C84" s="449"/>
    </row>
    <row r="85" spans="1:3">
      <c r="A85" s="195" t="s">
        <v>251</v>
      </c>
      <c r="B85" s="450" t="s">
        <v>134</v>
      </c>
      <c r="C85" s="450"/>
    </row>
  </sheetData>
  <mergeCells count="9">
    <mergeCell ref="A37:D37"/>
    <mergeCell ref="B83:C83"/>
    <mergeCell ref="B84:C84"/>
    <mergeCell ref="B85:C85"/>
    <mergeCell ref="A1:D1"/>
    <mergeCell ref="A2:D2"/>
    <mergeCell ref="A4:D4"/>
    <mergeCell ref="A34:D34"/>
    <mergeCell ref="A35:D35"/>
  </mergeCells>
  <pageMargins left="0.70866141732283472" right="0.70866141732283472" top="0.74803149606299213" bottom="0.74803149606299213" header="0.31496062992125984" footer="0.31496062992125984"/>
  <pageSetup scale="72" orientation="portrait" horizontalDpi="0" verticalDpi="0" r:id="rId1"/>
  <rowBreaks count="1" manualBreakCount="1">
    <brk id="32"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1"/>
  <sheetViews>
    <sheetView zoomScaleNormal="100" zoomScaleSheetLayoutView="100" workbookViewId="0">
      <selection activeCell="B71" sqref="B71"/>
    </sheetView>
  </sheetViews>
  <sheetFormatPr baseColWidth="10" defaultColWidth="10.7109375" defaultRowHeight="15.75"/>
  <cols>
    <col min="1" max="1" width="57.42578125" style="3" customWidth="1"/>
    <col min="2" max="3" width="20.5703125" style="125" customWidth="1"/>
    <col min="4" max="4" width="14.85546875" style="3" bestFit="1" customWidth="1"/>
    <col min="5" max="5" width="15.42578125" style="3" customWidth="1"/>
    <col min="6" max="256" width="11" style="3"/>
    <col min="257" max="257" width="51.42578125" style="3" customWidth="1"/>
    <col min="258" max="258" width="13.7109375" style="3" customWidth="1"/>
    <col min="259" max="259" width="14.42578125" style="3" customWidth="1"/>
    <col min="260" max="260" width="11.28515625" style="3" bestFit="1" customWidth="1"/>
    <col min="261" max="512" width="11" style="3"/>
    <col min="513" max="513" width="51.42578125" style="3" customWidth="1"/>
    <col min="514" max="514" width="13.7109375" style="3" customWidth="1"/>
    <col min="515" max="515" width="14.42578125" style="3" customWidth="1"/>
    <col min="516" max="516" width="11.28515625" style="3" bestFit="1" customWidth="1"/>
    <col min="517" max="768" width="11" style="3"/>
    <col min="769" max="769" width="51.42578125" style="3" customWidth="1"/>
    <col min="770" max="770" width="13.7109375" style="3" customWidth="1"/>
    <col min="771" max="771" width="14.42578125" style="3" customWidth="1"/>
    <col min="772" max="772" width="11.28515625" style="3" bestFit="1" customWidth="1"/>
    <col min="773" max="1024" width="11" style="3"/>
    <col min="1025" max="1025" width="51.42578125" style="3" customWidth="1"/>
    <col min="1026" max="1026" width="13.7109375" style="3" customWidth="1"/>
    <col min="1027" max="1027" width="14.42578125" style="3" customWidth="1"/>
    <col min="1028" max="1028" width="11.28515625" style="3" bestFit="1" customWidth="1"/>
    <col min="1029" max="1280" width="11" style="3"/>
    <col min="1281" max="1281" width="51.42578125" style="3" customWidth="1"/>
    <col min="1282" max="1282" width="13.7109375" style="3" customWidth="1"/>
    <col min="1283" max="1283" width="14.42578125" style="3" customWidth="1"/>
    <col min="1284" max="1284" width="11.28515625" style="3" bestFit="1" customWidth="1"/>
    <col min="1285" max="1536" width="11" style="3"/>
    <col min="1537" max="1537" width="51.42578125" style="3" customWidth="1"/>
    <col min="1538" max="1538" width="13.7109375" style="3" customWidth="1"/>
    <col min="1539" max="1539" width="14.42578125" style="3" customWidth="1"/>
    <col min="1540" max="1540" width="11.28515625" style="3" bestFit="1" customWidth="1"/>
    <col min="1541" max="1792" width="11" style="3"/>
    <col min="1793" max="1793" width="51.42578125" style="3" customWidth="1"/>
    <col min="1794" max="1794" width="13.7109375" style="3" customWidth="1"/>
    <col min="1795" max="1795" width="14.42578125" style="3" customWidth="1"/>
    <col min="1796" max="1796" width="11.28515625" style="3" bestFit="1" customWidth="1"/>
    <col min="1797" max="2048" width="11" style="3"/>
    <col min="2049" max="2049" width="51.42578125" style="3" customWidth="1"/>
    <col min="2050" max="2050" width="13.7109375" style="3" customWidth="1"/>
    <col min="2051" max="2051" width="14.42578125" style="3" customWidth="1"/>
    <col min="2052" max="2052" width="11.28515625" style="3" bestFit="1" customWidth="1"/>
    <col min="2053" max="2304" width="11" style="3"/>
    <col min="2305" max="2305" width="51.42578125" style="3" customWidth="1"/>
    <col min="2306" max="2306" width="13.7109375" style="3" customWidth="1"/>
    <col min="2307" max="2307" width="14.42578125" style="3" customWidth="1"/>
    <col min="2308" max="2308" width="11.28515625" style="3" bestFit="1" customWidth="1"/>
    <col min="2309" max="2560" width="11" style="3"/>
    <col min="2561" max="2561" width="51.42578125" style="3" customWidth="1"/>
    <col min="2562" max="2562" width="13.7109375" style="3" customWidth="1"/>
    <col min="2563" max="2563" width="14.42578125" style="3" customWidth="1"/>
    <col min="2564" max="2564" width="11.28515625" style="3" bestFit="1" customWidth="1"/>
    <col min="2565" max="2816" width="11" style="3"/>
    <col min="2817" max="2817" width="51.42578125" style="3" customWidth="1"/>
    <col min="2818" max="2818" width="13.7109375" style="3" customWidth="1"/>
    <col min="2819" max="2819" width="14.42578125" style="3" customWidth="1"/>
    <col min="2820" max="2820" width="11.28515625" style="3" bestFit="1" customWidth="1"/>
    <col min="2821" max="3072" width="11" style="3"/>
    <col min="3073" max="3073" width="51.42578125" style="3" customWidth="1"/>
    <col min="3074" max="3074" width="13.7109375" style="3" customWidth="1"/>
    <col min="3075" max="3075" width="14.42578125" style="3" customWidth="1"/>
    <col min="3076" max="3076" width="11.28515625" style="3" bestFit="1" customWidth="1"/>
    <col min="3077" max="3328" width="11" style="3"/>
    <col min="3329" max="3329" width="51.42578125" style="3" customWidth="1"/>
    <col min="3330" max="3330" width="13.7109375" style="3" customWidth="1"/>
    <col min="3331" max="3331" width="14.42578125" style="3" customWidth="1"/>
    <col min="3332" max="3332" width="11.28515625" style="3" bestFit="1" customWidth="1"/>
    <col min="3333" max="3584" width="11" style="3"/>
    <col min="3585" max="3585" width="51.42578125" style="3" customWidth="1"/>
    <col min="3586" max="3586" width="13.7109375" style="3" customWidth="1"/>
    <col min="3587" max="3587" width="14.42578125" style="3" customWidth="1"/>
    <col min="3588" max="3588" width="11.28515625" style="3" bestFit="1" customWidth="1"/>
    <col min="3589" max="3840" width="11" style="3"/>
    <col min="3841" max="3841" width="51.42578125" style="3" customWidth="1"/>
    <col min="3842" max="3842" width="13.7109375" style="3" customWidth="1"/>
    <col min="3843" max="3843" width="14.42578125" style="3" customWidth="1"/>
    <col min="3844" max="3844" width="11.28515625" style="3" bestFit="1" customWidth="1"/>
    <col min="3845" max="4096" width="11" style="3"/>
    <col min="4097" max="4097" width="51.42578125" style="3" customWidth="1"/>
    <col min="4098" max="4098" width="13.7109375" style="3" customWidth="1"/>
    <col min="4099" max="4099" width="14.42578125" style="3" customWidth="1"/>
    <col min="4100" max="4100" width="11.28515625" style="3" bestFit="1" customWidth="1"/>
    <col min="4101" max="4352" width="11" style="3"/>
    <col min="4353" max="4353" width="51.42578125" style="3" customWidth="1"/>
    <col min="4354" max="4354" width="13.7109375" style="3" customWidth="1"/>
    <col min="4355" max="4355" width="14.42578125" style="3" customWidth="1"/>
    <col min="4356" max="4356" width="11.28515625" style="3" bestFit="1" customWidth="1"/>
    <col min="4357" max="4608" width="11" style="3"/>
    <col min="4609" max="4609" width="51.42578125" style="3" customWidth="1"/>
    <col min="4610" max="4610" width="13.7109375" style="3" customWidth="1"/>
    <col min="4611" max="4611" width="14.42578125" style="3" customWidth="1"/>
    <col min="4612" max="4612" width="11.28515625" style="3" bestFit="1" customWidth="1"/>
    <col min="4613" max="4864" width="11" style="3"/>
    <col min="4865" max="4865" width="51.42578125" style="3" customWidth="1"/>
    <col min="4866" max="4866" width="13.7109375" style="3" customWidth="1"/>
    <col min="4867" max="4867" width="14.42578125" style="3" customWidth="1"/>
    <col min="4868" max="4868" width="11.28515625" style="3" bestFit="1" customWidth="1"/>
    <col min="4869" max="5120" width="11" style="3"/>
    <col min="5121" max="5121" width="51.42578125" style="3" customWidth="1"/>
    <col min="5122" max="5122" width="13.7109375" style="3" customWidth="1"/>
    <col min="5123" max="5123" width="14.42578125" style="3" customWidth="1"/>
    <col min="5124" max="5124" width="11.28515625" style="3" bestFit="1" customWidth="1"/>
    <col min="5125" max="5376" width="11" style="3"/>
    <col min="5377" max="5377" width="51.42578125" style="3" customWidth="1"/>
    <col min="5378" max="5378" width="13.7109375" style="3" customWidth="1"/>
    <col min="5379" max="5379" width="14.42578125" style="3" customWidth="1"/>
    <col min="5380" max="5380" width="11.28515625" style="3" bestFit="1" customWidth="1"/>
    <col min="5381" max="5632" width="11" style="3"/>
    <col min="5633" max="5633" width="51.42578125" style="3" customWidth="1"/>
    <col min="5634" max="5634" width="13.7109375" style="3" customWidth="1"/>
    <col min="5635" max="5635" width="14.42578125" style="3" customWidth="1"/>
    <col min="5636" max="5636" width="11.28515625" style="3" bestFit="1" customWidth="1"/>
    <col min="5637" max="5888" width="11" style="3"/>
    <col min="5889" max="5889" width="51.42578125" style="3" customWidth="1"/>
    <col min="5890" max="5890" width="13.7109375" style="3" customWidth="1"/>
    <col min="5891" max="5891" width="14.42578125" style="3" customWidth="1"/>
    <col min="5892" max="5892" width="11.28515625" style="3" bestFit="1" customWidth="1"/>
    <col min="5893" max="6144" width="11" style="3"/>
    <col min="6145" max="6145" width="51.42578125" style="3" customWidth="1"/>
    <col min="6146" max="6146" width="13.7109375" style="3" customWidth="1"/>
    <col min="6147" max="6147" width="14.42578125" style="3" customWidth="1"/>
    <col min="6148" max="6148" width="11.28515625" style="3" bestFit="1" customWidth="1"/>
    <col min="6149" max="6400" width="11" style="3"/>
    <col min="6401" max="6401" width="51.42578125" style="3" customWidth="1"/>
    <col min="6402" max="6402" width="13.7109375" style="3" customWidth="1"/>
    <col min="6403" max="6403" width="14.42578125" style="3" customWidth="1"/>
    <col min="6404" max="6404" width="11.28515625" style="3" bestFit="1" customWidth="1"/>
    <col min="6405" max="6656" width="11" style="3"/>
    <col min="6657" max="6657" width="51.42578125" style="3" customWidth="1"/>
    <col min="6658" max="6658" width="13.7109375" style="3" customWidth="1"/>
    <col min="6659" max="6659" width="14.42578125" style="3" customWidth="1"/>
    <col min="6660" max="6660" width="11.28515625" style="3" bestFit="1" customWidth="1"/>
    <col min="6661" max="6912" width="11" style="3"/>
    <col min="6913" max="6913" width="51.42578125" style="3" customWidth="1"/>
    <col min="6914" max="6914" width="13.7109375" style="3" customWidth="1"/>
    <col min="6915" max="6915" width="14.42578125" style="3" customWidth="1"/>
    <col min="6916" max="6916" width="11.28515625" style="3" bestFit="1" customWidth="1"/>
    <col min="6917" max="7168" width="11" style="3"/>
    <col min="7169" max="7169" width="51.42578125" style="3" customWidth="1"/>
    <col min="7170" max="7170" width="13.7109375" style="3" customWidth="1"/>
    <col min="7171" max="7171" width="14.42578125" style="3" customWidth="1"/>
    <col min="7172" max="7172" width="11.28515625" style="3" bestFit="1" customWidth="1"/>
    <col min="7173" max="7424" width="11" style="3"/>
    <col min="7425" max="7425" width="51.42578125" style="3" customWidth="1"/>
    <col min="7426" max="7426" width="13.7109375" style="3" customWidth="1"/>
    <col min="7427" max="7427" width="14.42578125" style="3" customWidth="1"/>
    <col min="7428" max="7428" width="11.28515625" style="3" bestFit="1" customWidth="1"/>
    <col min="7429" max="7680" width="11" style="3"/>
    <col min="7681" max="7681" width="51.42578125" style="3" customWidth="1"/>
    <col min="7682" max="7682" width="13.7109375" style="3" customWidth="1"/>
    <col min="7683" max="7683" width="14.42578125" style="3" customWidth="1"/>
    <col min="7684" max="7684" width="11.28515625" style="3" bestFit="1" customWidth="1"/>
    <col min="7685" max="7936" width="11" style="3"/>
    <col min="7937" max="7937" width="51.42578125" style="3" customWidth="1"/>
    <col min="7938" max="7938" width="13.7109375" style="3" customWidth="1"/>
    <col min="7939" max="7939" width="14.42578125" style="3" customWidth="1"/>
    <col min="7940" max="7940" width="11.28515625" style="3" bestFit="1" customWidth="1"/>
    <col min="7941" max="8192" width="11" style="3"/>
    <col min="8193" max="8193" width="51.42578125" style="3" customWidth="1"/>
    <col min="8194" max="8194" width="13.7109375" style="3" customWidth="1"/>
    <col min="8195" max="8195" width="14.42578125" style="3" customWidth="1"/>
    <col min="8196" max="8196" width="11.28515625" style="3" bestFit="1" customWidth="1"/>
    <col min="8197" max="8448" width="11" style="3"/>
    <col min="8449" max="8449" width="51.42578125" style="3" customWidth="1"/>
    <col min="8450" max="8450" width="13.7109375" style="3" customWidth="1"/>
    <col min="8451" max="8451" width="14.42578125" style="3" customWidth="1"/>
    <col min="8452" max="8452" width="11.28515625" style="3" bestFit="1" customWidth="1"/>
    <col min="8453" max="8704" width="11" style="3"/>
    <col min="8705" max="8705" width="51.42578125" style="3" customWidth="1"/>
    <col min="8706" max="8706" width="13.7109375" style="3" customWidth="1"/>
    <col min="8707" max="8707" width="14.42578125" style="3" customWidth="1"/>
    <col min="8708" max="8708" width="11.28515625" style="3" bestFit="1" customWidth="1"/>
    <col min="8709" max="8960" width="11" style="3"/>
    <col min="8961" max="8961" width="51.42578125" style="3" customWidth="1"/>
    <col min="8962" max="8962" width="13.7109375" style="3" customWidth="1"/>
    <col min="8963" max="8963" width="14.42578125" style="3" customWidth="1"/>
    <col min="8964" max="8964" width="11.28515625" style="3" bestFit="1" customWidth="1"/>
    <col min="8965" max="9216" width="11" style="3"/>
    <col min="9217" max="9217" width="51.42578125" style="3" customWidth="1"/>
    <col min="9218" max="9218" width="13.7109375" style="3" customWidth="1"/>
    <col min="9219" max="9219" width="14.42578125" style="3" customWidth="1"/>
    <col min="9220" max="9220" width="11.28515625" style="3" bestFit="1" customWidth="1"/>
    <col min="9221" max="9472" width="11" style="3"/>
    <col min="9473" max="9473" width="51.42578125" style="3" customWidth="1"/>
    <col min="9474" max="9474" width="13.7109375" style="3" customWidth="1"/>
    <col min="9475" max="9475" width="14.42578125" style="3" customWidth="1"/>
    <col min="9476" max="9476" width="11.28515625" style="3" bestFit="1" customWidth="1"/>
    <col min="9477" max="9728" width="11" style="3"/>
    <col min="9729" max="9729" width="51.42578125" style="3" customWidth="1"/>
    <col min="9730" max="9730" width="13.7109375" style="3" customWidth="1"/>
    <col min="9731" max="9731" width="14.42578125" style="3" customWidth="1"/>
    <col min="9732" max="9732" width="11.28515625" style="3" bestFit="1" customWidth="1"/>
    <col min="9733" max="9984" width="11" style="3"/>
    <col min="9985" max="9985" width="51.42578125" style="3" customWidth="1"/>
    <col min="9986" max="9986" width="13.7109375" style="3" customWidth="1"/>
    <col min="9987" max="9987" width="14.42578125" style="3" customWidth="1"/>
    <col min="9988" max="9988" width="11.28515625" style="3" bestFit="1" customWidth="1"/>
    <col min="9989" max="10240" width="11" style="3"/>
    <col min="10241" max="10241" width="51.42578125" style="3" customWidth="1"/>
    <col min="10242" max="10242" width="13.7109375" style="3" customWidth="1"/>
    <col min="10243" max="10243" width="14.42578125" style="3" customWidth="1"/>
    <col min="10244" max="10244" width="11.28515625" style="3" bestFit="1" customWidth="1"/>
    <col min="10245" max="10496" width="11" style="3"/>
    <col min="10497" max="10497" width="51.42578125" style="3" customWidth="1"/>
    <col min="10498" max="10498" width="13.7109375" style="3" customWidth="1"/>
    <col min="10499" max="10499" width="14.42578125" style="3" customWidth="1"/>
    <col min="10500" max="10500" width="11.28515625" style="3" bestFit="1" customWidth="1"/>
    <col min="10501" max="10752" width="11" style="3"/>
    <col min="10753" max="10753" width="51.42578125" style="3" customWidth="1"/>
    <col min="10754" max="10754" width="13.7109375" style="3" customWidth="1"/>
    <col min="10755" max="10755" width="14.42578125" style="3" customWidth="1"/>
    <col min="10756" max="10756" width="11.28515625" style="3" bestFit="1" customWidth="1"/>
    <col min="10757" max="11008" width="11" style="3"/>
    <col min="11009" max="11009" width="51.42578125" style="3" customWidth="1"/>
    <col min="11010" max="11010" width="13.7109375" style="3" customWidth="1"/>
    <col min="11011" max="11011" width="14.42578125" style="3" customWidth="1"/>
    <col min="11012" max="11012" width="11.28515625" style="3" bestFit="1" customWidth="1"/>
    <col min="11013" max="11264" width="11" style="3"/>
    <col min="11265" max="11265" width="51.42578125" style="3" customWidth="1"/>
    <col min="11266" max="11266" width="13.7109375" style="3" customWidth="1"/>
    <col min="11267" max="11267" width="14.42578125" style="3" customWidth="1"/>
    <col min="11268" max="11268" width="11.28515625" style="3" bestFit="1" customWidth="1"/>
    <col min="11269" max="11520" width="11" style="3"/>
    <col min="11521" max="11521" width="51.42578125" style="3" customWidth="1"/>
    <col min="11522" max="11522" width="13.7109375" style="3" customWidth="1"/>
    <col min="11523" max="11523" width="14.42578125" style="3" customWidth="1"/>
    <col min="11524" max="11524" width="11.28515625" style="3" bestFit="1" customWidth="1"/>
    <col min="11525" max="11776" width="11" style="3"/>
    <col min="11777" max="11777" width="51.42578125" style="3" customWidth="1"/>
    <col min="11778" max="11778" width="13.7109375" style="3" customWidth="1"/>
    <col min="11779" max="11779" width="14.42578125" style="3" customWidth="1"/>
    <col min="11780" max="11780" width="11.28515625" style="3" bestFit="1" customWidth="1"/>
    <col min="11781" max="12032" width="11" style="3"/>
    <col min="12033" max="12033" width="51.42578125" style="3" customWidth="1"/>
    <col min="12034" max="12034" width="13.7109375" style="3" customWidth="1"/>
    <col min="12035" max="12035" width="14.42578125" style="3" customWidth="1"/>
    <col min="12036" max="12036" width="11.28515625" style="3" bestFit="1" customWidth="1"/>
    <col min="12037" max="12288" width="11" style="3"/>
    <col min="12289" max="12289" width="51.42578125" style="3" customWidth="1"/>
    <col min="12290" max="12290" width="13.7109375" style="3" customWidth="1"/>
    <col min="12291" max="12291" width="14.42578125" style="3" customWidth="1"/>
    <col min="12292" max="12292" width="11.28515625" style="3" bestFit="1" customWidth="1"/>
    <col min="12293" max="12544" width="11" style="3"/>
    <col min="12545" max="12545" width="51.42578125" style="3" customWidth="1"/>
    <col min="12546" max="12546" width="13.7109375" style="3" customWidth="1"/>
    <col min="12547" max="12547" width="14.42578125" style="3" customWidth="1"/>
    <col min="12548" max="12548" width="11.28515625" style="3" bestFit="1" customWidth="1"/>
    <col min="12549" max="12800" width="11" style="3"/>
    <col min="12801" max="12801" width="51.42578125" style="3" customWidth="1"/>
    <col min="12802" max="12802" width="13.7109375" style="3" customWidth="1"/>
    <col min="12803" max="12803" width="14.42578125" style="3" customWidth="1"/>
    <col min="12804" max="12804" width="11.28515625" style="3" bestFit="1" customWidth="1"/>
    <col min="12805" max="13056" width="11" style="3"/>
    <col min="13057" max="13057" width="51.42578125" style="3" customWidth="1"/>
    <col min="13058" max="13058" width="13.7109375" style="3" customWidth="1"/>
    <col min="13059" max="13059" width="14.42578125" style="3" customWidth="1"/>
    <col min="13060" max="13060" width="11.28515625" style="3" bestFit="1" customWidth="1"/>
    <col min="13061" max="13312" width="11" style="3"/>
    <col min="13313" max="13313" width="51.42578125" style="3" customWidth="1"/>
    <col min="13314" max="13314" width="13.7109375" style="3" customWidth="1"/>
    <col min="13315" max="13315" width="14.42578125" style="3" customWidth="1"/>
    <col min="13316" max="13316" width="11.28515625" style="3" bestFit="1" customWidth="1"/>
    <col min="13317" max="13568" width="11" style="3"/>
    <col min="13569" max="13569" width="51.42578125" style="3" customWidth="1"/>
    <col min="13570" max="13570" width="13.7109375" style="3" customWidth="1"/>
    <col min="13571" max="13571" width="14.42578125" style="3" customWidth="1"/>
    <col min="13572" max="13572" width="11.28515625" style="3" bestFit="1" customWidth="1"/>
    <col min="13573" max="13824" width="11" style="3"/>
    <col min="13825" max="13825" width="51.42578125" style="3" customWidth="1"/>
    <col min="13826" max="13826" width="13.7109375" style="3" customWidth="1"/>
    <col min="13827" max="13827" width="14.42578125" style="3" customWidth="1"/>
    <col min="13828" max="13828" width="11.28515625" style="3" bestFit="1" customWidth="1"/>
    <col min="13829" max="14080" width="11" style="3"/>
    <col min="14081" max="14081" width="51.42578125" style="3" customWidth="1"/>
    <col min="14082" max="14082" width="13.7109375" style="3" customWidth="1"/>
    <col min="14083" max="14083" width="14.42578125" style="3" customWidth="1"/>
    <col min="14084" max="14084" width="11.28515625" style="3" bestFit="1" customWidth="1"/>
    <col min="14085" max="14336" width="11" style="3"/>
    <col min="14337" max="14337" width="51.42578125" style="3" customWidth="1"/>
    <col min="14338" max="14338" width="13.7109375" style="3" customWidth="1"/>
    <col min="14339" max="14339" width="14.42578125" style="3" customWidth="1"/>
    <col min="14340" max="14340" width="11.28515625" style="3" bestFit="1" customWidth="1"/>
    <col min="14341" max="14592" width="11" style="3"/>
    <col min="14593" max="14593" width="51.42578125" style="3" customWidth="1"/>
    <col min="14594" max="14594" width="13.7109375" style="3" customWidth="1"/>
    <col min="14595" max="14595" width="14.42578125" style="3" customWidth="1"/>
    <col min="14596" max="14596" width="11.28515625" style="3" bestFit="1" customWidth="1"/>
    <col min="14597" max="14848" width="11" style="3"/>
    <col min="14849" max="14849" width="51.42578125" style="3" customWidth="1"/>
    <col min="14850" max="14850" width="13.7109375" style="3" customWidth="1"/>
    <col min="14851" max="14851" width="14.42578125" style="3" customWidth="1"/>
    <col min="14852" max="14852" width="11.28515625" style="3" bestFit="1" customWidth="1"/>
    <col min="14853" max="15104" width="11" style="3"/>
    <col min="15105" max="15105" width="51.42578125" style="3" customWidth="1"/>
    <col min="15106" max="15106" width="13.7109375" style="3" customWidth="1"/>
    <col min="15107" max="15107" width="14.42578125" style="3" customWidth="1"/>
    <col min="15108" max="15108" width="11.28515625" style="3" bestFit="1" customWidth="1"/>
    <col min="15109" max="15360" width="11" style="3"/>
    <col min="15361" max="15361" width="51.42578125" style="3" customWidth="1"/>
    <col min="15362" max="15362" width="13.7109375" style="3" customWidth="1"/>
    <col min="15363" max="15363" width="14.42578125" style="3" customWidth="1"/>
    <col min="15364" max="15364" width="11.28515625" style="3" bestFit="1" customWidth="1"/>
    <col min="15365" max="15616" width="11" style="3"/>
    <col min="15617" max="15617" width="51.42578125" style="3" customWidth="1"/>
    <col min="15618" max="15618" width="13.7109375" style="3" customWidth="1"/>
    <col min="15619" max="15619" width="14.42578125" style="3" customWidth="1"/>
    <col min="15620" max="15620" width="11.28515625" style="3" bestFit="1" customWidth="1"/>
    <col min="15621" max="15872" width="11" style="3"/>
    <col min="15873" max="15873" width="51.42578125" style="3" customWidth="1"/>
    <col min="15874" max="15874" width="13.7109375" style="3" customWidth="1"/>
    <col min="15875" max="15875" width="14.42578125" style="3" customWidth="1"/>
    <col min="15876" max="15876" width="11.28515625" style="3" bestFit="1" customWidth="1"/>
    <col min="15877" max="16128" width="11" style="3"/>
    <col min="16129" max="16129" width="51.42578125" style="3" customWidth="1"/>
    <col min="16130" max="16130" width="13.7109375" style="3" customWidth="1"/>
    <col min="16131" max="16131" width="14.42578125" style="3" customWidth="1"/>
    <col min="16132" max="16132" width="11.28515625" style="3" bestFit="1" customWidth="1"/>
    <col min="16133" max="16384" width="11" style="3"/>
  </cols>
  <sheetData>
    <row r="1" spans="1:4" ht="12.75" customHeight="1">
      <c r="A1" s="453" t="s">
        <v>85</v>
      </c>
      <c r="B1" s="453"/>
      <c r="C1" s="453"/>
    </row>
    <row r="2" spans="1:4">
      <c r="A2" s="454" t="s">
        <v>86</v>
      </c>
      <c r="B2" s="454"/>
      <c r="C2" s="454"/>
    </row>
    <row r="3" spans="1:4">
      <c r="A3" s="159"/>
      <c r="B3" s="162"/>
      <c r="C3" s="162"/>
    </row>
    <row r="4" spans="1:4">
      <c r="A4" s="455" t="s">
        <v>222</v>
      </c>
      <c r="B4" s="455"/>
      <c r="C4" s="455"/>
    </row>
    <row r="5" spans="1:4">
      <c r="A5" s="455" t="s">
        <v>223</v>
      </c>
      <c r="B5" s="455"/>
      <c r="C5" s="455"/>
    </row>
    <row r="6" spans="1:4">
      <c r="A6" s="101"/>
      <c r="B6" s="161"/>
      <c r="C6" s="161"/>
    </row>
    <row r="7" spans="1:4">
      <c r="A7" s="459" t="s">
        <v>224</v>
      </c>
      <c r="B7" s="460"/>
      <c r="C7" s="461"/>
    </row>
    <row r="8" spans="1:4">
      <c r="A8" s="117" t="s">
        <v>252</v>
      </c>
      <c r="B8" s="164">
        <v>1123466000</v>
      </c>
      <c r="C8" s="164"/>
    </row>
    <row r="9" spans="1:4">
      <c r="A9" s="229" t="s">
        <v>225</v>
      </c>
      <c r="B9" s="182">
        <v>25412000</v>
      </c>
      <c r="C9" s="182"/>
    </row>
    <row r="10" spans="1:4" ht="16.5" thickBot="1">
      <c r="A10" s="231" t="s">
        <v>91</v>
      </c>
      <c r="B10" s="184"/>
      <c r="C10" s="185">
        <f>+B9+B8</f>
        <v>1148878000</v>
      </c>
    </row>
    <row r="11" spans="1:4">
      <c r="A11" s="230"/>
      <c r="B11" s="183"/>
      <c r="C11" s="183"/>
    </row>
    <row r="12" spans="1:4">
      <c r="A12" s="462" t="s">
        <v>92</v>
      </c>
      <c r="B12" s="463"/>
      <c r="C12" s="464"/>
    </row>
    <row r="13" spans="1:4">
      <c r="A13" s="462" t="s">
        <v>253</v>
      </c>
      <c r="B13" s="463"/>
      <c r="C13" s="464"/>
    </row>
    <row r="14" spans="1:4">
      <c r="A14" s="117" t="s">
        <v>93</v>
      </c>
      <c r="B14" s="164">
        <v>80517000</v>
      </c>
      <c r="C14" s="164"/>
      <c r="D14" s="5"/>
    </row>
    <row r="15" spans="1:4">
      <c r="A15" s="117" t="s">
        <v>226</v>
      </c>
      <c r="B15" s="164">
        <v>3382000</v>
      </c>
      <c r="C15" s="164"/>
      <c r="D15" s="5"/>
    </row>
    <row r="16" spans="1:4">
      <c r="A16" s="120" t="s">
        <v>94</v>
      </c>
      <c r="B16" s="164">
        <v>20646000</v>
      </c>
      <c r="C16" s="164"/>
    </row>
    <row r="17" spans="1:4">
      <c r="A17" s="120" t="s">
        <v>95</v>
      </c>
      <c r="B17" s="164">
        <v>14504000</v>
      </c>
      <c r="C17" s="164"/>
    </row>
    <row r="18" spans="1:4">
      <c r="A18" s="120" t="s">
        <v>96</v>
      </c>
      <c r="B18" s="164">
        <v>392883000</v>
      </c>
      <c r="C18" s="164"/>
    </row>
    <row r="19" spans="1:4">
      <c r="A19" s="120" t="s">
        <v>97</v>
      </c>
      <c r="B19" s="164">
        <v>87919000</v>
      </c>
      <c r="C19" s="164"/>
    </row>
    <row r="20" spans="1:4">
      <c r="A20" s="120" t="s">
        <v>98</v>
      </c>
      <c r="B20" s="164">
        <v>3010000</v>
      </c>
      <c r="C20" s="164"/>
    </row>
    <row r="21" spans="1:4">
      <c r="A21" s="120" t="s">
        <v>99</v>
      </c>
      <c r="B21" s="164">
        <v>39993000</v>
      </c>
      <c r="C21" s="164"/>
    </row>
    <row r="22" spans="1:4">
      <c r="A22" s="120" t="s">
        <v>100</v>
      </c>
      <c r="B22" s="164">
        <v>9949000</v>
      </c>
      <c r="C22" s="164"/>
    </row>
    <row r="23" spans="1:4">
      <c r="A23" s="120" t="s">
        <v>101</v>
      </c>
      <c r="B23" s="164">
        <v>38666000</v>
      </c>
      <c r="C23" s="164"/>
    </row>
    <row r="24" spans="1:4">
      <c r="A24" s="120" t="s">
        <v>102</v>
      </c>
      <c r="B24" s="164">
        <v>145671000</v>
      </c>
      <c r="C24" s="164"/>
    </row>
    <row r="25" spans="1:4">
      <c r="A25" s="120" t="s">
        <v>103</v>
      </c>
      <c r="B25" s="164">
        <v>873000</v>
      </c>
      <c r="C25" s="164"/>
    </row>
    <row r="26" spans="1:4">
      <c r="A26" s="120" t="s">
        <v>227</v>
      </c>
      <c r="B26" s="164">
        <v>15292000</v>
      </c>
      <c r="C26" s="164"/>
    </row>
    <row r="27" spans="1:4">
      <c r="A27" s="120" t="s">
        <v>104</v>
      </c>
      <c r="B27" s="164">
        <v>145000</v>
      </c>
      <c r="C27" s="164"/>
    </row>
    <row r="28" spans="1:4">
      <c r="A28" s="120" t="s">
        <v>105</v>
      </c>
      <c r="B28" s="164">
        <v>52000</v>
      </c>
      <c r="C28" s="164"/>
    </row>
    <row r="29" spans="1:4">
      <c r="A29" s="120" t="s">
        <v>106</v>
      </c>
      <c r="B29" s="164">
        <v>1806000</v>
      </c>
      <c r="C29" s="164"/>
    </row>
    <row r="30" spans="1:4">
      <c r="A30" s="120" t="s">
        <v>107</v>
      </c>
      <c r="B30" s="164">
        <v>669000</v>
      </c>
      <c r="C30" s="164"/>
    </row>
    <row r="31" spans="1:4">
      <c r="A31" s="120" t="s">
        <v>109</v>
      </c>
      <c r="B31" s="164">
        <v>4463000</v>
      </c>
      <c r="C31" s="164"/>
    </row>
    <row r="32" spans="1:4">
      <c r="A32" s="229" t="s">
        <v>228</v>
      </c>
      <c r="B32" s="182">
        <v>150220000</v>
      </c>
      <c r="C32" s="182"/>
      <c r="D32" s="108"/>
    </row>
    <row r="33" spans="1:4" ht="16.5" thickBot="1">
      <c r="A33" s="232" t="s">
        <v>110</v>
      </c>
      <c r="B33" s="184"/>
      <c r="C33" s="185">
        <f>SUM(B14:B32)</f>
        <v>1010660000</v>
      </c>
      <c r="D33" s="108"/>
    </row>
    <row r="34" spans="1:4">
      <c r="A34" s="233"/>
      <c r="B34" s="186"/>
      <c r="C34" s="186"/>
      <c r="D34" s="108"/>
    </row>
    <row r="35" spans="1:4" ht="16.5" thickBot="1">
      <c r="A35" s="469" t="s">
        <v>111</v>
      </c>
      <c r="B35" s="470"/>
      <c r="C35" s="185">
        <f>C10-C33</f>
        <v>138218000</v>
      </c>
    </row>
    <row r="36" spans="1:4">
      <c r="A36" s="230"/>
      <c r="B36" s="183"/>
      <c r="C36" s="183"/>
    </row>
    <row r="37" spans="1:4">
      <c r="A37" s="465" t="s">
        <v>212</v>
      </c>
      <c r="B37" s="466"/>
      <c r="C37" s="467"/>
    </row>
    <row r="38" spans="1:4">
      <c r="A38" s="121" t="s">
        <v>113</v>
      </c>
      <c r="B38" s="164"/>
      <c r="C38" s="164"/>
    </row>
    <row r="39" spans="1:4">
      <c r="A39" s="117" t="s">
        <v>114</v>
      </c>
      <c r="B39" s="164">
        <v>33785000</v>
      </c>
      <c r="C39" s="164"/>
    </row>
    <row r="40" spans="1:4">
      <c r="A40" s="117" t="s">
        <v>115</v>
      </c>
      <c r="B40" s="164">
        <v>27425000</v>
      </c>
      <c r="C40" s="164"/>
    </row>
    <row r="41" spans="1:4">
      <c r="A41" s="117" t="s">
        <v>116</v>
      </c>
      <c r="B41" s="164">
        <v>2884000</v>
      </c>
      <c r="C41" s="164"/>
    </row>
    <row r="42" spans="1:4">
      <c r="A42" s="117" t="s">
        <v>117</v>
      </c>
      <c r="B42" s="164">
        <v>2350000</v>
      </c>
      <c r="C42" s="164"/>
    </row>
    <row r="43" spans="1:4">
      <c r="A43" s="117" t="s">
        <v>118</v>
      </c>
      <c r="B43" s="164">
        <v>1222000</v>
      </c>
      <c r="C43" s="164"/>
    </row>
    <row r="44" spans="1:4">
      <c r="A44" s="117" t="s">
        <v>119</v>
      </c>
      <c r="B44" s="164">
        <v>1920000</v>
      </c>
      <c r="C44" s="164"/>
    </row>
    <row r="45" spans="1:4">
      <c r="A45" s="117" t="s">
        <v>97</v>
      </c>
      <c r="B45" s="164">
        <v>505000</v>
      </c>
      <c r="C45" s="164"/>
    </row>
    <row r="46" spans="1:4">
      <c r="A46" s="117" t="s">
        <v>229</v>
      </c>
      <c r="B46" s="164">
        <v>268000</v>
      </c>
      <c r="C46" s="164"/>
    </row>
    <row r="47" spans="1:4">
      <c r="A47" s="117" t="s">
        <v>230</v>
      </c>
      <c r="B47" s="164">
        <v>36000</v>
      </c>
      <c r="C47" s="164"/>
    </row>
    <row r="48" spans="1:4">
      <c r="A48" s="117" t="s">
        <v>231</v>
      </c>
      <c r="B48" s="164">
        <v>733000</v>
      </c>
      <c r="C48" s="164"/>
    </row>
    <row r="49" spans="1:4" ht="16.5" thickBot="1">
      <c r="A49" s="229" t="s">
        <v>120</v>
      </c>
      <c r="B49" s="228">
        <f>4225000+1469000</f>
        <v>5694000</v>
      </c>
      <c r="C49" s="182"/>
    </row>
    <row r="50" spans="1:4">
      <c r="A50" s="468" t="s">
        <v>121</v>
      </c>
      <c r="B50" s="468"/>
      <c r="C50" s="196">
        <f>+SUM(B39:B49)</f>
        <v>76822000</v>
      </c>
    </row>
    <row r="51" spans="1:4">
      <c r="A51" s="234"/>
      <c r="B51" s="183"/>
      <c r="C51" s="188"/>
    </row>
    <row r="52" spans="1:4">
      <c r="A52" s="462" t="s">
        <v>122</v>
      </c>
      <c r="B52" s="463"/>
      <c r="C52" s="464"/>
    </row>
    <row r="53" spans="1:4">
      <c r="A53" s="117" t="s">
        <v>117</v>
      </c>
      <c r="B53" s="164">
        <v>900000</v>
      </c>
      <c r="C53" s="164"/>
    </row>
    <row r="54" spans="1:4">
      <c r="A54" s="117" t="s">
        <v>118</v>
      </c>
      <c r="B54" s="164">
        <v>20000</v>
      </c>
      <c r="C54" s="164"/>
    </row>
    <row r="55" spans="1:4" ht="16.5" thickBot="1">
      <c r="A55" s="117" t="s">
        <v>120</v>
      </c>
      <c r="B55" s="228">
        <v>305000</v>
      </c>
      <c r="C55" s="164"/>
    </row>
    <row r="56" spans="1:4">
      <c r="A56" s="121" t="s">
        <v>259</v>
      </c>
      <c r="B56" s="183"/>
      <c r="C56" s="165">
        <f>B55+B54+B53</f>
        <v>1225000</v>
      </c>
    </row>
    <row r="57" spans="1:4">
      <c r="A57" s="235"/>
      <c r="B57" s="182"/>
      <c r="C57" s="182"/>
    </row>
    <row r="58" spans="1:4" ht="16.5" thickBot="1">
      <c r="A58" s="469" t="s">
        <v>213</v>
      </c>
      <c r="B58" s="470"/>
      <c r="C58" s="185">
        <f>+C50+C56</f>
        <v>78047000</v>
      </c>
      <c r="D58" s="108"/>
    </row>
    <row r="59" spans="1:4">
      <c r="A59" s="233"/>
      <c r="B59" s="186"/>
      <c r="C59" s="186"/>
    </row>
    <row r="60" spans="1:4" ht="16.5" thickBot="1">
      <c r="A60" s="469" t="s">
        <v>7</v>
      </c>
      <c r="B60" s="470"/>
      <c r="C60" s="185">
        <f>+C35-C58</f>
        <v>60171000</v>
      </c>
    </row>
    <row r="61" spans="1:4">
      <c r="A61" s="234"/>
      <c r="B61" s="183"/>
      <c r="C61" s="188"/>
    </row>
    <row r="62" spans="1:4">
      <c r="A62" s="456" t="s">
        <v>85</v>
      </c>
      <c r="B62" s="456"/>
      <c r="C62" s="456"/>
    </row>
    <row r="63" spans="1:4">
      <c r="A63" s="457" t="s">
        <v>86</v>
      </c>
      <c r="B63" s="457"/>
      <c r="C63" s="457"/>
    </row>
    <row r="64" spans="1:4">
      <c r="A64" s="122"/>
      <c r="B64" s="165"/>
      <c r="C64" s="165"/>
    </row>
    <row r="65" spans="1:5">
      <c r="A65" s="458" t="s">
        <v>222</v>
      </c>
      <c r="B65" s="458"/>
      <c r="C65" s="458"/>
    </row>
    <row r="66" spans="1:5">
      <c r="A66" s="458" t="s">
        <v>223</v>
      </c>
      <c r="B66" s="458"/>
      <c r="C66" s="458"/>
    </row>
    <row r="67" spans="1:5">
      <c r="A67" s="121"/>
      <c r="B67" s="164"/>
      <c r="C67" s="165"/>
    </row>
    <row r="68" spans="1:5">
      <c r="A68" s="462" t="s">
        <v>8</v>
      </c>
      <c r="B68" s="463"/>
      <c r="C68" s="464"/>
    </row>
    <row r="69" spans="1:5">
      <c r="A69" s="117" t="s">
        <v>232</v>
      </c>
      <c r="B69" s="164">
        <v>713000</v>
      </c>
      <c r="C69" s="165"/>
    </row>
    <row r="70" spans="1:5">
      <c r="A70" s="117" t="s">
        <v>120</v>
      </c>
      <c r="B70" s="164">
        <v>10000</v>
      </c>
      <c r="C70" s="165"/>
    </row>
    <row r="71" spans="1:5">
      <c r="A71" s="117" t="s">
        <v>125</v>
      </c>
      <c r="B71" s="164">
        <v>32000</v>
      </c>
      <c r="C71" s="165"/>
    </row>
    <row r="72" spans="1:5" ht="16.5" thickBot="1">
      <c r="A72" s="117" t="s">
        <v>233</v>
      </c>
      <c r="B72" s="228">
        <v>1000</v>
      </c>
      <c r="C72" s="165"/>
    </row>
    <row r="73" spans="1:5">
      <c r="A73" s="121" t="s">
        <v>214</v>
      </c>
      <c r="B73" s="188"/>
      <c r="C73" s="165">
        <f>B71+B70+B69+B72</f>
        <v>756000</v>
      </c>
    </row>
    <row r="74" spans="1:5">
      <c r="A74" s="120"/>
      <c r="B74" s="164"/>
      <c r="C74" s="164"/>
    </row>
    <row r="75" spans="1:5">
      <c r="A75" s="462" t="s">
        <v>9</v>
      </c>
      <c r="B75" s="463"/>
      <c r="C75" s="464"/>
    </row>
    <row r="76" spans="1:5">
      <c r="A76" s="120" t="s">
        <v>242</v>
      </c>
      <c r="B76" s="164">
        <v>9709000</v>
      </c>
      <c r="C76" s="164"/>
    </row>
    <row r="77" spans="1:5" ht="16.5" thickBot="1">
      <c r="A77" s="120" t="s">
        <v>260</v>
      </c>
      <c r="B77" s="228">
        <v>3374000</v>
      </c>
      <c r="C77" s="164"/>
    </row>
    <row r="78" spans="1:5">
      <c r="A78" s="121" t="s">
        <v>126</v>
      </c>
      <c r="B78" s="188"/>
      <c r="C78" s="165">
        <f>+B76+B77</f>
        <v>13083000</v>
      </c>
      <c r="E78" s="175"/>
    </row>
    <row r="79" spans="1:5">
      <c r="A79" s="236"/>
      <c r="B79" s="182"/>
      <c r="C79" s="187"/>
      <c r="E79" s="175"/>
    </row>
    <row r="80" spans="1:5" ht="16.5" thickBot="1">
      <c r="A80" s="469" t="s">
        <v>280</v>
      </c>
      <c r="B80" s="470"/>
      <c r="C80" s="185">
        <f>C60+C73-C78</f>
        <v>47844000</v>
      </c>
      <c r="D80" s="108"/>
      <c r="E80" s="109"/>
    </row>
    <row r="81" spans="1:7">
      <c r="A81" s="234"/>
      <c r="B81" s="183"/>
      <c r="C81" s="188"/>
    </row>
    <row r="82" spans="1:7">
      <c r="A82" s="471" t="s">
        <v>258</v>
      </c>
      <c r="B82" s="472"/>
      <c r="C82" s="473"/>
      <c r="G82" s="111"/>
    </row>
    <row r="83" spans="1:7" ht="16.5" thickBot="1">
      <c r="A83" s="124" t="s">
        <v>128</v>
      </c>
      <c r="B83" s="228">
        <f>+C80*34%+40</f>
        <v>16267000.000000002</v>
      </c>
      <c r="C83" s="165"/>
      <c r="D83" s="113"/>
      <c r="E83" s="111"/>
      <c r="G83" s="114"/>
    </row>
    <row r="84" spans="1:7">
      <c r="A84" s="178" t="s">
        <v>261</v>
      </c>
      <c r="B84" s="188"/>
      <c r="C84" s="165">
        <f>+B83</f>
        <v>16267000.000000002</v>
      </c>
      <c r="G84" s="111"/>
    </row>
    <row r="85" spans="1:7">
      <c r="A85" s="236"/>
      <c r="B85" s="182"/>
      <c r="C85" s="187"/>
      <c r="D85" s="108"/>
    </row>
    <row r="86" spans="1:7" ht="16.5" thickBot="1">
      <c r="A86" s="469" t="s">
        <v>14</v>
      </c>
      <c r="B86" s="470"/>
      <c r="C86" s="185">
        <f>C80-C84</f>
        <v>31577000</v>
      </c>
      <c r="D86" s="108"/>
    </row>
    <row r="87" spans="1:7">
      <c r="A87" s="230"/>
      <c r="B87" s="183"/>
      <c r="C87" s="183"/>
    </row>
    <row r="88" spans="1:7">
      <c r="A88" s="101"/>
      <c r="B88" s="161"/>
      <c r="C88" s="161"/>
      <c r="D88" s="108"/>
    </row>
    <row r="89" spans="1:7">
      <c r="A89" s="101"/>
      <c r="B89" s="161"/>
      <c r="C89" s="161"/>
    </row>
    <row r="90" spans="1:7">
      <c r="A90" s="101"/>
      <c r="B90" s="161"/>
      <c r="C90" s="161"/>
    </row>
    <row r="91" spans="1:7">
      <c r="A91" s="172" t="s">
        <v>130</v>
      </c>
      <c r="B91" s="450" t="s">
        <v>131</v>
      </c>
      <c r="C91" s="450"/>
    </row>
    <row r="92" spans="1:7">
      <c r="A92" s="115" t="s">
        <v>132</v>
      </c>
      <c r="B92" s="449" t="s">
        <v>133</v>
      </c>
      <c r="C92" s="449"/>
    </row>
    <row r="93" spans="1:7">
      <c r="A93" s="110" t="s">
        <v>251</v>
      </c>
      <c r="B93" s="450" t="s">
        <v>134</v>
      </c>
      <c r="C93" s="450"/>
    </row>
    <row r="94" spans="1:7">
      <c r="A94" s="107"/>
      <c r="B94" s="451"/>
      <c r="C94" s="451"/>
    </row>
    <row r="95" spans="1:7">
      <c r="A95" s="9"/>
      <c r="B95" s="452"/>
      <c r="C95" s="452"/>
    </row>
    <row r="96" spans="1:7">
      <c r="B96" s="163"/>
      <c r="C96" s="163"/>
    </row>
    <row r="97" spans="1:3" s="116" customFormat="1">
      <c r="A97" s="3"/>
      <c r="B97" s="125"/>
      <c r="C97" s="125"/>
    </row>
    <row r="98" spans="1:3" s="116" customFormat="1">
      <c r="A98" s="3"/>
      <c r="B98" s="163"/>
      <c r="C98" s="163"/>
    </row>
    <row r="99" spans="1:3" s="116" customFormat="1">
      <c r="A99" s="3"/>
      <c r="B99" s="125"/>
      <c r="C99" s="125"/>
    </row>
    <row r="100" spans="1:3" s="116" customFormat="1">
      <c r="A100" s="3"/>
      <c r="B100" s="125"/>
      <c r="C100" s="125"/>
    </row>
    <row r="101" spans="1:3" s="116" customFormat="1">
      <c r="A101" s="3"/>
      <c r="B101" s="125"/>
      <c r="C101" s="125"/>
    </row>
  </sheetData>
  <mergeCells count="27">
    <mergeCell ref="A86:B86"/>
    <mergeCell ref="A60:B60"/>
    <mergeCell ref="A58:B58"/>
    <mergeCell ref="A68:C68"/>
    <mergeCell ref="A75:C75"/>
    <mergeCell ref="A80:B80"/>
    <mergeCell ref="A37:C37"/>
    <mergeCell ref="A50:B50"/>
    <mergeCell ref="A35:B35"/>
    <mergeCell ref="A52:C52"/>
    <mergeCell ref="A82:C82"/>
    <mergeCell ref="B92:C92"/>
    <mergeCell ref="B93:C93"/>
    <mergeCell ref="B94:C94"/>
    <mergeCell ref="B95:C95"/>
    <mergeCell ref="A1:C1"/>
    <mergeCell ref="A2:C2"/>
    <mergeCell ref="A4:C4"/>
    <mergeCell ref="A5:C5"/>
    <mergeCell ref="B91:C91"/>
    <mergeCell ref="A62:C62"/>
    <mergeCell ref="A63:C63"/>
    <mergeCell ref="A65:C65"/>
    <mergeCell ref="A66:C66"/>
    <mergeCell ref="A7:C7"/>
    <mergeCell ref="A12:C12"/>
    <mergeCell ref="A13:C13"/>
  </mergeCells>
  <printOptions horizontalCentered="1"/>
  <pageMargins left="0.70866141732283472" right="0.70866141732283472" top="0.74803149606299213" bottom="0.74803149606299213" header="0.31496062992125984" footer="0.31496062992125984"/>
  <pageSetup scale="59" orientation="portrait" r:id="rId1"/>
  <rowBreaks count="1" manualBreakCount="1">
    <brk id="6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zoomScaleNormal="100" zoomScaleSheetLayoutView="80" workbookViewId="0">
      <selection activeCell="B57" sqref="B57"/>
    </sheetView>
  </sheetViews>
  <sheetFormatPr baseColWidth="10" defaultColWidth="10.7109375" defaultRowHeight="15.75"/>
  <cols>
    <col min="1" max="1" width="66.42578125" style="12" customWidth="1"/>
    <col min="2" max="2" width="25.42578125" style="197" customWidth="1"/>
    <col min="3" max="3" width="18" style="197" customWidth="1"/>
    <col min="4" max="4" width="16.140625" style="3" customWidth="1"/>
    <col min="5" max="5" width="13.85546875" style="3" bestFit="1" customWidth="1"/>
    <col min="6" max="6" width="11.28515625" style="3" bestFit="1" customWidth="1"/>
    <col min="7" max="7" width="15.140625" style="3" customWidth="1"/>
    <col min="8" max="8" width="13" style="3" customWidth="1"/>
    <col min="9" max="256" width="11" style="3"/>
    <col min="257" max="257" width="49" style="3" customWidth="1"/>
    <col min="258" max="258" width="19.7109375" style="3" customWidth="1"/>
    <col min="259" max="259" width="17.5703125" style="3" customWidth="1"/>
    <col min="260" max="512" width="11" style="3"/>
    <col min="513" max="513" width="49" style="3" customWidth="1"/>
    <col min="514" max="514" width="19.7109375" style="3" customWidth="1"/>
    <col min="515" max="515" width="17.5703125" style="3" customWidth="1"/>
    <col min="516" max="768" width="11" style="3"/>
    <col min="769" max="769" width="49" style="3" customWidth="1"/>
    <col min="770" max="770" width="19.7109375" style="3" customWidth="1"/>
    <col min="771" max="771" width="17.5703125" style="3" customWidth="1"/>
    <col min="772" max="1024" width="11" style="3"/>
    <col min="1025" max="1025" width="49" style="3" customWidth="1"/>
    <col min="1026" max="1026" width="19.7109375" style="3" customWidth="1"/>
    <col min="1027" max="1027" width="17.5703125" style="3" customWidth="1"/>
    <col min="1028" max="1280" width="11" style="3"/>
    <col min="1281" max="1281" width="49" style="3" customWidth="1"/>
    <col min="1282" max="1282" width="19.7109375" style="3" customWidth="1"/>
    <col min="1283" max="1283" width="17.5703125" style="3" customWidth="1"/>
    <col min="1284" max="1536" width="11" style="3"/>
    <col min="1537" max="1537" width="49" style="3" customWidth="1"/>
    <col min="1538" max="1538" width="19.7109375" style="3" customWidth="1"/>
    <col min="1539" max="1539" width="17.5703125" style="3" customWidth="1"/>
    <col min="1540" max="1792" width="11" style="3"/>
    <col min="1793" max="1793" width="49" style="3" customWidth="1"/>
    <col min="1794" max="1794" width="19.7109375" style="3" customWidth="1"/>
    <col min="1795" max="1795" width="17.5703125" style="3" customWidth="1"/>
    <col min="1796" max="2048" width="11" style="3"/>
    <col min="2049" max="2049" width="49" style="3" customWidth="1"/>
    <col min="2050" max="2050" width="19.7109375" style="3" customWidth="1"/>
    <col min="2051" max="2051" width="17.5703125" style="3" customWidth="1"/>
    <col min="2052" max="2304" width="11" style="3"/>
    <col min="2305" max="2305" width="49" style="3" customWidth="1"/>
    <col min="2306" max="2306" width="19.7109375" style="3" customWidth="1"/>
    <col min="2307" max="2307" width="17.5703125" style="3" customWidth="1"/>
    <col min="2308" max="2560" width="11" style="3"/>
    <col min="2561" max="2561" width="49" style="3" customWidth="1"/>
    <col min="2562" max="2562" width="19.7109375" style="3" customWidth="1"/>
    <col min="2563" max="2563" width="17.5703125" style="3" customWidth="1"/>
    <col min="2564" max="2816" width="11" style="3"/>
    <col min="2817" max="2817" width="49" style="3" customWidth="1"/>
    <col min="2818" max="2818" width="19.7109375" style="3" customWidth="1"/>
    <col min="2819" max="2819" width="17.5703125" style="3" customWidth="1"/>
    <col min="2820" max="3072" width="11" style="3"/>
    <col min="3073" max="3073" width="49" style="3" customWidth="1"/>
    <col min="3074" max="3074" width="19.7109375" style="3" customWidth="1"/>
    <col min="3075" max="3075" width="17.5703125" style="3" customWidth="1"/>
    <col min="3076" max="3328" width="11" style="3"/>
    <col min="3329" max="3329" width="49" style="3" customWidth="1"/>
    <col min="3330" max="3330" width="19.7109375" style="3" customWidth="1"/>
    <col min="3331" max="3331" width="17.5703125" style="3" customWidth="1"/>
    <col min="3332" max="3584" width="11" style="3"/>
    <col min="3585" max="3585" width="49" style="3" customWidth="1"/>
    <col min="3586" max="3586" width="19.7109375" style="3" customWidth="1"/>
    <col min="3587" max="3587" width="17.5703125" style="3" customWidth="1"/>
    <col min="3588" max="3840" width="11" style="3"/>
    <col min="3841" max="3841" width="49" style="3" customWidth="1"/>
    <col min="3842" max="3842" width="19.7109375" style="3" customWidth="1"/>
    <col min="3843" max="3843" width="17.5703125" style="3" customWidth="1"/>
    <col min="3844" max="4096" width="11" style="3"/>
    <col min="4097" max="4097" width="49" style="3" customWidth="1"/>
    <col min="4098" max="4098" width="19.7109375" style="3" customWidth="1"/>
    <col min="4099" max="4099" width="17.5703125" style="3" customWidth="1"/>
    <col min="4100" max="4352" width="11" style="3"/>
    <col min="4353" max="4353" width="49" style="3" customWidth="1"/>
    <col min="4354" max="4354" width="19.7109375" style="3" customWidth="1"/>
    <col min="4355" max="4355" width="17.5703125" style="3" customWidth="1"/>
    <col min="4356" max="4608" width="11" style="3"/>
    <col min="4609" max="4609" width="49" style="3" customWidth="1"/>
    <col min="4610" max="4610" width="19.7109375" style="3" customWidth="1"/>
    <col min="4611" max="4611" width="17.5703125" style="3" customWidth="1"/>
    <col min="4612" max="4864" width="11" style="3"/>
    <col min="4865" max="4865" width="49" style="3" customWidth="1"/>
    <col min="4866" max="4866" width="19.7109375" style="3" customWidth="1"/>
    <col min="4867" max="4867" width="17.5703125" style="3" customWidth="1"/>
    <col min="4868" max="5120" width="11" style="3"/>
    <col min="5121" max="5121" width="49" style="3" customWidth="1"/>
    <col min="5122" max="5122" width="19.7109375" style="3" customWidth="1"/>
    <col min="5123" max="5123" width="17.5703125" style="3" customWidth="1"/>
    <col min="5124" max="5376" width="11" style="3"/>
    <col min="5377" max="5377" width="49" style="3" customWidth="1"/>
    <col min="5378" max="5378" width="19.7109375" style="3" customWidth="1"/>
    <col min="5379" max="5379" width="17.5703125" style="3" customWidth="1"/>
    <col min="5380" max="5632" width="11" style="3"/>
    <col min="5633" max="5633" width="49" style="3" customWidth="1"/>
    <col min="5634" max="5634" width="19.7109375" style="3" customWidth="1"/>
    <col min="5635" max="5635" width="17.5703125" style="3" customWidth="1"/>
    <col min="5636" max="5888" width="11" style="3"/>
    <col min="5889" max="5889" width="49" style="3" customWidth="1"/>
    <col min="5890" max="5890" width="19.7109375" style="3" customWidth="1"/>
    <col min="5891" max="5891" width="17.5703125" style="3" customWidth="1"/>
    <col min="5892" max="6144" width="11" style="3"/>
    <col min="6145" max="6145" width="49" style="3" customWidth="1"/>
    <col min="6146" max="6146" width="19.7109375" style="3" customWidth="1"/>
    <col min="6147" max="6147" width="17.5703125" style="3" customWidth="1"/>
    <col min="6148" max="6400" width="11" style="3"/>
    <col min="6401" max="6401" width="49" style="3" customWidth="1"/>
    <col min="6402" max="6402" width="19.7109375" style="3" customWidth="1"/>
    <col min="6403" max="6403" width="17.5703125" style="3" customWidth="1"/>
    <col min="6404" max="6656" width="11" style="3"/>
    <col min="6657" max="6657" width="49" style="3" customWidth="1"/>
    <col min="6658" max="6658" width="19.7109375" style="3" customWidth="1"/>
    <col min="6659" max="6659" width="17.5703125" style="3" customWidth="1"/>
    <col min="6660" max="6912" width="11" style="3"/>
    <col min="6913" max="6913" width="49" style="3" customWidth="1"/>
    <col min="6914" max="6914" width="19.7109375" style="3" customWidth="1"/>
    <col min="6915" max="6915" width="17.5703125" style="3" customWidth="1"/>
    <col min="6916" max="7168" width="11" style="3"/>
    <col min="7169" max="7169" width="49" style="3" customWidth="1"/>
    <col min="7170" max="7170" width="19.7109375" style="3" customWidth="1"/>
    <col min="7171" max="7171" width="17.5703125" style="3" customWidth="1"/>
    <col min="7172" max="7424" width="11" style="3"/>
    <col min="7425" max="7425" width="49" style="3" customWidth="1"/>
    <col min="7426" max="7426" width="19.7109375" style="3" customWidth="1"/>
    <col min="7427" max="7427" width="17.5703125" style="3" customWidth="1"/>
    <col min="7428" max="7680" width="11" style="3"/>
    <col min="7681" max="7681" width="49" style="3" customWidth="1"/>
    <col min="7682" max="7682" width="19.7109375" style="3" customWidth="1"/>
    <col min="7683" max="7683" width="17.5703125" style="3" customWidth="1"/>
    <col min="7684" max="7936" width="11" style="3"/>
    <col min="7937" max="7937" width="49" style="3" customWidth="1"/>
    <col min="7938" max="7938" width="19.7109375" style="3" customWidth="1"/>
    <col min="7939" max="7939" width="17.5703125" style="3" customWidth="1"/>
    <col min="7940" max="8192" width="11" style="3"/>
    <col min="8193" max="8193" width="49" style="3" customWidth="1"/>
    <col min="8194" max="8194" width="19.7109375" style="3" customWidth="1"/>
    <col min="8195" max="8195" width="17.5703125" style="3" customWidth="1"/>
    <col min="8196" max="8448" width="11" style="3"/>
    <col min="8449" max="8449" width="49" style="3" customWidth="1"/>
    <col min="8450" max="8450" width="19.7109375" style="3" customWidth="1"/>
    <col min="8451" max="8451" width="17.5703125" style="3" customWidth="1"/>
    <col min="8452" max="8704" width="11" style="3"/>
    <col min="8705" max="8705" width="49" style="3" customWidth="1"/>
    <col min="8706" max="8706" width="19.7109375" style="3" customWidth="1"/>
    <col min="8707" max="8707" width="17.5703125" style="3" customWidth="1"/>
    <col min="8708" max="8960" width="11" style="3"/>
    <col min="8961" max="8961" width="49" style="3" customWidth="1"/>
    <col min="8962" max="8962" width="19.7109375" style="3" customWidth="1"/>
    <col min="8963" max="8963" width="17.5703125" style="3" customWidth="1"/>
    <col min="8964" max="9216" width="11" style="3"/>
    <col min="9217" max="9217" width="49" style="3" customWidth="1"/>
    <col min="9218" max="9218" width="19.7109375" style="3" customWidth="1"/>
    <col min="9219" max="9219" width="17.5703125" style="3" customWidth="1"/>
    <col min="9220" max="9472" width="11" style="3"/>
    <col min="9473" max="9473" width="49" style="3" customWidth="1"/>
    <col min="9474" max="9474" width="19.7109375" style="3" customWidth="1"/>
    <col min="9475" max="9475" width="17.5703125" style="3" customWidth="1"/>
    <col min="9476" max="9728" width="11" style="3"/>
    <col min="9729" max="9729" width="49" style="3" customWidth="1"/>
    <col min="9730" max="9730" width="19.7109375" style="3" customWidth="1"/>
    <col min="9731" max="9731" width="17.5703125" style="3" customWidth="1"/>
    <col min="9732" max="9984" width="11" style="3"/>
    <col min="9985" max="9985" width="49" style="3" customWidth="1"/>
    <col min="9986" max="9986" width="19.7109375" style="3" customWidth="1"/>
    <col min="9987" max="9987" width="17.5703125" style="3" customWidth="1"/>
    <col min="9988" max="10240" width="11" style="3"/>
    <col min="10241" max="10241" width="49" style="3" customWidth="1"/>
    <col min="10242" max="10242" width="19.7109375" style="3" customWidth="1"/>
    <col min="10243" max="10243" width="17.5703125" style="3" customWidth="1"/>
    <col min="10244" max="10496" width="11" style="3"/>
    <col min="10497" max="10497" width="49" style="3" customWidth="1"/>
    <col min="10498" max="10498" width="19.7109375" style="3" customWidth="1"/>
    <col min="10499" max="10499" width="17.5703125" style="3" customWidth="1"/>
    <col min="10500" max="10752" width="11" style="3"/>
    <col min="10753" max="10753" width="49" style="3" customWidth="1"/>
    <col min="10754" max="10754" width="19.7109375" style="3" customWidth="1"/>
    <col min="10755" max="10755" width="17.5703125" style="3" customWidth="1"/>
    <col min="10756" max="11008" width="11" style="3"/>
    <col min="11009" max="11009" width="49" style="3" customWidth="1"/>
    <col min="11010" max="11010" width="19.7109375" style="3" customWidth="1"/>
    <col min="11011" max="11011" width="17.5703125" style="3" customWidth="1"/>
    <col min="11012" max="11264" width="11" style="3"/>
    <col min="11265" max="11265" width="49" style="3" customWidth="1"/>
    <col min="11266" max="11266" width="19.7109375" style="3" customWidth="1"/>
    <col min="11267" max="11267" width="17.5703125" style="3" customWidth="1"/>
    <col min="11268" max="11520" width="11" style="3"/>
    <col min="11521" max="11521" width="49" style="3" customWidth="1"/>
    <col min="11522" max="11522" width="19.7109375" style="3" customWidth="1"/>
    <col min="11523" max="11523" width="17.5703125" style="3" customWidth="1"/>
    <col min="11524" max="11776" width="11" style="3"/>
    <col min="11777" max="11777" width="49" style="3" customWidth="1"/>
    <col min="11778" max="11778" width="19.7109375" style="3" customWidth="1"/>
    <col min="11779" max="11779" width="17.5703125" style="3" customWidth="1"/>
    <col min="11780" max="12032" width="11" style="3"/>
    <col min="12033" max="12033" width="49" style="3" customWidth="1"/>
    <col min="12034" max="12034" width="19.7109375" style="3" customWidth="1"/>
    <col min="12035" max="12035" width="17.5703125" style="3" customWidth="1"/>
    <col min="12036" max="12288" width="11" style="3"/>
    <col min="12289" max="12289" width="49" style="3" customWidth="1"/>
    <col min="12290" max="12290" width="19.7109375" style="3" customWidth="1"/>
    <col min="12291" max="12291" width="17.5703125" style="3" customWidth="1"/>
    <col min="12292" max="12544" width="11" style="3"/>
    <col min="12545" max="12545" width="49" style="3" customWidth="1"/>
    <col min="12546" max="12546" width="19.7109375" style="3" customWidth="1"/>
    <col min="12547" max="12547" width="17.5703125" style="3" customWidth="1"/>
    <col min="12548" max="12800" width="11" style="3"/>
    <col min="12801" max="12801" width="49" style="3" customWidth="1"/>
    <col min="12802" max="12802" width="19.7109375" style="3" customWidth="1"/>
    <col min="12803" max="12803" width="17.5703125" style="3" customWidth="1"/>
    <col min="12804" max="13056" width="11" style="3"/>
    <col min="13057" max="13057" width="49" style="3" customWidth="1"/>
    <col min="13058" max="13058" width="19.7109375" style="3" customWidth="1"/>
    <col min="13059" max="13059" width="17.5703125" style="3" customWidth="1"/>
    <col min="13060" max="13312" width="11" style="3"/>
    <col min="13313" max="13313" width="49" style="3" customWidth="1"/>
    <col min="13314" max="13314" width="19.7109375" style="3" customWidth="1"/>
    <col min="13315" max="13315" width="17.5703125" style="3" customWidth="1"/>
    <col min="13316" max="13568" width="11" style="3"/>
    <col min="13569" max="13569" width="49" style="3" customWidth="1"/>
    <col min="13570" max="13570" width="19.7109375" style="3" customWidth="1"/>
    <col min="13571" max="13571" width="17.5703125" style="3" customWidth="1"/>
    <col min="13572" max="13824" width="11" style="3"/>
    <col min="13825" max="13825" width="49" style="3" customWidth="1"/>
    <col min="13826" max="13826" width="19.7109375" style="3" customWidth="1"/>
    <col min="13827" max="13827" width="17.5703125" style="3" customWidth="1"/>
    <col min="13828" max="14080" width="11" style="3"/>
    <col min="14081" max="14081" width="49" style="3" customWidth="1"/>
    <col min="14082" max="14082" width="19.7109375" style="3" customWidth="1"/>
    <col min="14083" max="14083" width="17.5703125" style="3" customWidth="1"/>
    <col min="14084" max="14336" width="11" style="3"/>
    <col min="14337" max="14337" width="49" style="3" customWidth="1"/>
    <col min="14338" max="14338" width="19.7109375" style="3" customWidth="1"/>
    <col min="14339" max="14339" width="17.5703125" style="3" customWidth="1"/>
    <col min="14340" max="14592" width="11" style="3"/>
    <col min="14593" max="14593" width="49" style="3" customWidth="1"/>
    <col min="14594" max="14594" width="19.7109375" style="3" customWidth="1"/>
    <col min="14595" max="14595" width="17.5703125" style="3" customWidth="1"/>
    <col min="14596" max="14848" width="11" style="3"/>
    <col min="14849" max="14849" width="49" style="3" customWidth="1"/>
    <col min="14850" max="14850" width="19.7109375" style="3" customWidth="1"/>
    <col min="14851" max="14851" width="17.5703125" style="3" customWidth="1"/>
    <col min="14852" max="15104" width="11" style="3"/>
    <col min="15105" max="15105" width="49" style="3" customWidth="1"/>
    <col min="15106" max="15106" width="19.7109375" style="3" customWidth="1"/>
    <col min="15107" max="15107" width="17.5703125" style="3" customWidth="1"/>
    <col min="15108" max="15360" width="11" style="3"/>
    <col min="15361" max="15361" width="49" style="3" customWidth="1"/>
    <col min="15362" max="15362" width="19.7109375" style="3" customWidth="1"/>
    <col min="15363" max="15363" width="17.5703125" style="3" customWidth="1"/>
    <col min="15364" max="15616" width="11" style="3"/>
    <col min="15617" max="15617" width="49" style="3" customWidth="1"/>
    <col min="15618" max="15618" width="19.7109375" style="3" customWidth="1"/>
    <col min="15619" max="15619" width="17.5703125" style="3" customWidth="1"/>
    <col min="15620" max="15872" width="11" style="3"/>
    <col min="15873" max="15873" width="49" style="3" customWidth="1"/>
    <col min="15874" max="15874" width="19.7109375" style="3" customWidth="1"/>
    <col min="15875" max="15875" width="17.5703125" style="3" customWidth="1"/>
    <col min="15876" max="16128" width="11" style="3"/>
    <col min="16129" max="16129" width="49" style="3" customWidth="1"/>
    <col min="16130" max="16130" width="19.7109375" style="3" customWidth="1"/>
    <col min="16131" max="16131" width="17.5703125" style="3" customWidth="1"/>
    <col min="16132" max="16384" width="11" style="3"/>
  </cols>
  <sheetData>
    <row r="1" spans="1:3" s="126" customFormat="1" ht="12.75" customHeight="1">
      <c r="A1" s="439" t="s">
        <v>85</v>
      </c>
      <c r="B1" s="439"/>
      <c r="C1" s="439"/>
    </row>
    <row r="2" spans="1:3" s="126" customFormat="1">
      <c r="A2" s="440" t="s">
        <v>86</v>
      </c>
      <c r="B2" s="440"/>
      <c r="C2" s="440"/>
    </row>
    <row r="3" spans="1:3" s="126" customFormat="1">
      <c r="A3" s="189"/>
      <c r="B3" s="196"/>
      <c r="C3" s="196"/>
    </row>
    <row r="4" spans="1:3" s="126" customFormat="1">
      <c r="A4" s="477" t="s">
        <v>234</v>
      </c>
      <c r="B4" s="477"/>
      <c r="C4" s="477"/>
    </row>
    <row r="5" spans="1:3" s="126" customFormat="1">
      <c r="A5" s="455" t="s">
        <v>235</v>
      </c>
      <c r="B5" s="455"/>
      <c r="C5" s="455"/>
    </row>
    <row r="6" spans="1:3" s="126" customFormat="1">
      <c r="A6" s="189"/>
      <c r="B6" s="196"/>
      <c r="C6" s="196"/>
    </row>
    <row r="7" spans="1:3" s="126" customFormat="1">
      <c r="A7" s="455" t="s">
        <v>137</v>
      </c>
      <c r="B7" s="455"/>
      <c r="C7" s="455"/>
    </row>
    <row r="8" spans="1:3" s="126" customFormat="1">
      <c r="A8" s="474" t="s">
        <v>138</v>
      </c>
      <c r="B8" s="475"/>
      <c r="C8" s="476"/>
    </row>
    <row r="9" spans="1:3" s="126" customFormat="1">
      <c r="A9" s="484" t="s">
        <v>139</v>
      </c>
      <c r="B9" s="484"/>
      <c r="C9" s="484"/>
    </row>
    <row r="10" spans="1:3" s="126" customFormat="1">
      <c r="A10" s="12" t="s">
        <v>140</v>
      </c>
      <c r="B10" s="197">
        <v>2419000</v>
      </c>
      <c r="C10" s="197"/>
    </row>
    <row r="11" spans="1:3" s="126" customFormat="1" ht="16.5" thickBot="1">
      <c r="A11" s="12" t="s">
        <v>141</v>
      </c>
      <c r="B11" s="199">
        <v>10855000</v>
      </c>
      <c r="C11" s="197"/>
    </row>
    <row r="12" spans="1:3" s="126" customFormat="1">
      <c r="A12" s="13" t="s">
        <v>142</v>
      </c>
      <c r="B12" s="197"/>
      <c r="C12" s="196">
        <f>+B10+B11</f>
        <v>13274000</v>
      </c>
    </row>
    <row r="13" spans="1:3" s="126" customFormat="1">
      <c r="A13" s="13"/>
      <c r="B13" s="197"/>
      <c r="C13" s="197"/>
    </row>
    <row r="14" spans="1:3" s="126" customFormat="1">
      <c r="A14" s="13" t="s">
        <v>144</v>
      </c>
      <c r="B14" s="197"/>
      <c r="C14" s="197"/>
    </row>
    <row r="15" spans="1:3" s="126" customFormat="1">
      <c r="A15" s="12" t="s">
        <v>145</v>
      </c>
      <c r="B15" s="197">
        <v>221026000</v>
      </c>
      <c r="C15" s="197"/>
    </row>
    <row r="16" spans="1:3" s="126" customFormat="1">
      <c r="A16" s="12" t="s">
        <v>146</v>
      </c>
      <c r="B16" s="197">
        <v>68968000</v>
      </c>
      <c r="C16" s="197"/>
    </row>
    <row r="17" spans="1:3" s="126" customFormat="1">
      <c r="A17" s="12" t="s">
        <v>236</v>
      </c>
      <c r="B17" s="197">
        <v>116900000</v>
      </c>
      <c r="C17" s="197"/>
    </row>
    <row r="18" spans="1:3" s="126" customFormat="1" ht="16.5" thickBot="1">
      <c r="A18" s="12" t="s">
        <v>147</v>
      </c>
      <c r="B18" s="199">
        <v>16536000</v>
      </c>
      <c r="C18" s="197"/>
    </row>
    <row r="19" spans="1:3" s="126" customFormat="1">
      <c r="A19" s="13" t="s">
        <v>148</v>
      </c>
      <c r="B19" s="197"/>
      <c r="C19" s="196">
        <f>SUM(B15:B18)</f>
        <v>423430000</v>
      </c>
    </row>
    <row r="20" spans="1:3" s="126" customFormat="1">
      <c r="A20" s="13"/>
      <c r="B20" s="197"/>
      <c r="C20" s="197"/>
    </row>
    <row r="21" spans="1:3" s="126" customFormat="1" ht="16.5" thickBot="1">
      <c r="A21" s="482" t="s">
        <v>149</v>
      </c>
      <c r="B21" s="483"/>
      <c r="C21" s="348">
        <f>+C12+C19</f>
        <v>436704000</v>
      </c>
    </row>
    <row r="23" spans="1:3" s="126" customFormat="1">
      <c r="A23" s="455" t="s">
        <v>150</v>
      </c>
      <c r="B23" s="455"/>
      <c r="C23" s="455"/>
    </row>
    <row r="24" spans="1:3">
      <c r="A24" s="485" t="s">
        <v>151</v>
      </c>
      <c r="B24" s="486"/>
      <c r="C24" s="487"/>
    </row>
    <row r="25" spans="1:3">
      <c r="A25" s="8"/>
      <c r="B25" s="196"/>
      <c r="C25" s="196"/>
    </row>
    <row r="26" spans="1:3">
      <c r="A26" s="13" t="s">
        <v>152</v>
      </c>
      <c r="B26" s="198"/>
      <c r="C26" s="196"/>
    </row>
    <row r="27" spans="1:3">
      <c r="A27" s="12" t="s">
        <v>153</v>
      </c>
      <c r="B27" s="197">
        <v>1730000</v>
      </c>
      <c r="C27" s="196"/>
    </row>
    <row r="28" spans="1:3" ht="16.5" thickBot="1">
      <c r="A28" s="12" t="s">
        <v>160</v>
      </c>
      <c r="B28" s="199">
        <v>-173000</v>
      </c>
      <c r="C28" s="196"/>
    </row>
    <row r="29" spans="1:3">
      <c r="A29" s="13" t="s">
        <v>154</v>
      </c>
      <c r="C29" s="196">
        <f>+B27+B28</f>
        <v>1557000</v>
      </c>
    </row>
    <row r="30" spans="1:3">
      <c r="A30" s="8"/>
      <c r="B30" s="196"/>
      <c r="C30" s="196"/>
    </row>
    <row r="31" spans="1:3">
      <c r="A31" s="13" t="s">
        <v>155</v>
      </c>
      <c r="B31" s="198"/>
      <c r="C31" s="196"/>
    </row>
    <row r="32" spans="1:3">
      <c r="A32" s="12" t="s">
        <v>156</v>
      </c>
      <c r="B32" s="197">
        <v>2800000</v>
      </c>
      <c r="C32" s="196"/>
    </row>
    <row r="33" spans="1:3" ht="16.5" thickBot="1">
      <c r="A33" s="12" t="s">
        <v>160</v>
      </c>
      <c r="B33" s="199">
        <v>-560000</v>
      </c>
      <c r="C33" s="196"/>
    </row>
    <row r="34" spans="1:3">
      <c r="A34" s="13" t="s">
        <v>157</v>
      </c>
      <c r="C34" s="196">
        <f>+B32+B33</f>
        <v>2240000</v>
      </c>
    </row>
    <row r="35" spans="1:3">
      <c r="A35" s="8"/>
      <c r="B35" s="196"/>
      <c r="C35" s="196"/>
    </row>
    <row r="36" spans="1:3">
      <c r="A36" s="13" t="s">
        <v>158</v>
      </c>
      <c r="B36" s="198"/>
      <c r="C36" s="196"/>
    </row>
    <row r="37" spans="1:3">
      <c r="A37" s="12" t="s">
        <v>159</v>
      </c>
      <c r="B37" s="197">
        <v>751100000</v>
      </c>
      <c r="C37" s="196"/>
    </row>
    <row r="38" spans="1:3" ht="16.5" thickBot="1">
      <c r="A38" s="12" t="s">
        <v>160</v>
      </c>
      <c r="B38" s="199">
        <v>-185330000</v>
      </c>
      <c r="C38" s="196"/>
    </row>
    <row r="39" spans="1:3">
      <c r="A39" s="13" t="s">
        <v>161</v>
      </c>
      <c r="C39" s="196">
        <f>+B37+B38</f>
        <v>565770000</v>
      </c>
    </row>
    <row r="40" spans="1:3">
      <c r="A40" s="13"/>
    </row>
    <row r="41" spans="1:3">
      <c r="A41" s="13" t="s">
        <v>23</v>
      </c>
    </row>
    <row r="42" spans="1:3" ht="16.5" thickBot="1">
      <c r="A42" s="12" t="s">
        <v>237</v>
      </c>
      <c r="B42" s="199">
        <f>3598000+461000</f>
        <v>4059000</v>
      </c>
      <c r="C42" s="196"/>
    </row>
    <row r="43" spans="1:3">
      <c r="A43" s="13" t="s">
        <v>164</v>
      </c>
      <c r="C43" s="196">
        <f>+B42</f>
        <v>4059000</v>
      </c>
    </row>
    <row r="45" spans="1:3" ht="16.5" thickBot="1">
      <c r="A45" s="482" t="s">
        <v>165</v>
      </c>
      <c r="B45" s="483"/>
      <c r="C45" s="348">
        <f>+C29+C34+C39+C43</f>
        <v>573626000</v>
      </c>
    </row>
    <row r="47" spans="1:3" s="9" customFormat="1" ht="16.5" thickBot="1">
      <c r="A47" s="482" t="s">
        <v>166</v>
      </c>
      <c r="B47" s="483"/>
      <c r="C47" s="348">
        <f>+C21+C45</f>
        <v>1010330000</v>
      </c>
    </row>
    <row r="49" spans="1:3">
      <c r="A49" s="453" t="s">
        <v>85</v>
      </c>
      <c r="B49" s="453"/>
      <c r="C49" s="453"/>
    </row>
    <row r="50" spans="1:3">
      <c r="A50" s="454" t="s">
        <v>86</v>
      </c>
      <c r="B50" s="454"/>
      <c r="C50" s="454"/>
    </row>
    <row r="51" spans="1:3">
      <c r="A51" s="189"/>
      <c r="B51" s="196"/>
      <c r="C51" s="196"/>
    </row>
    <row r="52" spans="1:3">
      <c r="A52" s="455" t="s">
        <v>234</v>
      </c>
      <c r="B52" s="455"/>
      <c r="C52" s="455"/>
    </row>
    <row r="53" spans="1:3">
      <c r="A53" s="455" t="s">
        <v>235</v>
      </c>
      <c r="B53" s="455"/>
      <c r="C53" s="455"/>
    </row>
    <row r="55" spans="1:3">
      <c r="A55" s="479" t="s">
        <v>167</v>
      </c>
      <c r="B55" s="479"/>
      <c r="C55" s="479"/>
    </row>
    <row r="56" spans="1:3">
      <c r="A56" s="190" t="s">
        <v>238</v>
      </c>
      <c r="B56" s="196"/>
      <c r="C56" s="196"/>
    </row>
    <row r="57" spans="1:3" ht="16.5" thickBot="1">
      <c r="A57" s="191" t="s">
        <v>239</v>
      </c>
      <c r="B57" s="199">
        <v>53044000</v>
      </c>
    </row>
    <row r="58" spans="1:3">
      <c r="A58" s="190" t="s">
        <v>240</v>
      </c>
      <c r="B58" s="196"/>
      <c r="C58" s="196">
        <f>B57</f>
        <v>53044000</v>
      </c>
    </row>
    <row r="59" spans="1:3">
      <c r="A59" s="192"/>
      <c r="B59" s="196"/>
      <c r="C59" s="196"/>
    </row>
    <row r="60" spans="1:3">
      <c r="A60" s="13" t="s">
        <v>27</v>
      </c>
    </row>
    <row r="61" spans="1:3" ht="16.5" thickBot="1">
      <c r="A61" s="12" t="s">
        <v>168</v>
      </c>
      <c r="B61" s="199">
        <v>30699000</v>
      </c>
    </row>
    <row r="62" spans="1:3">
      <c r="A62" s="13" t="s">
        <v>169</v>
      </c>
      <c r="C62" s="196">
        <f>+B61</f>
        <v>30699000</v>
      </c>
    </row>
    <row r="63" spans="1:3">
      <c r="A63" s="192"/>
      <c r="B63" s="196"/>
      <c r="C63" s="196"/>
    </row>
    <row r="64" spans="1:3">
      <c r="A64" s="13" t="s">
        <v>170</v>
      </c>
    </row>
    <row r="65" spans="1:3" ht="16.5" thickBot="1">
      <c r="A65" s="12" t="s">
        <v>172</v>
      </c>
      <c r="B65" s="199">
        <v>1064000</v>
      </c>
    </row>
    <row r="66" spans="1:3" ht="17.25" customHeight="1">
      <c r="A66" s="480" t="s">
        <v>220</v>
      </c>
      <c r="B66" s="481"/>
      <c r="C66" s="196">
        <f>SUM(B65:B65)</f>
        <v>1064000</v>
      </c>
    </row>
    <row r="67" spans="1:3" ht="9" customHeight="1">
      <c r="A67" s="13"/>
      <c r="C67" s="196"/>
    </row>
    <row r="68" spans="1:3">
      <c r="A68" s="13" t="s">
        <v>178</v>
      </c>
    </row>
    <row r="69" spans="1:3">
      <c r="A69" s="12" t="s">
        <v>241</v>
      </c>
      <c r="B69" s="197">
        <v>15120000</v>
      </c>
    </row>
    <row r="70" spans="1:3" ht="16.5" thickBot="1">
      <c r="A70" s="12" t="s">
        <v>179</v>
      </c>
      <c r="B70" s="199">
        <v>165594000</v>
      </c>
    </row>
    <row r="71" spans="1:3">
      <c r="A71" s="13" t="s">
        <v>180</v>
      </c>
      <c r="C71" s="196">
        <f>+B70+B69</f>
        <v>180714000</v>
      </c>
    </row>
    <row r="72" spans="1:3">
      <c r="A72" s="13"/>
      <c r="C72" s="196"/>
    </row>
    <row r="73" spans="1:3">
      <c r="A73" s="13" t="s">
        <v>181</v>
      </c>
    </row>
    <row r="74" spans="1:3" ht="16.5" thickBot="1">
      <c r="A74" s="12" t="s">
        <v>182</v>
      </c>
      <c r="B74" s="199">
        <f>'ER 2017'!B83</f>
        <v>16267000.000000002</v>
      </c>
    </row>
    <row r="75" spans="1:3">
      <c r="A75" s="13" t="s">
        <v>183</v>
      </c>
      <c r="C75" s="196">
        <f>+B74</f>
        <v>16267000.000000002</v>
      </c>
    </row>
    <row r="76" spans="1:3">
      <c r="A76" s="13"/>
      <c r="C76" s="196"/>
    </row>
    <row r="77" spans="1:3" s="9" customFormat="1" ht="16.5" thickBot="1">
      <c r="A77" s="482" t="s">
        <v>184</v>
      </c>
      <c r="B77" s="483"/>
      <c r="C77" s="348">
        <f>+C71+C66+C62+C58+C75</f>
        <v>281788000</v>
      </c>
    </row>
    <row r="78" spans="1:3" s="9" customFormat="1">
      <c r="A78" s="13"/>
      <c r="B78" s="196"/>
      <c r="C78" s="196"/>
    </row>
    <row r="79" spans="1:3">
      <c r="A79" s="455" t="s">
        <v>185</v>
      </c>
      <c r="B79" s="455"/>
      <c r="C79" s="455"/>
    </row>
    <row r="80" spans="1:3">
      <c r="A80" s="13" t="s">
        <v>186</v>
      </c>
    </row>
    <row r="81" spans="1:6" ht="16.5" thickBot="1">
      <c r="A81" s="12" t="s">
        <v>187</v>
      </c>
      <c r="B81" s="199">
        <v>620000000</v>
      </c>
    </row>
    <row r="82" spans="1:6">
      <c r="A82" s="13" t="s">
        <v>188</v>
      </c>
      <c r="C82" s="196">
        <f>+B81</f>
        <v>620000000</v>
      </c>
    </row>
    <row r="83" spans="1:6">
      <c r="A83" s="13"/>
      <c r="C83" s="196"/>
    </row>
    <row r="84" spans="1:6">
      <c r="A84" s="13" t="s">
        <v>189</v>
      </c>
    </row>
    <row r="85" spans="1:6" ht="16.5" thickBot="1">
      <c r="A85" s="12" t="s">
        <v>190</v>
      </c>
      <c r="B85" s="199">
        <f>+'ESF 2016'!B87+(' ER 2016'!C72*10%)-300</f>
        <v>7696000</v>
      </c>
    </row>
    <row r="86" spans="1:6">
      <c r="A86" s="13" t="s">
        <v>191</v>
      </c>
      <c r="C86" s="196">
        <f>+B85</f>
        <v>7696000</v>
      </c>
      <c r="E86" s="113"/>
    </row>
    <row r="87" spans="1:6">
      <c r="A87" s="13"/>
      <c r="C87" s="196"/>
      <c r="E87" s="113"/>
      <c r="F87" s="108"/>
    </row>
    <row r="88" spans="1:6">
      <c r="A88" s="13" t="s">
        <v>36</v>
      </c>
      <c r="E88" s="113"/>
    </row>
    <row r="89" spans="1:6" ht="16.5" thickBot="1">
      <c r="A89" s="12" t="s">
        <v>192</v>
      </c>
      <c r="B89" s="199">
        <f>+'ER 2017'!C86</f>
        <v>31577000</v>
      </c>
    </row>
    <row r="90" spans="1:6">
      <c r="A90" s="13" t="s">
        <v>193</v>
      </c>
      <c r="C90" s="196">
        <f>+B89</f>
        <v>31577000</v>
      </c>
    </row>
    <row r="91" spans="1:6">
      <c r="A91" s="13"/>
      <c r="C91" s="196"/>
      <c r="D91" s="113"/>
    </row>
    <row r="92" spans="1:6">
      <c r="A92" s="13" t="s">
        <v>194</v>
      </c>
      <c r="D92" s="113"/>
    </row>
    <row r="93" spans="1:6" ht="16.5" thickBot="1">
      <c r="A93" s="12" t="s">
        <v>195</v>
      </c>
      <c r="B93" s="199">
        <f>+'ESF 2016'!B95+21378000</f>
        <v>69269000</v>
      </c>
      <c r="D93" s="113"/>
    </row>
    <row r="94" spans="1:6">
      <c r="A94" s="13" t="s">
        <v>196</v>
      </c>
      <c r="C94" s="196">
        <f>+B93</f>
        <v>69269000</v>
      </c>
      <c r="D94" s="113"/>
      <c r="E94" s="108"/>
    </row>
    <row r="95" spans="1:6">
      <c r="A95" s="13"/>
      <c r="C95" s="196"/>
      <c r="D95" s="113"/>
    </row>
    <row r="96" spans="1:6" s="9" customFormat="1" ht="16.5" thickBot="1">
      <c r="A96" s="349" t="s">
        <v>197</v>
      </c>
      <c r="B96" s="350"/>
      <c r="C96" s="350">
        <f>+C82+C90+C86+C94</f>
        <v>728542000</v>
      </c>
      <c r="D96" s="372"/>
    </row>
    <row r="98" spans="1:6" s="9" customFormat="1" ht="16.5" thickBot="1">
      <c r="A98" s="482" t="s">
        <v>198</v>
      </c>
      <c r="B98" s="483"/>
      <c r="C98" s="348">
        <f>+C77+C96</f>
        <v>1010330000</v>
      </c>
      <c r="D98" s="128">
        <f>C47-C98</f>
        <v>0</v>
      </c>
      <c r="F98" s="129"/>
    </row>
    <row r="99" spans="1:6" s="9" customFormat="1">
      <c r="A99" s="13"/>
      <c r="B99" s="196"/>
      <c r="C99" s="196"/>
    </row>
    <row r="100" spans="1:6" s="9" customFormat="1">
      <c r="A100" s="13"/>
      <c r="B100" s="196"/>
      <c r="C100" s="196"/>
    </row>
    <row r="101" spans="1:6" s="9" customFormat="1">
      <c r="A101" s="13"/>
      <c r="B101" s="196"/>
      <c r="C101" s="196"/>
    </row>
    <row r="102" spans="1:6" s="9" customFormat="1">
      <c r="A102" s="193" t="s">
        <v>130</v>
      </c>
      <c r="B102" s="478" t="s">
        <v>131</v>
      </c>
      <c r="C102" s="478"/>
    </row>
    <row r="103" spans="1:6">
      <c r="A103" s="194" t="s">
        <v>132</v>
      </c>
      <c r="B103" s="488" t="s">
        <v>133</v>
      </c>
      <c r="C103" s="488"/>
    </row>
    <row r="104" spans="1:6">
      <c r="A104" s="195" t="s">
        <v>251</v>
      </c>
      <c r="B104" s="478" t="s">
        <v>134</v>
      </c>
      <c r="C104" s="478"/>
    </row>
  </sheetData>
  <mergeCells count="24">
    <mergeCell ref="A9:C9"/>
    <mergeCell ref="A21:B21"/>
    <mergeCell ref="A24:C24"/>
    <mergeCell ref="A79:C79"/>
    <mergeCell ref="B103:C103"/>
    <mergeCell ref="B104:C104"/>
    <mergeCell ref="A23:C23"/>
    <mergeCell ref="A55:C55"/>
    <mergeCell ref="A49:C49"/>
    <mergeCell ref="A50:C50"/>
    <mergeCell ref="A52:C52"/>
    <mergeCell ref="A53:C53"/>
    <mergeCell ref="B102:C102"/>
    <mergeCell ref="A66:B66"/>
    <mergeCell ref="A77:B77"/>
    <mergeCell ref="A98:B98"/>
    <mergeCell ref="A47:B47"/>
    <mergeCell ref="A45:B45"/>
    <mergeCell ref="A8:C8"/>
    <mergeCell ref="A1:C1"/>
    <mergeCell ref="A2:C2"/>
    <mergeCell ref="A4:C4"/>
    <mergeCell ref="A5:C5"/>
    <mergeCell ref="A7:C7"/>
  </mergeCells>
  <pageMargins left="0.7" right="0.7" top="0.75" bottom="0.75" header="0.3" footer="0.3"/>
  <pageSetup scale="78" orientation="portrait" r:id="rId1"/>
  <rowBreaks count="2" manualBreakCount="2">
    <brk id="48" max="16383" man="1"/>
    <brk id="10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zoomScaleNormal="100" workbookViewId="0">
      <selection activeCell="B29" sqref="B29"/>
    </sheetView>
  </sheetViews>
  <sheetFormatPr baseColWidth="10" defaultColWidth="10.7109375" defaultRowHeight="15.75"/>
  <cols>
    <col min="1" max="1" width="58.85546875" style="3" customWidth="1"/>
    <col min="2" max="2" width="17.5703125" style="132" customWidth="1"/>
    <col min="3" max="3" width="18" style="132" customWidth="1"/>
    <col min="4" max="4" width="15.28515625" style="4" bestFit="1" customWidth="1"/>
    <col min="5" max="5" width="16.5703125" style="2" bestFit="1" customWidth="1"/>
    <col min="6" max="6" width="19" style="3" customWidth="1"/>
    <col min="7" max="8" width="12.85546875" style="3" bestFit="1" customWidth="1"/>
    <col min="9" max="256" width="11.42578125" style="3"/>
    <col min="257" max="257" width="58.85546875" style="3" customWidth="1"/>
    <col min="258" max="258" width="15.7109375" style="3" customWidth="1"/>
    <col min="259" max="259" width="16.5703125" style="3" customWidth="1"/>
    <col min="260" max="260" width="15.28515625" style="3" bestFit="1" customWidth="1"/>
    <col min="261" max="261" width="16.5703125" style="3" bestFit="1" customWidth="1"/>
    <col min="262" max="262" width="19" style="3" customWidth="1"/>
    <col min="263" max="264" width="12.85546875" style="3" bestFit="1" customWidth="1"/>
    <col min="265" max="512" width="11.42578125" style="3"/>
    <col min="513" max="513" width="58.85546875" style="3" customWidth="1"/>
    <col min="514" max="514" width="15.7109375" style="3" customWidth="1"/>
    <col min="515" max="515" width="16.5703125" style="3" customWidth="1"/>
    <col min="516" max="516" width="15.28515625" style="3" bestFit="1" customWidth="1"/>
    <col min="517" max="517" width="16.5703125" style="3" bestFit="1" customWidth="1"/>
    <col min="518" max="518" width="19" style="3" customWidth="1"/>
    <col min="519" max="520" width="12.85546875" style="3" bestFit="1" customWidth="1"/>
    <col min="521" max="768" width="11.42578125" style="3"/>
    <col min="769" max="769" width="58.85546875" style="3" customWidth="1"/>
    <col min="770" max="770" width="15.7109375" style="3" customWidth="1"/>
    <col min="771" max="771" width="16.5703125" style="3" customWidth="1"/>
    <col min="772" max="772" width="15.28515625" style="3" bestFit="1" customWidth="1"/>
    <col min="773" max="773" width="16.5703125" style="3" bestFit="1" customWidth="1"/>
    <col min="774" max="774" width="19" style="3" customWidth="1"/>
    <col min="775" max="776" width="12.85546875" style="3" bestFit="1" customWidth="1"/>
    <col min="777" max="1024" width="11.42578125" style="3"/>
    <col min="1025" max="1025" width="58.85546875" style="3" customWidth="1"/>
    <col min="1026" max="1026" width="15.7109375" style="3" customWidth="1"/>
    <col min="1027" max="1027" width="16.5703125" style="3" customWidth="1"/>
    <col min="1028" max="1028" width="15.28515625" style="3" bestFit="1" customWidth="1"/>
    <col min="1029" max="1029" width="16.5703125" style="3" bestFit="1" customWidth="1"/>
    <col min="1030" max="1030" width="19" style="3" customWidth="1"/>
    <col min="1031" max="1032" width="12.85546875" style="3" bestFit="1" customWidth="1"/>
    <col min="1033" max="1280" width="11.42578125" style="3"/>
    <col min="1281" max="1281" width="58.85546875" style="3" customWidth="1"/>
    <col min="1282" max="1282" width="15.7109375" style="3" customWidth="1"/>
    <col min="1283" max="1283" width="16.5703125" style="3" customWidth="1"/>
    <col min="1284" max="1284" width="15.28515625" style="3" bestFit="1" customWidth="1"/>
    <col min="1285" max="1285" width="16.5703125" style="3" bestFit="1" customWidth="1"/>
    <col min="1286" max="1286" width="19" style="3" customWidth="1"/>
    <col min="1287" max="1288" width="12.85546875" style="3" bestFit="1" customWidth="1"/>
    <col min="1289" max="1536" width="11.42578125" style="3"/>
    <col min="1537" max="1537" width="58.85546875" style="3" customWidth="1"/>
    <col min="1538" max="1538" width="15.7109375" style="3" customWidth="1"/>
    <col min="1539" max="1539" width="16.5703125" style="3" customWidth="1"/>
    <col min="1540" max="1540" width="15.28515625" style="3" bestFit="1" customWidth="1"/>
    <col min="1541" max="1541" width="16.5703125" style="3" bestFit="1" customWidth="1"/>
    <col min="1542" max="1542" width="19" style="3" customWidth="1"/>
    <col min="1543" max="1544" width="12.85546875" style="3" bestFit="1" customWidth="1"/>
    <col min="1545" max="1792" width="11.42578125" style="3"/>
    <col min="1793" max="1793" width="58.85546875" style="3" customWidth="1"/>
    <col min="1794" max="1794" width="15.7109375" style="3" customWidth="1"/>
    <col min="1795" max="1795" width="16.5703125" style="3" customWidth="1"/>
    <col min="1796" max="1796" width="15.28515625" style="3" bestFit="1" customWidth="1"/>
    <col min="1797" max="1797" width="16.5703125" style="3" bestFit="1" customWidth="1"/>
    <col min="1798" max="1798" width="19" style="3" customWidth="1"/>
    <col min="1799" max="1800" width="12.85546875" style="3" bestFit="1" customWidth="1"/>
    <col min="1801" max="2048" width="11.42578125" style="3"/>
    <col min="2049" max="2049" width="58.85546875" style="3" customWidth="1"/>
    <col min="2050" max="2050" width="15.7109375" style="3" customWidth="1"/>
    <col min="2051" max="2051" width="16.5703125" style="3" customWidth="1"/>
    <col min="2052" max="2052" width="15.28515625" style="3" bestFit="1" customWidth="1"/>
    <col min="2053" max="2053" width="16.5703125" style="3" bestFit="1" customWidth="1"/>
    <col min="2054" max="2054" width="19" style="3" customWidth="1"/>
    <col min="2055" max="2056" width="12.85546875" style="3" bestFit="1" customWidth="1"/>
    <col min="2057" max="2304" width="11.42578125" style="3"/>
    <col min="2305" max="2305" width="58.85546875" style="3" customWidth="1"/>
    <col min="2306" max="2306" width="15.7109375" style="3" customWidth="1"/>
    <col min="2307" max="2307" width="16.5703125" style="3" customWidth="1"/>
    <col min="2308" max="2308" width="15.28515625" style="3" bestFit="1" customWidth="1"/>
    <col min="2309" max="2309" width="16.5703125" style="3" bestFit="1" customWidth="1"/>
    <col min="2310" max="2310" width="19" style="3" customWidth="1"/>
    <col min="2311" max="2312" width="12.85546875" style="3" bestFit="1" customWidth="1"/>
    <col min="2313" max="2560" width="11.42578125" style="3"/>
    <col min="2561" max="2561" width="58.85546875" style="3" customWidth="1"/>
    <col min="2562" max="2562" width="15.7109375" style="3" customWidth="1"/>
    <col min="2563" max="2563" width="16.5703125" style="3" customWidth="1"/>
    <col min="2564" max="2564" width="15.28515625" style="3" bestFit="1" customWidth="1"/>
    <col min="2565" max="2565" width="16.5703125" style="3" bestFit="1" customWidth="1"/>
    <col min="2566" max="2566" width="19" style="3" customWidth="1"/>
    <col min="2567" max="2568" width="12.85546875" style="3" bestFit="1" customWidth="1"/>
    <col min="2569" max="2816" width="11.42578125" style="3"/>
    <col min="2817" max="2817" width="58.85546875" style="3" customWidth="1"/>
    <col min="2818" max="2818" width="15.7109375" style="3" customWidth="1"/>
    <col min="2819" max="2819" width="16.5703125" style="3" customWidth="1"/>
    <col min="2820" max="2820" width="15.28515625" style="3" bestFit="1" customWidth="1"/>
    <col min="2821" max="2821" width="16.5703125" style="3" bestFit="1" customWidth="1"/>
    <col min="2822" max="2822" width="19" style="3" customWidth="1"/>
    <col min="2823" max="2824" width="12.85546875" style="3" bestFit="1" customWidth="1"/>
    <col min="2825" max="3072" width="11.42578125" style="3"/>
    <col min="3073" max="3073" width="58.85546875" style="3" customWidth="1"/>
    <col min="3074" max="3074" width="15.7109375" style="3" customWidth="1"/>
    <col min="3075" max="3075" width="16.5703125" style="3" customWidth="1"/>
    <col min="3076" max="3076" width="15.28515625" style="3" bestFit="1" customWidth="1"/>
    <col min="3077" max="3077" width="16.5703125" style="3" bestFit="1" customWidth="1"/>
    <col min="3078" max="3078" width="19" style="3" customWidth="1"/>
    <col min="3079" max="3080" width="12.85546875" style="3" bestFit="1" customWidth="1"/>
    <col min="3081" max="3328" width="11.42578125" style="3"/>
    <col min="3329" max="3329" width="58.85546875" style="3" customWidth="1"/>
    <col min="3330" max="3330" width="15.7109375" style="3" customWidth="1"/>
    <col min="3331" max="3331" width="16.5703125" style="3" customWidth="1"/>
    <col min="3332" max="3332" width="15.28515625" style="3" bestFit="1" customWidth="1"/>
    <col min="3333" max="3333" width="16.5703125" style="3" bestFit="1" customWidth="1"/>
    <col min="3334" max="3334" width="19" style="3" customWidth="1"/>
    <col min="3335" max="3336" width="12.85546875" style="3" bestFit="1" customWidth="1"/>
    <col min="3337" max="3584" width="11.42578125" style="3"/>
    <col min="3585" max="3585" width="58.85546875" style="3" customWidth="1"/>
    <col min="3586" max="3586" width="15.7109375" style="3" customWidth="1"/>
    <col min="3587" max="3587" width="16.5703125" style="3" customWidth="1"/>
    <col min="3588" max="3588" width="15.28515625" style="3" bestFit="1" customWidth="1"/>
    <col min="3589" max="3589" width="16.5703125" style="3" bestFit="1" customWidth="1"/>
    <col min="3590" max="3590" width="19" style="3" customWidth="1"/>
    <col min="3591" max="3592" width="12.85546875" style="3" bestFit="1" customWidth="1"/>
    <col min="3593" max="3840" width="11.42578125" style="3"/>
    <col min="3841" max="3841" width="58.85546875" style="3" customWidth="1"/>
    <col min="3842" max="3842" width="15.7109375" style="3" customWidth="1"/>
    <col min="3843" max="3843" width="16.5703125" style="3" customWidth="1"/>
    <col min="3844" max="3844" width="15.28515625" style="3" bestFit="1" customWidth="1"/>
    <col min="3845" max="3845" width="16.5703125" style="3" bestFit="1" customWidth="1"/>
    <col min="3846" max="3846" width="19" style="3" customWidth="1"/>
    <col min="3847" max="3848" width="12.85546875" style="3" bestFit="1" customWidth="1"/>
    <col min="3849" max="4096" width="11.42578125" style="3"/>
    <col min="4097" max="4097" width="58.85546875" style="3" customWidth="1"/>
    <col min="4098" max="4098" width="15.7109375" style="3" customWidth="1"/>
    <col min="4099" max="4099" width="16.5703125" style="3" customWidth="1"/>
    <col min="4100" max="4100" width="15.28515625" style="3" bestFit="1" customWidth="1"/>
    <col min="4101" max="4101" width="16.5703125" style="3" bestFit="1" customWidth="1"/>
    <col min="4102" max="4102" width="19" style="3" customWidth="1"/>
    <col min="4103" max="4104" width="12.85546875" style="3" bestFit="1" customWidth="1"/>
    <col min="4105" max="4352" width="11.42578125" style="3"/>
    <col min="4353" max="4353" width="58.85546875" style="3" customWidth="1"/>
    <col min="4354" max="4354" width="15.7109375" style="3" customWidth="1"/>
    <col min="4355" max="4355" width="16.5703125" style="3" customWidth="1"/>
    <col min="4356" max="4356" width="15.28515625" style="3" bestFit="1" customWidth="1"/>
    <col min="4357" max="4357" width="16.5703125" style="3" bestFit="1" customWidth="1"/>
    <col min="4358" max="4358" width="19" style="3" customWidth="1"/>
    <col min="4359" max="4360" width="12.85546875" style="3" bestFit="1" customWidth="1"/>
    <col min="4361" max="4608" width="11.42578125" style="3"/>
    <col min="4609" max="4609" width="58.85546875" style="3" customWidth="1"/>
    <col min="4610" max="4610" width="15.7109375" style="3" customWidth="1"/>
    <col min="4611" max="4611" width="16.5703125" style="3" customWidth="1"/>
    <col min="4612" max="4612" width="15.28515625" style="3" bestFit="1" customWidth="1"/>
    <col min="4613" max="4613" width="16.5703125" style="3" bestFit="1" customWidth="1"/>
    <col min="4614" max="4614" width="19" style="3" customWidth="1"/>
    <col min="4615" max="4616" width="12.85546875" style="3" bestFit="1" customWidth="1"/>
    <col min="4617" max="4864" width="11.42578125" style="3"/>
    <col min="4865" max="4865" width="58.85546875" style="3" customWidth="1"/>
    <col min="4866" max="4866" width="15.7109375" style="3" customWidth="1"/>
    <col min="4867" max="4867" width="16.5703125" style="3" customWidth="1"/>
    <col min="4868" max="4868" width="15.28515625" style="3" bestFit="1" customWidth="1"/>
    <col min="4869" max="4869" width="16.5703125" style="3" bestFit="1" customWidth="1"/>
    <col min="4870" max="4870" width="19" style="3" customWidth="1"/>
    <col min="4871" max="4872" width="12.85546875" style="3" bestFit="1" customWidth="1"/>
    <col min="4873" max="5120" width="11.42578125" style="3"/>
    <col min="5121" max="5121" width="58.85546875" style="3" customWidth="1"/>
    <col min="5122" max="5122" width="15.7109375" style="3" customWidth="1"/>
    <col min="5123" max="5123" width="16.5703125" style="3" customWidth="1"/>
    <col min="5124" max="5124" width="15.28515625" style="3" bestFit="1" customWidth="1"/>
    <col min="5125" max="5125" width="16.5703125" style="3" bestFit="1" customWidth="1"/>
    <col min="5126" max="5126" width="19" style="3" customWidth="1"/>
    <col min="5127" max="5128" width="12.85546875" style="3" bestFit="1" customWidth="1"/>
    <col min="5129" max="5376" width="11.42578125" style="3"/>
    <col min="5377" max="5377" width="58.85546875" style="3" customWidth="1"/>
    <col min="5378" max="5378" width="15.7109375" style="3" customWidth="1"/>
    <col min="5379" max="5379" width="16.5703125" style="3" customWidth="1"/>
    <col min="5380" max="5380" width="15.28515625" style="3" bestFit="1" customWidth="1"/>
    <col min="5381" max="5381" width="16.5703125" style="3" bestFit="1" customWidth="1"/>
    <col min="5382" max="5382" width="19" style="3" customWidth="1"/>
    <col min="5383" max="5384" width="12.85546875" style="3" bestFit="1" customWidth="1"/>
    <col min="5385" max="5632" width="11.42578125" style="3"/>
    <col min="5633" max="5633" width="58.85546875" style="3" customWidth="1"/>
    <col min="5634" max="5634" width="15.7109375" style="3" customWidth="1"/>
    <col min="5635" max="5635" width="16.5703125" style="3" customWidth="1"/>
    <col min="5636" max="5636" width="15.28515625" style="3" bestFit="1" customWidth="1"/>
    <col min="5637" max="5637" width="16.5703125" style="3" bestFit="1" customWidth="1"/>
    <col min="5638" max="5638" width="19" style="3" customWidth="1"/>
    <col min="5639" max="5640" width="12.85546875" style="3" bestFit="1" customWidth="1"/>
    <col min="5641" max="5888" width="11.42578125" style="3"/>
    <col min="5889" max="5889" width="58.85546875" style="3" customWidth="1"/>
    <col min="5890" max="5890" width="15.7109375" style="3" customWidth="1"/>
    <col min="5891" max="5891" width="16.5703125" style="3" customWidth="1"/>
    <col min="5892" max="5892" width="15.28515625" style="3" bestFit="1" customWidth="1"/>
    <col min="5893" max="5893" width="16.5703125" style="3" bestFit="1" customWidth="1"/>
    <col min="5894" max="5894" width="19" style="3" customWidth="1"/>
    <col min="5895" max="5896" width="12.85546875" style="3" bestFit="1" customWidth="1"/>
    <col min="5897" max="6144" width="11.42578125" style="3"/>
    <col min="6145" max="6145" width="58.85546875" style="3" customWidth="1"/>
    <col min="6146" max="6146" width="15.7109375" style="3" customWidth="1"/>
    <col min="6147" max="6147" width="16.5703125" style="3" customWidth="1"/>
    <col min="6148" max="6148" width="15.28515625" style="3" bestFit="1" customWidth="1"/>
    <col min="6149" max="6149" width="16.5703125" style="3" bestFit="1" customWidth="1"/>
    <col min="6150" max="6150" width="19" style="3" customWidth="1"/>
    <col min="6151" max="6152" width="12.85546875" style="3" bestFit="1" customWidth="1"/>
    <col min="6153" max="6400" width="11.42578125" style="3"/>
    <col min="6401" max="6401" width="58.85546875" style="3" customWidth="1"/>
    <col min="6402" max="6402" width="15.7109375" style="3" customWidth="1"/>
    <col min="6403" max="6403" width="16.5703125" style="3" customWidth="1"/>
    <col min="6404" max="6404" width="15.28515625" style="3" bestFit="1" customWidth="1"/>
    <col min="6405" max="6405" width="16.5703125" style="3" bestFit="1" customWidth="1"/>
    <col min="6406" max="6406" width="19" style="3" customWidth="1"/>
    <col min="6407" max="6408" width="12.85546875" style="3" bestFit="1" customWidth="1"/>
    <col min="6409" max="6656" width="11.42578125" style="3"/>
    <col min="6657" max="6657" width="58.85546875" style="3" customWidth="1"/>
    <col min="6658" max="6658" width="15.7109375" style="3" customWidth="1"/>
    <col min="6659" max="6659" width="16.5703125" style="3" customWidth="1"/>
    <col min="6660" max="6660" width="15.28515625" style="3" bestFit="1" customWidth="1"/>
    <col min="6661" max="6661" width="16.5703125" style="3" bestFit="1" customWidth="1"/>
    <col min="6662" max="6662" width="19" style="3" customWidth="1"/>
    <col min="6663" max="6664" width="12.85546875" style="3" bestFit="1" customWidth="1"/>
    <col min="6665" max="6912" width="11.42578125" style="3"/>
    <col min="6913" max="6913" width="58.85546875" style="3" customWidth="1"/>
    <col min="6914" max="6914" width="15.7109375" style="3" customWidth="1"/>
    <col min="6915" max="6915" width="16.5703125" style="3" customWidth="1"/>
    <col min="6916" max="6916" width="15.28515625" style="3" bestFit="1" customWidth="1"/>
    <col min="6917" max="6917" width="16.5703125" style="3" bestFit="1" customWidth="1"/>
    <col min="6918" max="6918" width="19" style="3" customWidth="1"/>
    <col min="6919" max="6920" width="12.85546875" style="3" bestFit="1" customWidth="1"/>
    <col min="6921" max="7168" width="11.42578125" style="3"/>
    <col min="7169" max="7169" width="58.85546875" style="3" customWidth="1"/>
    <col min="7170" max="7170" width="15.7109375" style="3" customWidth="1"/>
    <col min="7171" max="7171" width="16.5703125" style="3" customWidth="1"/>
    <col min="7172" max="7172" width="15.28515625" style="3" bestFit="1" customWidth="1"/>
    <col min="7173" max="7173" width="16.5703125" style="3" bestFit="1" customWidth="1"/>
    <col min="7174" max="7174" width="19" style="3" customWidth="1"/>
    <col min="7175" max="7176" width="12.85546875" style="3" bestFit="1" customWidth="1"/>
    <col min="7177" max="7424" width="11.42578125" style="3"/>
    <col min="7425" max="7425" width="58.85546875" style="3" customWidth="1"/>
    <col min="7426" max="7426" width="15.7109375" style="3" customWidth="1"/>
    <col min="7427" max="7427" width="16.5703125" style="3" customWidth="1"/>
    <col min="7428" max="7428" width="15.28515625" style="3" bestFit="1" customWidth="1"/>
    <col min="7429" max="7429" width="16.5703125" style="3" bestFit="1" customWidth="1"/>
    <col min="7430" max="7430" width="19" style="3" customWidth="1"/>
    <col min="7431" max="7432" width="12.85546875" style="3" bestFit="1" customWidth="1"/>
    <col min="7433" max="7680" width="11.42578125" style="3"/>
    <col min="7681" max="7681" width="58.85546875" style="3" customWidth="1"/>
    <col min="7682" max="7682" width="15.7109375" style="3" customWidth="1"/>
    <col min="7683" max="7683" width="16.5703125" style="3" customWidth="1"/>
    <col min="7684" max="7684" width="15.28515625" style="3" bestFit="1" customWidth="1"/>
    <col min="7685" max="7685" width="16.5703125" style="3" bestFit="1" customWidth="1"/>
    <col min="7686" max="7686" width="19" style="3" customWidth="1"/>
    <col min="7687" max="7688" width="12.85546875" style="3" bestFit="1" customWidth="1"/>
    <col min="7689" max="7936" width="11.42578125" style="3"/>
    <col min="7937" max="7937" width="58.85546875" style="3" customWidth="1"/>
    <col min="7938" max="7938" width="15.7109375" style="3" customWidth="1"/>
    <col min="7939" max="7939" width="16.5703125" style="3" customWidth="1"/>
    <col min="7940" max="7940" width="15.28515625" style="3" bestFit="1" customWidth="1"/>
    <col min="7941" max="7941" width="16.5703125" style="3" bestFit="1" customWidth="1"/>
    <col min="7942" max="7942" width="19" style="3" customWidth="1"/>
    <col min="7943" max="7944" width="12.85546875" style="3" bestFit="1" customWidth="1"/>
    <col min="7945" max="8192" width="11.42578125" style="3"/>
    <col min="8193" max="8193" width="58.85546875" style="3" customWidth="1"/>
    <col min="8194" max="8194" width="15.7109375" style="3" customWidth="1"/>
    <col min="8195" max="8195" width="16.5703125" style="3" customWidth="1"/>
    <col min="8196" max="8196" width="15.28515625" style="3" bestFit="1" customWidth="1"/>
    <col min="8197" max="8197" width="16.5703125" style="3" bestFit="1" customWidth="1"/>
    <col min="8198" max="8198" width="19" style="3" customWidth="1"/>
    <col min="8199" max="8200" width="12.85546875" style="3" bestFit="1" customWidth="1"/>
    <col min="8201" max="8448" width="11.42578125" style="3"/>
    <col min="8449" max="8449" width="58.85546875" style="3" customWidth="1"/>
    <col min="8450" max="8450" width="15.7109375" style="3" customWidth="1"/>
    <col min="8451" max="8451" width="16.5703125" style="3" customWidth="1"/>
    <col min="8452" max="8452" width="15.28515625" style="3" bestFit="1" customWidth="1"/>
    <col min="8453" max="8453" width="16.5703125" style="3" bestFit="1" customWidth="1"/>
    <col min="8454" max="8454" width="19" style="3" customWidth="1"/>
    <col min="8455" max="8456" width="12.85546875" style="3" bestFit="1" customWidth="1"/>
    <col min="8457" max="8704" width="11.42578125" style="3"/>
    <col min="8705" max="8705" width="58.85546875" style="3" customWidth="1"/>
    <col min="8706" max="8706" width="15.7109375" style="3" customWidth="1"/>
    <col min="8707" max="8707" width="16.5703125" style="3" customWidth="1"/>
    <col min="8708" max="8708" width="15.28515625" style="3" bestFit="1" customWidth="1"/>
    <col min="8709" max="8709" width="16.5703125" style="3" bestFit="1" customWidth="1"/>
    <col min="8710" max="8710" width="19" style="3" customWidth="1"/>
    <col min="8711" max="8712" width="12.85546875" style="3" bestFit="1" customWidth="1"/>
    <col min="8713" max="8960" width="11.42578125" style="3"/>
    <col min="8961" max="8961" width="58.85546875" style="3" customWidth="1"/>
    <col min="8962" max="8962" width="15.7109375" style="3" customWidth="1"/>
    <col min="8963" max="8963" width="16.5703125" style="3" customWidth="1"/>
    <col min="8964" max="8964" width="15.28515625" style="3" bestFit="1" customWidth="1"/>
    <col min="8965" max="8965" width="16.5703125" style="3" bestFit="1" customWidth="1"/>
    <col min="8966" max="8966" width="19" style="3" customWidth="1"/>
    <col min="8967" max="8968" width="12.85546875" style="3" bestFit="1" customWidth="1"/>
    <col min="8969" max="9216" width="11.42578125" style="3"/>
    <col min="9217" max="9217" width="58.85546875" style="3" customWidth="1"/>
    <col min="9218" max="9218" width="15.7109375" style="3" customWidth="1"/>
    <col min="9219" max="9219" width="16.5703125" style="3" customWidth="1"/>
    <col min="9220" max="9220" width="15.28515625" style="3" bestFit="1" customWidth="1"/>
    <col min="9221" max="9221" width="16.5703125" style="3" bestFit="1" customWidth="1"/>
    <col min="9222" max="9222" width="19" style="3" customWidth="1"/>
    <col min="9223" max="9224" width="12.85546875" style="3" bestFit="1" customWidth="1"/>
    <col min="9225" max="9472" width="11.42578125" style="3"/>
    <col min="9473" max="9473" width="58.85546875" style="3" customWidth="1"/>
    <col min="9474" max="9474" width="15.7109375" style="3" customWidth="1"/>
    <col min="9475" max="9475" width="16.5703125" style="3" customWidth="1"/>
    <col min="9476" max="9476" width="15.28515625" style="3" bestFit="1" customWidth="1"/>
    <col min="9477" max="9477" width="16.5703125" style="3" bestFit="1" customWidth="1"/>
    <col min="9478" max="9478" width="19" style="3" customWidth="1"/>
    <col min="9479" max="9480" width="12.85546875" style="3" bestFit="1" customWidth="1"/>
    <col min="9481" max="9728" width="11.42578125" style="3"/>
    <col min="9729" max="9729" width="58.85546875" style="3" customWidth="1"/>
    <col min="9730" max="9730" width="15.7109375" style="3" customWidth="1"/>
    <col min="9731" max="9731" width="16.5703125" style="3" customWidth="1"/>
    <col min="9732" max="9732" width="15.28515625" style="3" bestFit="1" customWidth="1"/>
    <col min="9733" max="9733" width="16.5703125" style="3" bestFit="1" customWidth="1"/>
    <col min="9734" max="9734" width="19" style="3" customWidth="1"/>
    <col min="9735" max="9736" width="12.85546875" style="3" bestFit="1" customWidth="1"/>
    <col min="9737" max="9984" width="11.42578125" style="3"/>
    <col min="9985" max="9985" width="58.85546875" style="3" customWidth="1"/>
    <col min="9986" max="9986" width="15.7109375" style="3" customWidth="1"/>
    <col min="9987" max="9987" width="16.5703125" style="3" customWidth="1"/>
    <col min="9988" max="9988" width="15.28515625" style="3" bestFit="1" customWidth="1"/>
    <col min="9989" max="9989" width="16.5703125" style="3" bestFit="1" customWidth="1"/>
    <col min="9990" max="9990" width="19" style="3" customWidth="1"/>
    <col min="9991" max="9992" width="12.85546875" style="3" bestFit="1" customWidth="1"/>
    <col min="9993" max="10240" width="11.42578125" style="3"/>
    <col min="10241" max="10241" width="58.85546875" style="3" customWidth="1"/>
    <col min="10242" max="10242" width="15.7109375" style="3" customWidth="1"/>
    <col min="10243" max="10243" width="16.5703125" style="3" customWidth="1"/>
    <col min="10244" max="10244" width="15.28515625" style="3" bestFit="1" customWidth="1"/>
    <col min="10245" max="10245" width="16.5703125" style="3" bestFit="1" customWidth="1"/>
    <col min="10246" max="10246" width="19" style="3" customWidth="1"/>
    <col min="10247" max="10248" width="12.85546875" style="3" bestFit="1" customWidth="1"/>
    <col min="10249" max="10496" width="11.42578125" style="3"/>
    <col min="10497" max="10497" width="58.85546875" style="3" customWidth="1"/>
    <col min="10498" max="10498" width="15.7109375" style="3" customWidth="1"/>
    <col min="10499" max="10499" width="16.5703125" style="3" customWidth="1"/>
    <col min="10500" max="10500" width="15.28515625" style="3" bestFit="1" customWidth="1"/>
    <col min="10501" max="10501" width="16.5703125" style="3" bestFit="1" customWidth="1"/>
    <col min="10502" max="10502" width="19" style="3" customWidth="1"/>
    <col min="10503" max="10504" width="12.85546875" style="3" bestFit="1" customWidth="1"/>
    <col min="10505" max="10752" width="11.42578125" style="3"/>
    <col min="10753" max="10753" width="58.85546875" style="3" customWidth="1"/>
    <col min="10754" max="10754" width="15.7109375" style="3" customWidth="1"/>
    <col min="10755" max="10755" width="16.5703125" style="3" customWidth="1"/>
    <col min="10756" max="10756" width="15.28515625" style="3" bestFit="1" customWidth="1"/>
    <col min="10757" max="10757" width="16.5703125" style="3" bestFit="1" customWidth="1"/>
    <col min="10758" max="10758" width="19" style="3" customWidth="1"/>
    <col min="10759" max="10760" width="12.85546875" style="3" bestFit="1" customWidth="1"/>
    <col min="10761" max="11008" width="11.42578125" style="3"/>
    <col min="11009" max="11009" width="58.85546875" style="3" customWidth="1"/>
    <col min="11010" max="11010" width="15.7109375" style="3" customWidth="1"/>
    <col min="11011" max="11011" width="16.5703125" style="3" customWidth="1"/>
    <col min="11012" max="11012" width="15.28515625" style="3" bestFit="1" customWidth="1"/>
    <col min="11013" max="11013" width="16.5703125" style="3" bestFit="1" customWidth="1"/>
    <col min="11014" max="11014" width="19" style="3" customWidth="1"/>
    <col min="11015" max="11016" width="12.85546875" style="3" bestFit="1" customWidth="1"/>
    <col min="11017" max="11264" width="11.42578125" style="3"/>
    <col min="11265" max="11265" width="58.85546875" style="3" customWidth="1"/>
    <col min="11266" max="11266" width="15.7109375" style="3" customWidth="1"/>
    <col min="11267" max="11267" width="16.5703125" style="3" customWidth="1"/>
    <col min="11268" max="11268" width="15.28515625" style="3" bestFit="1" customWidth="1"/>
    <col min="11269" max="11269" width="16.5703125" style="3" bestFit="1" customWidth="1"/>
    <col min="11270" max="11270" width="19" style="3" customWidth="1"/>
    <col min="11271" max="11272" width="12.85546875" style="3" bestFit="1" customWidth="1"/>
    <col min="11273" max="11520" width="11.42578125" style="3"/>
    <col min="11521" max="11521" width="58.85546875" style="3" customWidth="1"/>
    <col min="11522" max="11522" width="15.7109375" style="3" customWidth="1"/>
    <col min="11523" max="11523" width="16.5703125" style="3" customWidth="1"/>
    <col min="11524" max="11524" width="15.28515625" style="3" bestFit="1" customWidth="1"/>
    <col min="11525" max="11525" width="16.5703125" style="3" bestFit="1" customWidth="1"/>
    <col min="11526" max="11526" width="19" style="3" customWidth="1"/>
    <col min="11527" max="11528" width="12.85546875" style="3" bestFit="1" customWidth="1"/>
    <col min="11529" max="11776" width="11.42578125" style="3"/>
    <col min="11777" max="11777" width="58.85546875" style="3" customWidth="1"/>
    <col min="11778" max="11778" width="15.7109375" style="3" customWidth="1"/>
    <col min="11779" max="11779" width="16.5703125" style="3" customWidth="1"/>
    <col min="11780" max="11780" width="15.28515625" style="3" bestFit="1" customWidth="1"/>
    <col min="11781" max="11781" width="16.5703125" style="3" bestFit="1" customWidth="1"/>
    <col min="11782" max="11782" width="19" style="3" customWidth="1"/>
    <col min="11783" max="11784" width="12.85546875" style="3" bestFit="1" customWidth="1"/>
    <col min="11785" max="12032" width="11.42578125" style="3"/>
    <col min="12033" max="12033" width="58.85546875" style="3" customWidth="1"/>
    <col min="12034" max="12034" width="15.7109375" style="3" customWidth="1"/>
    <col min="12035" max="12035" width="16.5703125" style="3" customWidth="1"/>
    <col min="12036" max="12036" width="15.28515625" style="3" bestFit="1" customWidth="1"/>
    <col min="12037" max="12037" width="16.5703125" style="3" bestFit="1" customWidth="1"/>
    <col min="12038" max="12038" width="19" style="3" customWidth="1"/>
    <col min="12039" max="12040" width="12.85546875" style="3" bestFit="1" customWidth="1"/>
    <col min="12041" max="12288" width="11.42578125" style="3"/>
    <col min="12289" max="12289" width="58.85546875" style="3" customWidth="1"/>
    <col min="12290" max="12290" width="15.7109375" style="3" customWidth="1"/>
    <col min="12291" max="12291" width="16.5703125" style="3" customWidth="1"/>
    <col min="12292" max="12292" width="15.28515625" style="3" bestFit="1" customWidth="1"/>
    <col min="12293" max="12293" width="16.5703125" style="3" bestFit="1" customWidth="1"/>
    <col min="12294" max="12294" width="19" style="3" customWidth="1"/>
    <col min="12295" max="12296" width="12.85546875" style="3" bestFit="1" customWidth="1"/>
    <col min="12297" max="12544" width="11.42578125" style="3"/>
    <col min="12545" max="12545" width="58.85546875" style="3" customWidth="1"/>
    <col min="12546" max="12546" width="15.7109375" style="3" customWidth="1"/>
    <col min="12547" max="12547" width="16.5703125" style="3" customWidth="1"/>
    <col min="12548" max="12548" width="15.28515625" style="3" bestFit="1" customWidth="1"/>
    <col min="12549" max="12549" width="16.5703125" style="3" bestFit="1" customWidth="1"/>
    <col min="12550" max="12550" width="19" style="3" customWidth="1"/>
    <col min="12551" max="12552" width="12.85546875" style="3" bestFit="1" customWidth="1"/>
    <col min="12553" max="12800" width="11.42578125" style="3"/>
    <col min="12801" max="12801" width="58.85546875" style="3" customWidth="1"/>
    <col min="12802" max="12802" width="15.7109375" style="3" customWidth="1"/>
    <col min="12803" max="12803" width="16.5703125" style="3" customWidth="1"/>
    <col min="12804" max="12804" width="15.28515625" style="3" bestFit="1" customWidth="1"/>
    <col min="12805" max="12805" width="16.5703125" style="3" bestFit="1" customWidth="1"/>
    <col min="12806" max="12806" width="19" style="3" customWidth="1"/>
    <col min="12807" max="12808" width="12.85546875" style="3" bestFit="1" customWidth="1"/>
    <col min="12809" max="13056" width="11.42578125" style="3"/>
    <col min="13057" max="13057" width="58.85546875" style="3" customWidth="1"/>
    <col min="13058" max="13058" width="15.7109375" style="3" customWidth="1"/>
    <col min="13059" max="13059" width="16.5703125" style="3" customWidth="1"/>
    <col min="13060" max="13060" width="15.28515625" style="3" bestFit="1" customWidth="1"/>
    <col min="13061" max="13061" width="16.5703125" style="3" bestFit="1" customWidth="1"/>
    <col min="13062" max="13062" width="19" style="3" customWidth="1"/>
    <col min="13063" max="13064" width="12.85546875" style="3" bestFit="1" customWidth="1"/>
    <col min="13065" max="13312" width="11.42578125" style="3"/>
    <col min="13313" max="13313" width="58.85546875" style="3" customWidth="1"/>
    <col min="13314" max="13314" width="15.7109375" style="3" customWidth="1"/>
    <col min="13315" max="13315" width="16.5703125" style="3" customWidth="1"/>
    <col min="13316" max="13316" width="15.28515625" style="3" bestFit="1" customWidth="1"/>
    <col min="13317" max="13317" width="16.5703125" style="3" bestFit="1" customWidth="1"/>
    <col min="13318" max="13318" width="19" style="3" customWidth="1"/>
    <col min="13319" max="13320" width="12.85546875" style="3" bestFit="1" customWidth="1"/>
    <col min="13321" max="13568" width="11.42578125" style="3"/>
    <col min="13569" max="13569" width="58.85546875" style="3" customWidth="1"/>
    <col min="13570" max="13570" width="15.7109375" style="3" customWidth="1"/>
    <col min="13571" max="13571" width="16.5703125" style="3" customWidth="1"/>
    <col min="13572" max="13572" width="15.28515625" style="3" bestFit="1" customWidth="1"/>
    <col min="13573" max="13573" width="16.5703125" style="3" bestFit="1" customWidth="1"/>
    <col min="13574" max="13574" width="19" style="3" customWidth="1"/>
    <col min="13575" max="13576" width="12.85546875" style="3" bestFit="1" customWidth="1"/>
    <col min="13577" max="13824" width="11.42578125" style="3"/>
    <col min="13825" max="13825" width="58.85546875" style="3" customWidth="1"/>
    <col min="13826" max="13826" width="15.7109375" style="3" customWidth="1"/>
    <col min="13827" max="13827" width="16.5703125" style="3" customWidth="1"/>
    <col min="13828" max="13828" width="15.28515625" style="3" bestFit="1" customWidth="1"/>
    <col min="13829" max="13829" width="16.5703125" style="3" bestFit="1" customWidth="1"/>
    <col min="13830" max="13830" width="19" style="3" customWidth="1"/>
    <col min="13831" max="13832" width="12.85546875" style="3" bestFit="1" customWidth="1"/>
    <col min="13833" max="14080" width="11.42578125" style="3"/>
    <col min="14081" max="14081" width="58.85546875" style="3" customWidth="1"/>
    <col min="14082" max="14082" width="15.7109375" style="3" customWidth="1"/>
    <col min="14083" max="14083" width="16.5703125" style="3" customWidth="1"/>
    <col min="14084" max="14084" width="15.28515625" style="3" bestFit="1" customWidth="1"/>
    <col min="14085" max="14085" width="16.5703125" style="3" bestFit="1" customWidth="1"/>
    <col min="14086" max="14086" width="19" style="3" customWidth="1"/>
    <col min="14087" max="14088" width="12.85546875" style="3" bestFit="1" customWidth="1"/>
    <col min="14089" max="14336" width="11.42578125" style="3"/>
    <col min="14337" max="14337" width="58.85546875" style="3" customWidth="1"/>
    <col min="14338" max="14338" width="15.7109375" style="3" customWidth="1"/>
    <col min="14339" max="14339" width="16.5703125" style="3" customWidth="1"/>
    <col min="14340" max="14340" width="15.28515625" style="3" bestFit="1" customWidth="1"/>
    <col min="14341" max="14341" width="16.5703125" style="3" bestFit="1" customWidth="1"/>
    <col min="14342" max="14342" width="19" style="3" customWidth="1"/>
    <col min="14343" max="14344" width="12.85546875" style="3" bestFit="1" customWidth="1"/>
    <col min="14345" max="14592" width="11.42578125" style="3"/>
    <col min="14593" max="14593" width="58.85546875" style="3" customWidth="1"/>
    <col min="14594" max="14594" width="15.7109375" style="3" customWidth="1"/>
    <col min="14595" max="14595" width="16.5703125" style="3" customWidth="1"/>
    <col min="14596" max="14596" width="15.28515625" style="3" bestFit="1" customWidth="1"/>
    <col min="14597" max="14597" width="16.5703125" style="3" bestFit="1" customWidth="1"/>
    <col min="14598" max="14598" width="19" style="3" customWidth="1"/>
    <col min="14599" max="14600" width="12.85546875" style="3" bestFit="1" customWidth="1"/>
    <col min="14601" max="14848" width="11.42578125" style="3"/>
    <col min="14849" max="14849" width="58.85546875" style="3" customWidth="1"/>
    <col min="14850" max="14850" width="15.7109375" style="3" customWidth="1"/>
    <col min="14851" max="14851" width="16.5703125" style="3" customWidth="1"/>
    <col min="14852" max="14852" width="15.28515625" style="3" bestFit="1" customWidth="1"/>
    <col min="14853" max="14853" width="16.5703125" style="3" bestFit="1" customWidth="1"/>
    <col min="14854" max="14854" width="19" style="3" customWidth="1"/>
    <col min="14855" max="14856" width="12.85546875" style="3" bestFit="1" customWidth="1"/>
    <col min="14857" max="15104" width="11.42578125" style="3"/>
    <col min="15105" max="15105" width="58.85546875" style="3" customWidth="1"/>
    <col min="15106" max="15106" width="15.7109375" style="3" customWidth="1"/>
    <col min="15107" max="15107" width="16.5703125" style="3" customWidth="1"/>
    <col min="15108" max="15108" width="15.28515625" style="3" bestFit="1" customWidth="1"/>
    <col min="15109" max="15109" width="16.5703125" style="3" bestFit="1" customWidth="1"/>
    <col min="15110" max="15110" width="19" style="3" customWidth="1"/>
    <col min="15111" max="15112" width="12.85546875" style="3" bestFit="1" customWidth="1"/>
    <col min="15113" max="15360" width="11.42578125" style="3"/>
    <col min="15361" max="15361" width="58.85546875" style="3" customWidth="1"/>
    <col min="15362" max="15362" width="15.7109375" style="3" customWidth="1"/>
    <col min="15363" max="15363" width="16.5703125" style="3" customWidth="1"/>
    <col min="15364" max="15364" width="15.28515625" style="3" bestFit="1" customWidth="1"/>
    <col min="15365" max="15365" width="16.5703125" style="3" bestFit="1" customWidth="1"/>
    <col min="15366" max="15366" width="19" style="3" customWidth="1"/>
    <col min="15367" max="15368" width="12.85546875" style="3" bestFit="1" customWidth="1"/>
    <col min="15369" max="15616" width="11.42578125" style="3"/>
    <col min="15617" max="15617" width="58.85546875" style="3" customWidth="1"/>
    <col min="15618" max="15618" width="15.7109375" style="3" customWidth="1"/>
    <col min="15619" max="15619" width="16.5703125" style="3" customWidth="1"/>
    <col min="15620" max="15620" width="15.28515625" style="3" bestFit="1" customWidth="1"/>
    <col min="15621" max="15621" width="16.5703125" style="3" bestFit="1" customWidth="1"/>
    <col min="15622" max="15622" width="19" style="3" customWidth="1"/>
    <col min="15623" max="15624" width="12.85546875" style="3" bestFit="1" customWidth="1"/>
    <col min="15625" max="15872" width="11.42578125" style="3"/>
    <col min="15873" max="15873" width="58.85546875" style="3" customWidth="1"/>
    <col min="15874" max="15874" width="15.7109375" style="3" customWidth="1"/>
    <col min="15875" max="15875" width="16.5703125" style="3" customWidth="1"/>
    <col min="15876" max="15876" width="15.28515625" style="3" bestFit="1" customWidth="1"/>
    <col min="15877" max="15877" width="16.5703125" style="3" bestFit="1" customWidth="1"/>
    <col min="15878" max="15878" width="19" style="3" customWidth="1"/>
    <col min="15879" max="15880" width="12.85546875" style="3" bestFit="1" customWidth="1"/>
    <col min="15881" max="16128" width="11.42578125" style="3"/>
    <col min="16129" max="16129" width="58.85546875" style="3" customWidth="1"/>
    <col min="16130" max="16130" width="15.7109375" style="3" customWidth="1"/>
    <col min="16131" max="16131" width="16.5703125" style="3" customWidth="1"/>
    <col min="16132" max="16132" width="15.28515625" style="3" bestFit="1" customWidth="1"/>
    <col min="16133" max="16133" width="16.5703125" style="3" bestFit="1" customWidth="1"/>
    <col min="16134" max="16134" width="19" style="3" customWidth="1"/>
    <col min="16135" max="16136" width="12.85546875" style="3" bestFit="1" customWidth="1"/>
    <col min="16137" max="16384" width="11.42578125" style="3"/>
  </cols>
  <sheetData>
    <row r="1" spans="1:8" ht="12.75" customHeight="1">
      <c r="A1" s="492" t="s">
        <v>85</v>
      </c>
      <c r="B1" s="492"/>
      <c r="C1" s="492"/>
      <c r="D1" s="1"/>
    </row>
    <row r="2" spans="1:8">
      <c r="A2" s="493" t="s">
        <v>86</v>
      </c>
      <c r="B2" s="493"/>
      <c r="C2" s="493"/>
      <c r="D2" s="1"/>
    </row>
    <row r="3" spans="1:8">
      <c r="A3" s="159"/>
      <c r="B3" s="123"/>
      <c r="C3" s="123"/>
    </row>
    <row r="4" spans="1:8">
      <c r="A4" s="455" t="s">
        <v>87</v>
      </c>
      <c r="B4" s="455"/>
      <c r="C4" s="455"/>
    </row>
    <row r="5" spans="1:8">
      <c r="A5" s="455" t="s">
        <v>88</v>
      </c>
      <c r="B5" s="455"/>
      <c r="C5" s="455"/>
    </row>
    <row r="6" spans="1:8">
      <c r="A6" s="101"/>
      <c r="B6" s="118"/>
      <c r="C6" s="118"/>
    </row>
    <row r="7" spans="1:8">
      <c r="A7" s="459" t="s">
        <v>89</v>
      </c>
      <c r="B7" s="460"/>
      <c r="C7" s="461"/>
    </row>
    <row r="8" spans="1:8">
      <c r="A8" s="102" t="s">
        <v>252</v>
      </c>
      <c r="B8" s="282">
        <v>641928000</v>
      </c>
      <c r="C8" s="118"/>
    </row>
    <row r="9" spans="1:8" ht="16.5" thickBot="1">
      <c r="A9" s="289" t="s">
        <v>90</v>
      </c>
      <c r="B9" s="291">
        <v>21158000</v>
      </c>
      <c r="C9" s="290"/>
    </row>
    <row r="10" spans="1:8">
      <c r="A10" s="13" t="s">
        <v>91</v>
      </c>
      <c r="B10" s="287"/>
      <c r="C10" s="288">
        <f>+B9+B8</f>
        <v>663086000</v>
      </c>
      <c r="E10" s="4"/>
    </row>
    <row r="11" spans="1:8">
      <c r="A11" s="241"/>
      <c r="B11" s="283"/>
      <c r="C11" s="283"/>
    </row>
    <row r="12" spans="1:8">
      <c r="A12" s="485" t="s">
        <v>92</v>
      </c>
      <c r="B12" s="486"/>
      <c r="C12" s="487"/>
    </row>
    <row r="13" spans="1:8">
      <c r="A13" s="166" t="s">
        <v>253</v>
      </c>
      <c r="B13" s="118"/>
      <c r="C13" s="118"/>
    </row>
    <row r="14" spans="1:8">
      <c r="A14" s="160" t="s">
        <v>93</v>
      </c>
      <c r="B14" s="118">
        <v>40274000</v>
      </c>
      <c r="C14" s="118"/>
      <c r="F14" s="5"/>
      <c r="G14" s="4"/>
      <c r="H14" s="5"/>
    </row>
    <row r="15" spans="1:8">
      <c r="A15" s="104" t="s">
        <v>94</v>
      </c>
      <c r="B15" s="118">
        <v>1757000</v>
      </c>
      <c r="C15" s="118"/>
    </row>
    <row r="16" spans="1:8">
      <c r="A16" s="104" t="s">
        <v>95</v>
      </c>
      <c r="B16" s="118">
        <v>426000</v>
      </c>
      <c r="C16" s="118"/>
    </row>
    <row r="17" spans="1:6">
      <c r="A17" s="104" t="s">
        <v>96</v>
      </c>
      <c r="B17" s="118">
        <v>200012000</v>
      </c>
      <c r="C17" s="118"/>
    </row>
    <row r="18" spans="1:6">
      <c r="A18" s="104" t="s">
        <v>97</v>
      </c>
      <c r="B18" s="118">
        <v>98507000</v>
      </c>
      <c r="C18" s="118"/>
    </row>
    <row r="19" spans="1:6">
      <c r="A19" s="104" t="s">
        <v>98</v>
      </c>
      <c r="B19" s="118">
        <v>1062000</v>
      </c>
      <c r="C19" s="118"/>
    </row>
    <row r="20" spans="1:6">
      <c r="A20" s="104" t="s">
        <v>99</v>
      </c>
      <c r="B20" s="118">
        <v>38400000</v>
      </c>
      <c r="C20" s="118"/>
    </row>
    <row r="21" spans="1:6">
      <c r="A21" s="104" t="s">
        <v>100</v>
      </c>
      <c r="B21" s="118">
        <v>21576000</v>
      </c>
      <c r="C21" s="118"/>
    </row>
    <row r="22" spans="1:6">
      <c r="A22" s="104" t="s">
        <v>101</v>
      </c>
      <c r="B22" s="118">
        <v>39599000</v>
      </c>
      <c r="C22" s="118"/>
    </row>
    <row r="23" spans="1:6">
      <c r="A23" s="104" t="s">
        <v>102</v>
      </c>
      <c r="B23" s="118">
        <v>86554000</v>
      </c>
      <c r="C23" s="118"/>
    </row>
    <row r="24" spans="1:6">
      <c r="A24" s="104" t="s">
        <v>103</v>
      </c>
      <c r="B24" s="118">
        <f>776500+500</f>
        <v>777000</v>
      </c>
      <c r="C24" s="118"/>
    </row>
    <row r="25" spans="1:6">
      <c r="A25" s="104" t="s">
        <v>104</v>
      </c>
      <c r="B25" s="118">
        <v>900000</v>
      </c>
      <c r="C25" s="118"/>
    </row>
    <row r="26" spans="1:6">
      <c r="A26" s="104" t="s">
        <v>105</v>
      </c>
      <c r="B26" s="118">
        <v>36000</v>
      </c>
      <c r="C26" s="118"/>
    </row>
    <row r="27" spans="1:6">
      <c r="A27" s="104" t="s">
        <v>106</v>
      </c>
      <c r="B27" s="118">
        <v>2674000</v>
      </c>
      <c r="C27" s="118"/>
    </row>
    <row r="28" spans="1:6">
      <c r="A28" s="104" t="s">
        <v>107</v>
      </c>
      <c r="B28" s="118">
        <v>598000</v>
      </c>
      <c r="C28" s="118"/>
    </row>
    <row r="29" spans="1:6">
      <c r="A29" s="104" t="s">
        <v>108</v>
      </c>
      <c r="B29" s="118">
        <v>35110000</v>
      </c>
      <c r="C29" s="118"/>
    </row>
    <row r="30" spans="1:6" ht="16.5" thickBot="1">
      <c r="A30" s="104" t="s">
        <v>109</v>
      </c>
      <c r="B30" s="292">
        <f>1253000+40000</f>
        <v>1293000</v>
      </c>
      <c r="C30" s="118"/>
    </row>
    <row r="31" spans="1:6">
      <c r="A31" s="166" t="s">
        <v>110</v>
      </c>
      <c r="B31" s="283"/>
      <c r="C31" s="119">
        <f>SUM(B14:B30)</f>
        <v>569555000</v>
      </c>
      <c r="D31" s="6"/>
      <c r="F31" s="5"/>
    </row>
    <row r="32" spans="1:6">
      <c r="A32" s="239"/>
      <c r="B32" s="282"/>
      <c r="C32" s="282"/>
    </row>
    <row r="33" spans="1:6" ht="16.5" thickBot="1">
      <c r="A33" s="482" t="s">
        <v>111</v>
      </c>
      <c r="B33" s="483"/>
      <c r="C33" s="285">
        <f>C10-C31</f>
        <v>93531000</v>
      </c>
    </row>
    <row r="34" spans="1:6">
      <c r="A34" s="241"/>
      <c r="B34" s="283"/>
      <c r="C34" s="283"/>
    </row>
    <row r="35" spans="1:6">
      <c r="A35" s="485" t="s">
        <v>212</v>
      </c>
      <c r="B35" s="486"/>
      <c r="C35" s="487"/>
    </row>
    <row r="36" spans="1:6">
      <c r="A36" s="166" t="s">
        <v>113</v>
      </c>
      <c r="B36" s="118"/>
      <c r="C36" s="118"/>
    </row>
    <row r="37" spans="1:6">
      <c r="A37" s="160" t="s">
        <v>114</v>
      </c>
      <c r="B37" s="118">
        <v>44305000</v>
      </c>
      <c r="C37" s="118"/>
    </row>
    <row r="38" spans="1:6">
      <c r="A38" s="160" t="s">
        <v>115</v>
      </c>
      <c r="B38" s="118">
        <v>2800000</v>
      </c>
      <c r="C38" s="118"/>
    </row>
    <row r="39" spans="1:6">
      <c r="A39" s="160" t="s">
        <v>116</v>
      </c>
      <c r="B39" s="118">
        <v>17000</v>
      </c>
      <c r="C39" s="118"/>
    </row>
    <row r="40" spans="1:6">
      <c r="A40" s="160" t="s">
        <v>117</v>
      </c>
      <c r="B40" s="118">
        <v>2750000</v>
      </c>
      <c r="C40" s="118"/>
    </row>
    <row r="41" spans="1:6">
      <c r="A41" s="160" t="s">
        <v>118</v>
      </c>
      <c r="B41" s="118">
        <v>1524000</v>
      </c>
      <c r="C41" s="118"/>
    </row>
    <row r="42" spans="1:6">
      <c r="A42" s="160" t="s">
        <v>119</v>
      </c>
      <c r="B42" s="118">
        <v>1278000</v>
      </c>
      <c r="C42" s="118"/>
    </row>
    <row r="43" spans="1:6" ht="16.5" thickBot="1">
      <c r="A43" s="160" t="s">
        <v>120</v>
      </c>
      <c r="B43" s="292">
        <v>2189000</v>
      </c>
      <c r="C43" s="118"/>
    </row>
    <row r="44" spans="1:6">
      <c r="A44" s="485" t="s">
        <v>121</v>
      </c>
      <c r="B44" s="494"/>
      <c r="C44" s="119">
        <f>+SUM(B37:B43)</f>
        <v>54863000</v>
      </c>
      <c r="F44" s="5"/>
    </row>
    <row r="45" spans="1:6">
      <c r="A45" s="101"/>
      <c r="B45" s="118"/>
      <c r="C45" s="118"/>
    </row>
    <row r="46" spans="1:6">
      <c r="A46" s="485" t="s">
        <v>122</v>
      </c>
      <c r="B46" s="486"/>
      <c r="C46" s="487"/>
    </row>
    <row r="47" spans="1:6" ht="16.5" thickBot="1">
      <c r="A47" s="160" t="s">
        <v>118</v>
      </c>
      <c r="B47" s="292">
        <v>285000</v>
      </c>
      <c r="C47" s="118"/>
    </row>
    <row r="48" spans="1:6">
      <c r="A48" s="166" t="s">
        <v>123</v>
      </c>
      <c r="B48" s="283"/>
      <c r="C48" s="119">
        <f>B47</f>
        <v>285000</v>
      </c>
    </row>
    <row r="49" spans="1:6">
      <c r="A49" s="239"/>
      <c r="B49" s="282"/>
      <c r="C49" s="282"/>
    </row>
    <row r="50" spans="1:6" ht="16.5" thickBot="1">
      <c r="A50" s="295" t="s">
        <v>213</v>
      </c>
      <c r="B50" s="284"/>
      <c r="C50" s="285">
        <f>+C44+C48</f>
        <v>55148000</v>
      </c>
    </row>
    <row r="51" spans="1:6">
      <c r="A51" s="243"/>
      <c r="B51" s="294"/>
      <c r="C51" s="294"/>
      <c r="E51" s="7"/>
      <c r="F51" s="5"/>
    </row>
    <row r="52" spans="1:6" ht="16.5" thickBot="1">
      <c r="A52" s="482" t="s">
        <v>7</v>
      </c>
      <c r="B52" s="483"/>
      <c r="C52" s="285">
        <f>+C33-C50</f>
        <v>38383000</v>
      </c>
    </row>
    <row r="53" spans="1:6">
      <c r="A53" s="286"/>
      <c r="B53" s="283"/>
      <c r="C53" s="293"/>
      <c r="E53" s="7"/>
    </row>
    <row r="54" spans="1:6">
      <c r="A54" s="166"/>
      <c r="B54" s="118"/>
      <c r="C54" s="119"/>
      <c r="E54" s="7"/>
    </row>
    <row r="55" spans="1:6">
      <c r="A55" s="492" t="s">
        <v>85</v>
      </c>
      <c r="B55" s="492"/>
      <c r="C55" s="492"/>
      <c r="E55" s="7"/>
    </row>
    <row r="56" spans="1:6">
      <c r="A56" s="493" t="s">
        <v>86</v>
      </c>
      <c r="B56" s="493"/>
      <c r="C56" s="493"/>
      <c r="E56" s="7"/>
    </row>
    <row r="57" spans="1:6">
      <c r="A57" s="159"/>
      <c r="B57" s="123"/>
      <c r="C57" s="123"/>
      <c r="E57" s="7"/>
    </row>
    <row r="58" spans="1:6">
      <c r="A58" s="455" t="s">
        <v>87</v>
      </c>
      <c r="B58" s="455"/>
      <c r="C58" s="455"/>
      <c r="E58" s="7"/>
    </row>
    <row r="59" spans="1:6">
      <c r="A59" s="455" t="s">
        <v>88</v>
      </c>
      <c r="B59" s="455"/>
      <c r="C59" s="455"/>
      <c r="E59" s="7"/>
    </row>
    <row r="60" spans="1:6">
      <c r="A60" s="166"/>
      <c r="B60" s="118"/>
      <c r="C60" s="119"/>
      <c r="E60" s="7"/>
    </row>
    <row r="61" spans="1:6">
      <c r="A61" s="485" t="s">
        <v>9</v>
      </c>
      <c r="B61" s="486"/>
      <c r="C61" s="487"/>
    </row>
    <row r="62" spans="1:6" ht="16.5" thickBot="1">
      <c r="A62" s="101" t="s">
        <v>125</v>
      </c>
      <c r="B62" s="292">
        <v>2394000</v>
      </c>
      <c r="C62" s="118"/>
    </row>
    <row r="63" spans="1:6">
      <c r="A63" s="485" t="s">
        <v>126</v>
      </c>
      <c r="B63" s="494"/>
      <c r="C63" s="119">
        <f>+B62</f>
        <v>2394000</v>
      </c>
    </row>
    <row r="64" spans="1:6">
      <c r="A64" s="239"/>
      <c r="B64" s="282"/>
      <c r="C64" s="282"/>
    </row>
    <row r="65" spans="1:3" ht="16.5" thickBot="1">
      <c r="A65" s="482" t="s">
        <v>280</v>
      </c>
      <c r="B65" s="483"/>
      <c r="C65" s="285">
        <f>+C52-C63</f>
        <v>35989000</v>
      </c>
    </row>
    <row r="66" spans="1:3">
      <c r="A66" s="286"/>
      <c r="B66" s="283"/>
      <c r="C66" s="293"/>
    </row>
    <row r="67" spans="1:3">
      <c r="A67" s="495" t="s">
        <v>256</v>
      </c>
      <c r="B67" s="496"/>
      <c r="C67" s="497"/>
    </row>
    <row r="68" spans="1:3">
      <c r="A68" s="112" t="s">
        <v>128</v>
      </c>
      <c r="B68" s="133">
        <f>+C65*25%-250</f>
        <v>8997000</v>
      </c>
      <c r="C68" s="134"/>
    </row>
    <row r="69" spans="1:3" ht="16.5" thickBot="1">
      <c r="A69" s="112" t="s">
        <v>250</v>
      </c>
      <c r="B69" s="297">
        <f>+C65*9%-10</f>
        <v>3239000</v>
      </c>
      <c r="C69" s="134"/>
    </row>
    <row r="70" spans="1:3">
      <c r="A70" s="166" t="s">
        <v>257</v>
      </c>
      <c r="B70" s="296"/>
      <c r="C70" s="134">
        <f>+B69+B68</f>
        <v>12236000</v>
      </c>
    </row>
    <row r="71" spans="1:3">
      <c r="A71" s="298"/>
      <c r="B71" s="282"/>
      <c r="C71" s="299"/>
    </row>
    <row r="72" spans="1:3" ht="16.5" thickBot="1">
      <c r="A72" s="482" t="s">
        <v>14</v>
      </c>
      <c r="B72" s="483"/>
      <c r="C72" s="302">
        <f>+C65-C70</f>
        <v>23753000</v>
      </c>
    </row>
    <row r="73" spans="1:3">
      <c r="A73" s="286"/>
      <c r="B73" s="300"/>
      <c r="C73" s="301"/>
    </row>
    <row r="74" spans="1:3">
      <c r="A74" s="166"/>
      <c r="B74" s="135"/>
      <c r="C74" s="136"/>
    </row>
    <row r="75" spans="1:3">
      <c r="A75" s="166"/>
      <c r="B75" s="135"/>
      <c r="C75" s="136"/>
    </row>
    <row r="76" spans="1:3">
      <c r="A76" s="166"/>
      <c r="B76" s="135"/>
      <c r="C76" s="136"/>
    </row>
    <row r="77" spans="1:3">
      <c r="A77" s="172" t="s">
        <v>130</v>
      </c>
      <c r="B77" s="490" t="s">
        <v>131</v>
      </c>
      <c r="C77" s="490"/>
    </row>
    <row r="78" spans="1:3">
      <c r="A78" s="115" t="s">
        <v>132</v>
      </c>
      <c r="B78" s="489" t="s">
        <v>133</v>
      </c>
      <c r="C78" s="489"/>
    </row>
    <row r="79" spans="1:3">
      <c r="A79" s="110" t="s">
        <v>251</v>
      </c>
      <c r="B79" s="490" t="s">
        <v>134</v>
      </c>
      <c r="C79" s="490"/>
    </row>
    <row r="80" spans="1:3">
      <c r="A80" s="107"/>
      <c r="B80" s="488"/>
      <c r="C80" s="488"/>
    </row>
    <row r="81" spans="1:6" s="2" customFormat="1">
      <c r="A81" s="9"/>
      <c r="B81" s="491"/>
      <c r="C81" s="491"/>
      <c r="D81" s="4"/>
      <c r="F81" s="3"/>
    </row>
    <row r="82" spans="1:6" s="2" customFormat="1">
      <c r="A82" s="3"/>
      <c r="B82" s="137"/>
      <c r="C82" s="137"/>
      <c r="D82" s="4"/>
      <c r="F82" s="3"/>
    </row>
    <row r="83" spans="1:6" s="2" customFormat="1">
      <c r="A83" s="3"/>
      <c r="B83" s="138"/>
      <c r="C83" s="138"/>
      <c r="D83" s="4"/>
      <c r="F83" s="3"/>
    </row>
    <row r="84" spans="1:6" s="2" customFormat="1">
      <c r="A84" s="3"/>
      <c r="B84" s="137"/>
      <c r="C84" s="137"/>
      <c r="D84" s="4"/>
      <c r="F84" s="3"/>
    </row>
    <row r="85" spans="1:6" s="2" customFormat="1">
      <c r="A85" s="3"/>
      <c r="B85" s="132"/>
      <c r="C85" s="132"/>
      <c r="D85" s="4"/>
      <c r="F85" s="3"/>
    </row>
  </sheetData>
  <mergeCells count="25">
    <mergeCell ref="A63:B63"/>
    <mergeCell ref="A65:B65"/>
    <mergeCell ref="A67:C67"/>
    <mergeCell ref="A72:B72"/>
    <mergeCell ref="A35:C35"/>
    <mergeCell ref="A44:B44"/>
    <mergeCell ref="A46:C46"/>
    <mergeCell ref="A52:B52"/>
    <mergeCell ref="A61:C61"/>
    <mergeCell ref="B78:C78"/>
    <mergeCell ref="B79:C79"/>
    <mergeCell ref="B80:C80"/>
    <mergeCell ref="B81:C81"/>
    <mergeCell ref="A1:C1"/>
    <mergeCell ref="A2:C2"/>
    <mergeCell ref="A4:C4"/>
    <mergeCell ref="A5:C5"/>
    <mergeCell ref="B77:C77"/>
    <mergeCell ref="A55:C55"/>
    <mergeCell ref="A56:C56"/>
    <mergeCell ref="A58:C58"/>
    <mergeCell ref="A59:C59"/>
    <mergeCell ref="A7:C7"/>
    <mergeCell ref="A12:C12"/>
    <mergeCell ref="A33:B33"/>
  </mergeCells>
  <pageMargins left="0.7" right="0.7" top="0.75" bottom="0.75" header="0.3" footer="0.3"/>
  <pageSetup scale="53" orientation="portrait" r:id="rId1"/>
  <rowBreaks count="1" manualBreakCount="1">
    <brk id="5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5"/>
  <sheetViews>
    <sheetView zoomScaleNormal="100" zoomScaleSheetLayoutView="90" workbookViewId="0">
      <selection activeCell="E35" sqref="E35"/>
    </sheetView>
  </sheetViews>
  <sheetFormatPr baseColWidth="10" defaultColWidth="10.7109375" defaultRowHeight="15.75"/>
  <cols>
    <col min="1" max="1" width="69.42578125" style="3" customWidth="1"/>
    <col min="2" max="2" width="15" style="131" customWidth="1"/>
    <col min="3" max="3" width="21.28515625" style="131" customWidth="1"/>
    <col min="4" max="4" width="16.5703125" style="2" bestFit="1" customWidth="1"/>
    <col min="5" max="5" width="17.7109375" style="2" customWidth="1"/>
    <col min="6" max="7" width="11.42578125" style="3"/>
    <col min="8" max="8" width="11.42578125" style="3" customWidth="1"/>
    <col min="9" max="255" width="11.42578125" style="3"/>
    <col min="256" max="256" width="49.42578125" style="3" customWidth="1"/>
    <col min="257" max="257" width="22.5703125" style="3" customWidth="1"/>
    <col min="258" max="258" width="20.140625" style="3" customWidth="1"/>
    <col min="259" max="259" width="14" style="3" customWidth="1"/>
    <col min="260" max="260" width="16.5703125" style="3" bestFit="1" customWidth="1"/>
    <col min="261" max="261" width="17.7109375" style="3" customWidth="1"/>
    <col min="262" max="511" width="11.42578125" style="3"/>
    <col min="512" max="512" width="49.42578125" style="3" customWidth="1"/>
    <col min="513" max="513" width="22.5703125" style="3" customWidth="1"/>
    <col min="514" max="514" width="20.140625" style="3" customWidth="1"/>
    <col min="515" max="515" width="14" style="3" customWidth="1"/>
    <col min="516" max="516" width="16.5703125" style="3" bestFit="1" customWidth="1"/>
    <col min="517" max="517" width="17.7109375" style="3" customWidth="1"/>
    <col min="518" max="767" width="11.42578125" style="3"/>
    <col min="768" max="768" width="49.42578125" style="3" customWidth="1"/>
    <col min="769" max="769" width="22.5703125" style="3" customWidth="1"/>
    <col min="770" max="770" width="20.140625" style="3" customWidth="1"/>
    <col min="771" max="771" width="14" style="3" customWidth="1"/>
    <col min="772" max="772" width="16.5703125" style="3" bestFit="1" customWidth="1"/>
    <col min="773" max="773" width="17.7109375" style="3" customWidth="1"/>
    <col min="774" max="1023" width="11.42578125" style="3"/>
    <col min="1024" max="1024" width="49.42578125" style="3" customWidth="1"/>
    <col min="1025" max="1025" width="22.5703125" style="3" customWidth="1"/>
    <col min="1026" max="1026" width="20.140625" style="3" customWidth="1"/>
    <col min="1027" max="1027" width="14" style="3" customWidth="1"/>
    <col min="1028" max="1028" width="16.5703125" style="3" bestFit="1" customWidth="1"/>
    <col min="1029" max="1029" width="17.7109375" style="3" customWidth="1"/>
    <col min="1030" max="1279" width="11.42578125" style="3"/>
    <col min="1280" max="1280" width="49.42578125" style="3" customWidth="1"/>
    <col min="1281" max="1281" width="22.5703125" style="3" customWidth="1"/>
    <col min="1282" max="1282" width="20.140625" style="3" customWidth="1"/>
    <col min="1283" max="1283" width="14" style="3" customWidth="1"/>
    <col min="1284" max="1284" width="16.5703125" style="3" bestFit="1" customWidth="1"/>
    <col min="1285" max="1285" width="17.7109375" style="3" customWidth="1"/>
    <col min="1286" max="1535" width="11.42578125" style="3"/>
    <col min="1536" max="1536" width="49.42578125" style="3" customWidth="1"/>
    <col min="1537" max="1537" width="22.5703125" style="3" customWidth="1"/>
    <col min="1538" max="1538" width="20.140625" style="3" customWidth="1"/>
    <col min="1539" max="1539" width="14" style="3" customWidth="1"/>
    <col min="1540" max="1540" width="16.5703125" style="3" bestFit="1" customWidth="1"/>
    <col min="1541" max="1541" width="17.7109375" style="3" customWidth="1"/>
    <col min="1542" max="1791" width="11.42578125" style="3"/>
    <col min="1792" max="1792" width="49.42578125" style="3" customWidth="1"/>
    <col min="1793" max="1793" width="22.5703125" style="3" customWidth="1"/>
    <col min="1794" max="1794" width="20.140625" style="3" customWidth="1"/>
    <col min="1795" max="1795" width="14" style="3" customWidth="1"/>
    <col min="1796" max="1796" width="16.5703125" style="3" bestFit="1" customWidth="1"/>
    <col min="1797" max="1797" width="17.7109375" style="3" customWidth="1"/>
    <col min="1798" max="2047" width="11.42578125" style="3"/>
    <col min="2048" max="2048" width="49.42578125" style="3" customWidth="1"/>
    <col min="2049" max="2049" width="22.5703125" style="3" customWidth="1"/>
    <col min="2050" max="2050" width="20.140625" style="3" customWidth="1"/>
    <col min="2051" max="2051" width="14" style="3" customWidth="1"/>
    <col min="2052" max="2052" width="16.5703125" style="3" bestFit="1" customWidth="1"/>
    <col min="2053" max="2053" width="17.7109375" style="3" customWidth="1"/>
    <col min="2054" max="2303" width="11.42578125" style="3"/>
    <col min="2304" max="2304" width="49.42578125" style="3" customWidth="1"/>
    <col min="2305" max="2305" width="22.5703125" style="3" customWidth="1"/>
    <col min="2306" max="2306" width="20.140625" style="3" customWidth="1"/>
    <col min="2307" max="2307" width="14" style="3" customWidth="1"/>
    <col min="2308" max="2308" width="16.5703125" style="3" bestFit="1" customWidth="1"/>
    <col min="2309" max="2309" width="17.7109375" style="3" customWidth="1"/>
    <col min="2310" max="2559" width="11.42578125" style="3"/>
    <col min="2560" max="2560" width="49.42578125" style="3" customWidth="1"/>
    <col min="2561" max="2561" width="22.5703125" style="3" customWidth="1"/>
    <col min="2562" max="2562" width="20.140625" style="3" customWidth="1"/>
    <col min="2563" max="2563" width="14" style="3" customWidth="1"/>
    <col min="2564" max="2564" width="16.5703125" style="3" bestFit="1" customWidth="1"/>
    <col min="2565" max="2565" width="17.7109375" style="3" customWidth="1"/>
    <col min="2566" max="2815" width="11.42578125" style="3"/>
    <col min="2816" max="2816" width="49.42578125" style="3" customWidth="1"/>
    <col min="2817" max="2817" width="22.5703125" style="3" customWidth="1"/>
    <col min="2818" max="2818" width="20.140625" style="3" customWidth="1"/>
    <col min="2819" max="2819" width="14" style="3" customWidth="1"/>
    <col min="2820" max="2820" width="16.5703125" style="3" bestFit="1" customWidth="1"/>
    <col min="2821" max="2821" width="17.7109375" style="3" customWidth="1"/>
    <col min="2822" max="3071" width="11.42578125" style="3"/>
    <col min="3072" max="3072" width="49.42578125" style="3" customWidth="1"/>
    <col min="3073" max="3073" width="22.5703125" style="3" customWidth="1"/>
    <col min="3074" max="3074" width="20.140625" style="3" customWidth="1"/>
    <col min="3075" max="3075" width="14" style="3" customWidth="1"/>
    <col min="3076" max="3076" width="16.5703125" style="3" bestFit="1" customWidth="1"/>
    <col min="3077" max="3077" width="17.7109375" style="3" customWidth="1"/>
    <col min="3078" max="3327" width="11.42578125" style="3"/>
    <col min="3328" max="3328" width="49.42578125" style="3" customWidth="1"/>
    <col min="3329" max="3329" width="22.5703125" style="3" customWidth="1"/>
    <col min="3330" max="3330" width="20.140625" style="3" customWidth="1"/>
    <col min="3331" max="3331" width="14" style="3" customWidth="1"/>
    <col min="3332" max="3332" width="16.5703125" style="3" bestFit="1" customWidth="1"/>
    <col min="3333" max="3333" width="17.7109375" style="3" customWidth="1"/>
    <col min="3334" max="3583" width="11.42578125" style="3"/>
    <col min="3584" max="3584" width="49.42578125" style="3" customWidth="1"/>
    <col min="3585" max="3585" width="22.5703125" style="3" customWidth="1"/>
    <col min="3586" max="3586" width="20.140625" style="3" customWidth="1"/>
    <col min="3587" max="3587" width="14" style="3" customWidth="1"/>
    <col min="3588" max="3588" width="16.5703125" style="3" bestFit="1" customWidth="1"/>
    <col min="3589" max="3589" width="17.7109375" style="3" customWidth="1"/>
    <col min="3590" max="3839" width="11.42578125" style="3"/>
    <col min="3840" max="3840" width="49.42578125" style="3" customWidth="1"/>
    <col min="3841" max="3841" width="22.5703125" style="3" customWidth="1"/>
    <col min="3842" max="3842" width="20.140625" style="3" customWidth="1"/>
    <col min="3843" max="3843" width="14" style="3" customWidth="1"/>
    <col min="3844" max="3844" width="16.5703125" style="3" bestFit="1" customWidth="1"/>
    <col min="3845" max="3845" width="17.7109375" style="3" customWidth="1"/>
    <col min="3846" max="4095" width="11.42578125" style="3"/>
    <col min="4096" max="4096" width="49.42578125" style="3" customWidth="1"/>
    <col min="4097" max="4097" width="22.5703125" style="3" customWidth="1"/>
    <col min="4098" max="4098" width="20.140625" style="3" customWidth="1"/>
    <col min="4099" max="4099" width="14" style="3" customWidth="1"/>
    <col min="4100" max="4100" width="16.5703125" style="3" bestFit="1" customWidth="1"/>
    <col min="4101" max="4101" width="17.7109375" style="3" customWidth="1"/>
    <col min="4102" max="4351" width="11.42578125" style="3"/>
    <col min="4352" max="4352" width="49.42578125" style="3" customWidth="1"/>
    <col min="4353" max="4353" width="22.5703125" style="3" customWidth="1"/>
    <col min="4354" max="4354" width="20.140625" style="3" customWidth="1"/>
    <col min="4355" max="4355" width="14" style="3" customWidth="1"/>
    <col min="4356" max="4356" width="16.5703125" style="3" bestFit="1" customWidth="1"/>
    <col min="4357" max="4357" width="17.7109375" style="3" customWidth="1"/>
    <col min="4358" max="4607" width="11.42578125" style="3"/>
    <col min="4608" max="4608" width="49.42578125" style="3" customWidth="1"/>
    <col min="4609" max="4609" width="22.5703125" style="3" customWidth="1"/>
    <col min="4610" max="4610" width="20.140625" style="3" customWidth="1"/>
    <col min="4611" max="4611" width="14" style="3" customWidth="1"/>
    <col min="4612" max="4612" width="16.5703125" style="3" bestFit="1" customWidth="1"/>
    <col min="4613" max="4613" width="17.7109375" style="3" customWidth="1"/>
    <col min="4614" max="4863" width="11.42578125" style="3"/>
    <col min="4864" max="4864" width="49.42578125" style="3" customWidth="1"/>
    <col min="4865" max="4865" width="22.5703125" style="3" customWidth="1"/>
    <col min="4866" max="4866" width="20.140625" style="3" customWidth="1"/>
    <col min="4867" max="4867" width="14" style="3" customWidth="1"/>
    <col min="4868" max="4868" width="16.5703125" style="3" bestFit="1" customWidth="1"/>
    <col min="4869" max="4869" width="17.7109375" style="3" customWidth="1"/>
    <col min="4870" max="5119" width="11.42578125" style="3"/>
    <col min="5120" max="5120" width="49.42578125" style="3" customWidth="1"/>
    <col min="5121" max="5121" width="22.5703125" style="3" customWidth="1"/>
    <col min="5122" max="5122" width="20.140625" style="3" customWidth="1"/>
    <col min="5123" max="5123" width="14" style="3" customWidth="1"/>
    <col min="5124" max="5124" width="16.5703125" style="3" bestFit="1" customWidth="1"/>
    <col min="5125" max="5125" width="17.7109375" style="3" customWidth="1"/>
    <col min="5126" max="5375" width="11.42578125" style="3"/>
    <col min="5376" max="5376" width="49.42578125" style="3" customWidth="1"/>
    <col min="5377" max="5377" width="22.5703125" style="3" customWidth="1"/>
    <col min="5378" max="5378" width="20.140625" style="3" customWidth="1"/>
    <col min="5379" max="5379" width="14" style="3" customWidth="1"/>
    <col min="5380" max="5380" width="16.5703125" style="3" bestFit="1" customWidth="1"/>
    <col min="5381" max="5381" width="17.7109375" style="3" customWidth="1"/>
    <col min="5382" max="5631" width="11.42578125" style="3"/>
    <col min="5632" max="5632" width="49.42578125" style="3" customWidth="1"/>
    <col min="5633" max="5633" width="22.5703125" style="3" customWidth="1"/>
    <col min="5634" max="5634" width="20.140625" style="3" customWidth="1"/>
    <col min="5635" max="5635" width="14" style="3" customWidth="1"/>
    <col min="5636" max="5636" width="16.5703125" style="3" bestFit="1" customWidth="1"/>
    <col min="5637" max="5637" width="17.7109375" style="3" customWidth="1"/>
    <col min="5638" max="5887" width="11.42578125" style="3"/>
    <col min="5888" max="5888" width="49.42578125" style="3" customWidth="1"/>
    <col min="5889" max="5889" width="22.5703125" style="3" customWidth="1"/>
    <col min="5890" max="5890" width="20.140625" style="3" customWidth="1"/>
    <col min="5891" max="5891" width="14" style="3" customWidth="1"/>
    <col min="5892" max="5892" width="16.5703125" style="3" bestFit="1" customWidth="1"/>
    <col min="5893" max="5893" width="17.7109375" style="3" customWidth="1"/>
    <col min="5894" max="6143" width="11.42578125" style="3"/>
    <col min="6144" max="6144" width="49.42578125" style="3" customWidth="1"/>
    <col min="6145" max="6145" width="22.5703125" style="3" customWidth="1"/>
    <col min="6146" max="6146" width="20.140625" style="3" customWidth="1"/>
    <col min="6147" max="6147" width="14" style="3" customWidth="1"/>
    <col min="6148" max="6148" width="16.5703125" style="3" bestFit="1" customWidth="1"/>
    <col min="6149" max="6149" width="17.7109375" style="3" customWidth="1"/>
    <col min="6150" max="6399" width="11.42578125" style="3"/>
    <col min="6400" max="6400" width="49.42578125" style="3" customWidth="1"/>
    <col min="6401" max="6401" width="22.5703125" style="3" customWidth="1"/>
    <col min="6402" max="6402" width="20.140625" style="3" customWidth="1"/>
    <col min="6403" max="6403" width="14" style="3" customWidth="1"/>
    <col min="6404" max="6404" width="16.5703125" style="3" bestFit="1" customWidth="1"/>
    <col min="6405" max="6405" width="17.7109375" style="3" customWidth="1"/>
    <col min="6406" max="6655" width="11.42578125" style="3"/>
    <col min="6656" max="6656" width="49.42578125" style="3" customWidth="1"/>
    <col min="6657" max="6657" width="22.5703125" style="3" customWidth="1"/>
    <col min="6658" max="6658" width="20.140625" style="3" customWidth="1"/>
    <col min="6659" max="6659" width="14" style="3" customWidth="1"/>
    <col min="6660" max="6660" width="16.5703125" style="3" bestFit="1" customWidth="1"/>
    <col min="6661" max="6661" width="17.7109375" style="3" customWidth="1"/>
    <col min="6662" max="6911" width="11.42578125" style="3"/>
    <col min="6912" max="6912" width="49.42578125" style="3" customWidth="1"/>
    <col min="6913" max="6913" width="22.5703125" style="3" customWidth="1"/>
    <col min="6914" max="6914" width="20.140625" style="3" customWidth="1"/>
    <col min="6915" max="6915" width="14" style="3" customWidth="1"/>
    <col min="6916" max="6916" width="16.5703125" style="3" bestFit="1" customWidth="1"/>
    <col min="6917" max="6917" width="17.7109375" style="3" customWidth="1"/>
    <col min="6918" max="7167" width="11.42578125" style="3"/>
    <col min="7168" max="7168" width="49.42578125" style="3" customWidth="1"/>
    <col min="7169" max="7169" width="22.5703125" style="3" customWidth="1"/>
    <col min="7170" max="7170" width="20.140625" style="3" customWidth="1"/>
    <col min="7171" max="7171" width="14" style="3" customWidth="1"/>
    <col min="7172" max="7172" width="16.5703125" style="3" bestFit="1" customWidth="1"/>
    <col min="7173" max="7173" width="17.7109375" style="3" customWidth="1"/>
    <col min="7174" max="7423" width="11.42578125" style="3"/>
    <col min="7424" max="7424" width="49.42578125" style="3" customWidth="1"/>
    <col min="7425" max="7425" width="22.5703125" style="3" customWidth="1"/>
    <col min="7426" max="7426" width="20.140625" style="3" customWidth="1"/>
    <col min="7427" max="7427" width="14" style="3" customWidth="1"/>
    <col min="7428" max="7428" width="16.5703125" style="3" bestFit="1" customWidth="1"/>
    <col min="7429" max="7429" width="17.7109375" style="3" customWidth="1"/>
    <col min="7430" max="7679" width="11.42578125" style="3"/>
    <col min="7680" max="7680" width="49.42578125" style="3" customWidth="1"/>
    <col min="7681" max="7681" width="22.5703125" style="3" customWidth="1"/>
    <col min="7682" max="7682" width="20.140625" style="3" customWidth="1"/>
    <col min="7683" max="7683" width="14" style="3" customWidth="1"/>
    <col min="7684" max="7684" width="16.5703125" style="3" bestFit="1" customWidth="1"/>
    <col min="7685" max="7685" width="17.7109375" style="3" customWidth="1"/>
    <col min="7686" max="7935" width="11.42578125" style="3"/>
    <col min="7936" max="7936" width="49.42578125" style="3" customWidth="1"/>
    <col min="7937" max="7937" width="22.5703125" style="3" customWidth="1"/>
    <col min="7938" max="7938" width="20.140625" style="3" customWidth="1"/>
    <col min="7939" max="7939" width="14" style="3" customWidth="1"/>
    <col min="7940" max="7940" width="16.5703125" style="3" bestFit="1" customWidth="1"/>
    <col min="7941" max="7941" width="17.7109375" style="3" customWidth="1"/>
    <col min="7942" max="8191" width="11.42578125" style="3"/>
    <col min="8192" max="8192" width="49.42578125" style="3" customWidth="1"/>
    <col min="8193" max="8193" width="22.5703125" style="3" customWidth="1"/>
    <col min="8194" max="8194" width="20.140625" style="3" customWidth="1"/>
    <col min="8195" max="8195" width="14" style="3" customWidth="1"/>
    <col min="8196" max="8196" width="16.5703125" style="3" bestFit="1" customWidth="1"/>
    <col min="8197" max="8197" width="17.7109375" style="3" customWidth="1"/>
    <col min="8198" max="8447" width="11.42578125" style="3"/>
    <col min="8448" max="8448" width="49.42578125" style="3" customWidth="1"/>
    <col min="8449" max="8449" width="22.5703125" style="3" customWidth="1"/>
    <col min="8450" max="8450" width="20.140625" style="3" customWidth="1"/>
    <col min="8451" max="8451" width="14" style="3" customWidth="1"/>
    <col min="8452" max="8452" width="16.5703125" style="3" bestFit="1" customWidth="1"/>
    <col min="8453" max="8453" width="17.7109375" style="3" customWidth="1"/>
    <col min="8454" max="8703" width="11.42578125" style="3"/>
    <col min="8704" max="8704" width="49.42578125" style="3" customWidth="1"/>
    <col min="8705" max="8705" width="22.5703125" style="3" customWidth="1"/>
    <col min="8706" max="8706" width="20.140625" style="3" customWidth="1"/>
    <col min="8707" max="8707" width="14" style="3" customWidth="1"/>
    <col min="8708" max="8708" width="16.5703125" style="3" bestFit="1" customWidth="1"/>
    <col min="8709" max="8709" width="17.7109375" style="3" customWidth="1"/>
    <col min="8710" max="8959" width="11.42578125" style="3"/>
    <col min="8960" max="8960" width="49.42578125" style="3" customWidth="1"/>
    <col min="8961" max="8961" width="22.5703125" style="3" customWidth="1"/>
    <col min="8962" max="8962" width="20.140625" style="3" customWidth="1"/>
    <col min="8963" max="8963" width="14" style="3" customWidth="1"/>
    <col min="8964" max="8964" width="16.5703125" style="3" bestFit="1" customWidth="1"/>
    <col min="8965" max="8965" width="17.7109375" style="3" customWidth="1"/>
    <col min="8966" max="9215" width="11.42578125" style="3"/>
    <col min="9216" max="9216" width="49.42578125" style="3" customWidth="1"/>
    <col min="9217" max="9217" width="22.5703125" style="3" customWidth="1"/>
    <col min="9218" max="9218" width="20.140625" style="3" customWidth="1"/>
    <col min="9219" max="9219" width="14" style="3" customWidth="1"/>
    <col min="9220" max="9220" width="16.5703125" style="3" bestFit="1" customWidth="1"/>
    <col min="9221" max="9221" width="17.7109375" style="3" customWidth="1"/>
    <col min="9222" max="9471" width="11.42578125" style="3"/>
    <col min="9472" max="9472" width="49.42578125" style="3" customWidth="1"/>
    <col min="9473" max="9473" width="22.5703125" style="3" customWidth="1"/>
    <col min="9474" max="9474" width="20.140625" style="3" customWidth="1"/>
    <col min="9475" max="9475" width="14" style="3" customWidth="1"/>
    <col min="9476" max="9476" width="16.5703125" style="3" bestFit="1" customWidth="1"/>
    <col min="9477" max="9477" width="17.7109375" style="3" customWidth="1"/>
    <col min="9478" max="9727" width="11.42578125" style="3"/>
    <col min="9728" max="9728" width="49.42578125" style="3" customWidth="1"/>
    <col min="9729" max="9729" width="22.5703125" style="3" customWidth="1"/>
    <col min="9730" max="9730" width="20.140625" style="3" customWidth="1"/>
    <col min="9731" max="9731" width="14" style="3" customWidth="1"/>
    <col min="9732" max="9732" width="16.5703125" style="3" bestFit="1" customWidth="1"/>
    <col min="9733" max="9733" width="17.7109375" style="3" customWidth="1"/>
    <col min="9734" max="9983" width="11.42578125" style="3"/>
    <col min="9984" max="9984" width="49.42578125" style="3" customWidth="1"/>
    <col min="9985" max="9985" width="22.5703125" style="3" customWidth="1"/>
    <col min="9986" max="9986" width="20.140625" style="3" customWidth="1"/>
    <col min="9987" max="9987" width="14" style="3" customWidth="1"/>
    <col min="9988" max="9988" width="16.5703125" style="3" bestFit="1" customWidth="1"/>
    <col min="9989" max="9989" width="17.7109375" style="3" customWidth="1"/>
    <col min="9990" max="10239" width="11.42578125" style="3"/>
    <col min="10240" max="10240" width="49.42578125" style="3" customWidth="1"/>
    <col min="10241" max="10241" width="22.5703125" style="3" customWidth="1"/>
    <col min="10242" max="10242" width="20.140625" style="3" customWidth="1"/>
    <col min="10243" max="10243" width="14" style="3" customWidth="1"/>
    <col min="10244" max="10244" width="16.5703125" style="3" bestFit="1" customWidth="1"/>
    <col min="10245" max="10245" width="17.7109375" style="3" customWidth="1"/>
    <col min="10246" max="10495" width="11.42578125" style="3"/>
    <col min="10496" max="10496" width="49.42578125" style="3" customWidth="1"/>
    <col min="10497" max="10497" width="22.5703125" style="3" customWidth="1"/>
    <col min="10498" max="10498" width="20.140625" style="3" customWidth="1"/>
    <col min="10499" max="10499" width="14" style="3" customWidth="1"/>
    <col min="10500" max="10500" width="16.5703125" style="3" bestFit="1" customWidth="1"/>
    <col min="10501" max="10501" width="17.7109375" style="3" customWidth="1"/>
    <col min="10502" max="10751" width="11.42578125" style="3"/>
    <col min="10752" max="10752" width="49.42578125" style="3" customWidth="1"/>
    <col min="10753" max="10753" width="22.5703125" style="3" customWidth="1"/>
    <col min="10754" max="10754" width="20.140625" style="3" customWidth="1"/>
    <col min="10755" max="10755" width="14" style="3" customWidth="1"/>
    <col min="10756" max="10756" width="16.5703125" style="3" bestFit="1" customWidth="1"/>
    <col min="10757" max="10757" width="17.7109375" style="3" customWidth="1"/>
    <col min="10758" max="11007" width="11.42578125" style="3"/>
    <col min="11008" max="11008" width="49.42578125" style="3" customWidth="1"/>
    <col min="11009" max="11009" width="22.5703125" style="3" customWidth="1"/>
    <col min="11010" max="11010" width="20.140625" style="3" customWidth="1"/>
    <col min="11011" max="11011" width="14" style="3" customWidth="1"/>
    <col min="11012" max="11012" width="16.5703125" style="3" bestFit="1" customWidth="1"/>
    <col min="11013" max="11013" width="17.7109375" style="3" customWidth="1"/>
    <col min="11014" max="11263" width="11.42578125" style="3"/>
    <col min="11264" max="11264" width="49.42578125" style="3" customWidth="1"/>
    <col min="11265" max="11265" width="22.5703125" style="3" customWidth="1"/>
    <col min="11266" max="11266" width="20.140625" style="3" customWidth="1"/>
    <col min="11267" max="11267" width="14" style="3" customWidth="1"/>
    <col min="11268" max="11268" width="16.5703125" style="3" bestFit="1" customWidth="1"/>
    <col min="11269" max="11269" width="17.7109375" style="3" customWidth="1"/>
    <col min="11270" max="11519" width="11.42578125" style="3"/>
    <col min="11520" max="11520" width="49.42578125" style="3" customWidth="1"/>
    <col min="11521" max="11521" width="22.5703125" style="3" customWidth="1"/>
    <col min="11522" max="11522" width="20.140625" style="3" customWidth="1"/>
    <col min="11523" max="11523" width="14" style="3" customWidth="1"/>
    <col min="11524" max="11524" width="16.5703125" style="3" bestFit="1" customWidth="1"/>
    <col min="11525" max="11525" width="17.7109375" style="3" customWidth="1"/>
    <col min="11526" max="11775" width="11.42578125" style="3"/>
    <col min="11776" max="11776" width="49.42578125" style="3" customWidth="1"/>
    <col min="11777" max="11777" width="22.5703125" style="3" customWidth="1"/>
    <col min="11778" max="11778" width="20.140625" style="3" customWidth="1"/>
    <col min="11779" max="11779" width="14" style="3" customWidth="1"/>
    <col min="11780" max="11780" width="16.5703125" style="3" bestFit="1" customWidth="1"/>
    <col min="11781" max="11781" width="17.7109375" style="3" customWidth="1"/>
    <col min="11782" max="12031" width="11.42578125" style="3"/>
    <col min="12032" max="12032" width="49.42578125" style="3" customWidth="1"/>
    <col min="12033" max="12033" width="22.5703125" style="3" customWidth="1"/>
    <col min="12034" max="12034" width="20.140625" style="3" customWidth="1"/>
    <col min="12035" max="12035" width="14" style="3" customWidth="1"/>
    <col min="12036" max="12036" width="16.5703125" style="3" bestFit="1" customWidth="1"/>
    <col min="12037" max="12037" width="17.7109375" style="3" customWidth="1"/>
    <col min="12038" max="12287" width="11.42578125" style="3"/>
    <col min="12288" max="12288" width="49.42578125" style="3" customWidth="1"/>
    <col min="12289" max="12289" width="22.5703125" style="3" customWidth="1"/>
    <col min="12290" max="12290" width="20.140625" style="3" customWidth="1"/>
    <col min="12291" max="12291" width="14" style="3" customWidth="1"/>
    <col min="12292" max="12292" width="16.5703125" style="3" bestFit="1" customWidth="1"/>
    <col min="12293" max="12293" width="17.7109375" style="3" customWidth="1"/>
    <col min="12294" max="12543" width="11.42578125" style="3"/>
    <col min="12544" max="12544" width="49.42578125" style="3" customWidth="1"/>
    <col min="12545" max="12545" width="22.5703125" style="3" customWidth="1"/>
    <col min="12546" max="12546" width="20.140625" style="3" customWidth="1"/>
    <col min="12547" max="12547" width="14" style="3" customWidth="1"/>
    <col min="12548" max="12548" width="16.5703125" style="3" bestFit="1" customWidth="1"/>
    <col min="12549" max="12549" width="17.7109375" style="3" customWidth="1"/>
    <col min="12550" max="12799" width="11.42578125" style="3"/>
    <col min="12800" max="12800" width="49.42578125" style="3" customWidth="1"/>
    <col min="12801" max="12801" width="22.5703125" style="3" customWidth="1"/>
    <col min="12802" max="12802" width="20.140625" style="3" customWidth="1"/>
    <col min="12803" max="12803" width="14" style="3" customWidth="1"/>
    <col min="12804" max="12804" width="16.5703125" style="3" bestFit="1" customWidth="1"/>
    <col min="12805" max="12805" width="17.7109375" style="3" customWidth="1"/>
    <col min="12806" max="13055" width="11.42578125" style="3"/>
    <col min="13056" max="13056" width="49.42578125" style="3" customWidth="1"/>
    <col min="13057" max="13057" width="22.5703125" style="3" customWidth="1"/>
    <col min="13058" max="13058" width="20.140625" style="3" customWidth="1"/>
    <col min="13059" max="13059" width="14" style="3" customWidth="1"/>
    <col min="13060" max="13060" width="16.5703125" style="3" bestFit="1" customWidth="1"/>
    <col min="13061" max="13061" width="17.7109375" style="3" customWidth="1"/>
    <col min="13062" max="13311" width="11.42578125" style="3"/>
    <col min="13312" max="13312" width="49.42578125" style="3" customWidth="1"/>
    <col min="13313" max="13313" width="22.5703125" style="3" customWidth="1"/>
    <col min="13314" max="13314" width="20.140625" style="3" customWidth="1"/>
    <col min="13315" max="13315" width="14" style="3" customWidth="1"/>
    <col min="13316" max="13316" width="16.5703125" style="3" bestFit="1" customWidth="1"/>
    <col min="13317" max="13317" width="17.7109375" style="3" customWidth="1"/>
    <col min="13318" max="13567" width="11.42578125" style="3"/>
    <col min="13568" max="13568" width="49.42578125" style="3" customWidth="1"/>
    <col min="13569" max="13569" width="22.5703125" style="3" customWidth="1"/>
    <col min="13570" max="13570" width="20.140625" style="3" customWidth="1"/>
    <col min="13571" max="13571" width="14" style="3" customWidth="1"/>
    <col min="13572" max="13572" width="16.5703125" style="3" bestFit="1" customWidth="1"/>
    <col min="13573" max="13573" width="17.7109375" style="3" customWidth="1"/>
    <col min="13574" max="13823" width="11.42578125" style="3"/>
    <col min="13824" max="13824" width="49.42578125" style="3" customWidth="1"/>
    <col min="13825" max="13825" width="22.5703125" style="3" customWidth="1"/>
    <col min="13826" max="13826" width="20.140625" style="3" customWidth="1"/>
    <col min="13827" max="13827" width="14" style="3" customWidth="1"/>
    <col min="13828" max="13828" width="16.5703125" style="3" bestFit="1" customWidth="1"/>
    <col min="13829" max="13829" width="17.7109375" style="3" customWidth="1"/>
    <col min="13830" max="14079" width="11.42578125" style="3"/>
    <col min="14080" max="14080" width="49.42578125" style="3" customWidth="1"/>
    <col min="14081" max="14081" width="22.5703125" style="3" customWidth="1"/>
    <col min="14082" max="14082" width="20.140625" style="3" customWidth="1"/>
    <col min="14083" max="14083" width="14" style="3" customWidth="1"/>
    <col min="14084" max="14084" width="16.5703125" style="3" bestFit="1" customWidth="1"/>
    <col min="14085" max="14085" width="17.7109375" style="3" customWidth="1"/>
    <col min="14086" max="14335" width="11.42578125" style="3"/>
    <col min="14336" max="14336" width="49.42578125" style="3" customWidth="1"/>
    <col min="14337" max="14337" width="22.5703125" style="3" customWidth="1"/>
    <col min="14338" max="14338" width="20.140625" style="3" customWidth="1"/>
    <col min="14339" max="14339" width="14" style="3" customWidth="1"/>
    <col min="14340" max="14340" width="16.5703125" style="3" bestFit="1" customWidth="1"/>
    <col min="14341" max="14341" width="17.7109375" style="3" customWidth="1"/>
    <col min="14342" max="14591" width="11.42578125" style="3"/>
    <col min="14592" max="14592" width="49.42578125" style="3" customWidth="1"/>
    <col min="14593" max="14593" width="22.5703125" style="3" customWidth="1"/>
    <col min="14594" max="14594" width="20.140625" style="3" customWidth="1"/>
    <col min="14595" max="14595" width="14" style="3" customWidth="1"/>
    <col min="14596" max="14596" width="16.5703125" style="3" bestFit="1" customWidth="1"/>
    <col min="14597" max="14597" width="17.7109375" style="3" customWidth="1"/>
    <col min="14598" max="14847" width="11.42578125" style="3"/>
    <col min="14848" max="14848" width="49.42578125" style="3" customWidth="1"/>
    <col min="14849" max="14849" width="22.5703125" style="3" customWidth="1"/>
    <col min="14850" max="14850" width="20.140625" style="3" customWidth="1"/>
    <col min="14851" max="14851" width="14" style="3" customWidth="1"/>
    <col min="14852" max="14852" width="16.5703125" style="3" bestFit="1" customWidth="1"/>
    <col min="14853" max="14853" width="17.7109375" style="3" customWidth="1"/>
    <col min="14854" max="15103" width="11.42578125" style="3"/>
    <col min="15104" max="15104" width="49.42578125" style="3" customWidth="1"/>
    <col min="15105" max="15105" width="22.5703125" style="3" customWidth="1"/>
    <col min="15106" max="15106" width="20.140625" style="3" customWidth="1"/>
    <col min="15107" max="15107" width="14" style="3" customWidth="1"/>
    <col min="15108" max="15108" width="16.5703125" style="3" bestFit="1" customWidth="1"/>
    <col min="15109" max="15109" width="17.7109375" style="3" customWidth="1"/>
    <col min="15110" max="15359" width="11.42578125" style="3"/>
    <col min="15360" max="15360" width="49.42578125" style="3" customWidth="1"/>
    <col min="15361" max="15361" width="22.5703125" style="3" customWidth="1"/>
    <col min="15362" max="15362" width="20.140625" style="3" customWidth="1"/>
    <col min="15363" max="15363" width="14" style="3" customWidth="1"/>
    <col min="15364" max="15364" width="16.5703125" style="3" bestFit="1" customWidth="1"/>
    <col min="15365" max="15365" width="17.7109375" style="3" customWidth="1"/>
    <col min="15366" max="15615" width="11.42578125" style="3"/>
    <col min="15616" max="15616" width="49.42578125" style="3" customWidth="1"/>
    <col min="15617" max="15617" width="22.5703125" style="3" customWidth="1"/>
    <col min="15618" max="15618" width="20.140625" style="3" customWidth="1"/>
    <col min="15619" max="15619" width="14" style="3" customWidth="1"/>
    <col min="15620" max="15620" width="16.5703125" style="3" bestFit="1" customWidth="1"/>
    <col min="15621" max="15621" width="17.7109375" style="3" customWidth="1"/>
    <col min="15622" max="15871" width="11.42578125" style="3"/>
    <col min="15872" max="15872" width="49.42578125" style="3" customWidth="1"/>
    <col min="15873" max="15873" width="22.5703125" style="3" customWidth="1"/>
    <col min="15874" max="15874" width="20.140625" style="3" customWidth="1"/>
    <col min="15875" max="15875" width="14" style="3" customWidth="1"/>
    <col min="15876" max="15876" width="16.5703125" style="3" bestFit="1" customWidth="1"/>
    <col min="15877" max="15877" width="17.7109375" style="3" customWidth="1"/>
    <col min="15878" max="16127" width="11.42578125" style="3"/>
    <col min="16128" max="16128" width="49.42578125" style="3" customWidth="1"/>
    <col min="16129" max="16129" width="22.5703125" style="3" customWidth="1"/>
    <col min="16130" max="16130" width="20.140625" style="3" customWidth="1"/>
    <col min="16131" max="16131" width="14" style="3" customWidth="1"/>
    <col min="16132" max="16132" width="16.5703125" style="3" bestFit="1" customWidth="1"/>
    <col min="16133" max="16133" width="17.7109375" style="3" customWidth="1"/>
    <col min="16134" max="16383" width="11.42578125" style="3"/>
    <col min="16384" max="16384" width="11.42578125" style="3" customWidth="1"/>
  </cols>
  <sheetData>
    <row r="1" spans="1:5" s="4" customFormat="1" ht="12.75" customHeight="1">
      <c r="A1" s="492" t="s">
        <v>85</v>
      </c>
      <c r="B1" s="492"/>
      <c r="C1" s="492"/>
      <c r="D1" s="2"/>
      <c r="E1" s="2"/>
    </row>
    <row r="2" spans="1:5" s="4" customFormat="1">
      <c r="A2" s="493" t="s">
        <v>86</v>
      </c>
      <c r="B2" s="493"/>
      <c r="C2" s="493"/>
      <c r="D2" s="2"/>
      <c r="E2" s="2"/>
    </row>
    <row r="3" spans="1:5" s="4" customFormat="1">
      <c r="A3" s="159"/>
      <c r="B3" s="165"/>
      <c r="C3" s="165"/>
      <c r="D3" s="2"/>
      <c r="E3" s="2"/>
    </row>
    <row r="4" spans="1:5" s="4" customFormat="1">
      <c r="A4" s="455" t="s">
        <v>135</v>
      </c>
      <c r="B4" s="455"/>
      <c r="C4" s="455"/>
      <c r="D4" s="2"/>
      <c r="E4" s="2"/>
    </row>
    <row r="5" spans="1:5" s="4" customFormat="1">
      <c r="A5" s="455" t="s">
        <v>136</v>
      </c>
      <c r="B5" s="455"/>
      <c r="C5" s="455"/>
      <c r="D5" s="2"/>
      <c r="E5" s="2"/>
    </row>
    <row r="6" spans="1:5" s="4" customFormat="1">
      <c r="A6" s="159"/>
      <c r="B6" s="165"/>
      <c r="C6" s="165"/>
      <c r="D6" s="2"/>
      <c r="E6" s="2"/>
    </row>
    <row r="7" spans="1:5" s="4" customFormat="1">
      <c r="A7" s="455" t="s">
        <v>137</v>
      </c>
      <c r="B7" s="455"/>
      <c r="C7" s="455"/>
      <c r="D7" s="2"/>
      <c r="E7" s="2"/>
    </row>
    <row r="8" spans="1:5" s="4" customFormat="1">
      <c r="A8" s="484" t="s">
        <v>138</v>
      </c>
      <c r="B8" s="484"/>
      <c r="C8" s="484"/>
      <c r="D8" s="2"/>
      <c r="E8" s="2"/>
    </row>
    <row r="9" spans="1:5" s="4" customFormat="1">
      <c r="A9" s="103" t="s">
        <v>139</v>
      </c>
      <c r="B9" s="164"/>
      <c r="C9" s="164"/>
      <c r="D9" s="175"/>
      <c r="E9" s="2"/>
    </row>
    <row r="10" spans="1:5" s="4" customFormat="1">
      <c r="A10" s="101" t="s">
        <v>140</v>
      </c>
      <c r="B10" s="164">
        <v>883000</v>
      </c>
      <c r="C10" s="164"/>
      <c r="D10" s="175"/>
      <c r="E10" s="2"/>
    </row>
    <row r="11" spans="1:5" s="4" customFormat="1" ht="16.5" thickBot="1">
      <c r="A11" s="101" t="s">
        <v>141</v>
      </c>
      <c r="B11" s="228">
        <v>2770000</v>
      </c>
      <c r="C11" s="164"/>
      <c r="D11" s="175"/>
      <c r="E11" s="2"/>
    </row>
    <row r="12" spans="1:5" s="4" customFormat="1">
      <c r="A12" s="103" t="s">
        <v>142</v>
      </c>
      <c r="B12" s="183"/>
      <c r="C12" s="165">
        <f>+B10+B11</f>
        <v>3653000</v>
      </c>
      <c r="D12" s="175" t="s">
        <v>143</v>
      </c>
      <c r="E12" s="2"/>
    </row>
    <row r="13" spans="1:5" s="4" customFormat="1">
      <c r="A13" s="103"/>
      <c r="B13" s="164"/>
      <c r="C13" s="164"/>
      <c r="D13" s="175" t="s">
        <v>143</v>
      </c>
      <c r="E13" s="2"/>
    </row>
    <row r="14" spans="1:5" s="4" customFormat="1">
      <c r="A14" s="103" t="s">
        <v>144</v>
      </c>
      <c r="B14" s="164"/>
      <c r="C14" s="164"/>
      <c r="D14" s="175" t="s">
        <v>143</v>
      </c>
      <c r="E14" s="2"/>
    </row>
    <row r="15" spans="1:5" s="4" customFormat="1">
      <c r="A15" s="101" t="s">
        <v>145</v>
      </c>
      <c r="B15" s="164">
        <v>115549000</v>
      </c>
      <c r="C15" s="164"/>
      <c r="D15" s="175"/>
      <c r="E15" s="2"/>
    </row>
    <row r="16" spans="1:5" s="4" customFormat="1">
      <c r="A16" s="101" t="s">
        <v>146</v>
      </c>
      <c r="B16" s="164">
        <v>5358000</v>
      </c>
      <c r="C16" s="164"/>
      <c r="D16" s="175"/>
      <c r="E16" s="2"/>
    </row>
    <row r="17" spans="1:5" s="4" customFormat="1" ht="16.5" thickBot="1">
      <c r="A17" s="101" t="s">
        <v>147</v>
      </c>
      <c r="B17" s="248">
        <f>12496405.88-405.88</f>
        <v>12496000</v>
      </c>
      <c r="C17" s="164"/>
      <c r="D17" s="175"/>
      <c r="E17" s="2"/>
    </row>
    <row r="18" spans="1:5" s="4" customFormat="1" ht="31.5">
      <c r="A18" s="105" t="s">
        <v>148</v>
      </c>
      <c r="B18" s="183"/>
      <c r="C18" s="165">
        <f>SUM(B15:B17)</f>
        <v>133403000</v>
      </c>
      <c r="D18" s="175"/>
      <c r="E18" s="2"/>
    </row>
    <row r="19" spans="1:5" s="4" customFormat="1">
      <c r="A19" s="247"/>
      <c r="B19" s="182"/>
      <c r="C19" s="182"/>
      <c r="D19" s="175"/>
      <c r="E19" s="2"/>
    </row>
    <row r="20" spans="1:5" s="4" customFormat="1" ht="16.5" thickBot="1">
      <c r="A20" s="482" t="s">
        <v>149</v>
      </c>
      <c r="B20" s="483"/>
      <c r="C20" s="185">
        <f>+C12+C18</f>
        <v>137056000</v>
      </c>
      <c r="D20" s="175" t="s">
        <v>143</v>
      </c>
      <c r="E20" s="2"/>
    </row>
    <row r="21" spans="1:5">
      <c r="A21" s="241"/>
      <c r="B21" s="183"/>
      <c r="C21" s="183"/>
      <c r="D21" s="175" t="s">
        <v>143</v>
      </c>
    </row>
    <row r="22" spans="1:5" s="4" customFormat="1">
      <c r="A22" s="455" t="s">
        <v>150</v>
      </c>
      <c r="B22" s="455"/>
      <c r="C22" s="455"/>
      <c r="D22" s="175" t="s">
        <v>143</v>
      </c>
      <c r="E22" s="2"/>
    </row>
    <row r="23" spans="1:5">
      <c r="A23" s="485" t="s">
        <v>151</v>
      </c>
      <c r="B23" s="486"/>
      <c r="C23" s="487"/>
      <c r="D23" s="175" t="s">
        <v>143</v>
      </c>
    </row>
    <row r="24" spans="1:5">
      <c r="A24" s="103" t="s">
        <v>152</v>
      </c>
      <c r="B24" s="141"/>
      <c r="C24" s="165"/>
      <c r="D24" s="175" t="s">
        <v>143</v>
      </c>
    </row>
    <row r="25" spans="1:5" ht="16.5" thickBot="1">
      <c r="A25" s="101" t="s">
        <v>153</v>
      </c>
      <c r="B25" s="228">
        <v>1730000</v>
      </c>
      <c r="C25" s="165"/>
      <c r="D25" s="175" t="s">
        <v>143</v>
      </c>
    </row>
    <row r="26" spans="1:5">
      <c r="A26" s="103" t="s">
        <v>154</v>
      </c>
      <c r="B26" s="183"/>
      <c r="C26" s="165">
        <f>+B25</f>
        <v>1730000</v>
      </c>
      <c r="D26" s="175" t="s">
        <v>143</v>
      </c>
    </row>
    <row r="27" spans="1:5">
      <c r="A27" s="166"/>
      <c r="B27" s="165"/>
      <c r="C27" s="165"/>
      <c r="D27" s="175" t="s">
        <v>143</v>
      </c>
    </row>
    <row r="28" spans="1:5">
      <c r="A28" s="103" t="s">
        <v>155</v>
      </c>
      <c r="B28" s="141"/>
      <c r="C28" s="165"/>
      <c r="D28" s="175" t="s">
        <v>143</v>
      </c>
    </row>
    <row r="29" spans="1:5" ht="16.5" thickBot="1">
      <c r="A29" s="101" t="s">
        <v>156</v>
      </c>
      <c r="B29" s="228">
        <v>2800000</v>
      </c>
      <c r="C29" s="165"/>
      <c r="D29" s="175"/>
    </row>
    <row r="30" spans="1:5">
      <c r="A30" s="103" t="s">
        <v>157</v>
      </c>
      <c r="B30" s="183"/>
      <c r="C30" s="165">
        <f>+B29</f>
        <v>2800000</v>
      </c>
      <c r="D30" s="175"/>
    </row>
    <row r="31" spans="1:5">
      <c r="A31" s="166"/>
      <c r="B31" s="165"/>
      <c r="C31" s="165"/>
      <c r="D31" s="175"/>
    </row>
    <row r="32" spans="1:5">
      <c r="A32" s="103" t="s">
        <v>158</v>
      </c>
      <c r="B32" s="141"/>
      <c r="C32" s="165"/>
      <c r="D32" s="175"/>
    </row>
    <row r="33" spans="1:5">
      <c r="A33" s="101" t="s">
        <v>159</v>
      </c>
      <c r="B33" s="164">
        <v>751100000</v>
      </c>
      <c r="C33" s="165"/>
      <c r="D33" s="175"/>
    </row>
    <row r="34" spans="1:5" ht="16.5" thickBot="1">
      <c r="A34" s="101" t="s">
        <v>160</v>
      </c>
      <c r="B34" s="228">
        <v>-35110000</v>
      </c>
      <c r="C34" s="165"/>
      <c r="D34" s="175"/>
    </row>
    <row r="35" spans="1:5">
      <c r="A35" s="103" t="s">
        <v>161</v>
      </c>
      <c r="B35" s="183"/>
      <c r="C35" s="165">
        <f>+B34+B33</f>
        <v>715990000</v>
      </c>
      <c r="D35" s="175" t="s">
        <v>143</v>
      </c>
    </row>
    <row r="36" spans="1:5">
      <c r="A36" s="247"/>
      <c r="B36" s="182"/>
      <c r="C36" s="182"/>
      <c r="D36" s="175" t="s">
        <v>143</v>
      </c>
    </row>
    <row r="37" spans="1:5" ht="16.5" thickBot="1">
      <c r="A37" s="295" t="s">
        <v>162</v>
      </c>
      <c r="B37" s="185"/>
      <c r="C37" s="185">
        <f>SUM(C25:C36)</f>
        <v>720520000</v>
      </c>
      <c r="D37" s="175"/>
    </row>
    <row r="38" spans="1:5">
      <c r="A38" s="249"/>
      <c r="B38" s="183"/>
      <c r="C38" s="183"/>
      <c r="D38" s="175"/>
    </row>
    <row r="39" spans="1:5">
      <c r="A39" s="103" t="s">
        <v>23</v>
      </c>
      <c r="B39" s="164"/>
      <c r="C39" s="164"/>
      <c r="D39" s="175" t="s">
        <v>143</v>
      </c>
    </row>
    <row r="40" spans="1:5" ht="16.5" thickBot="1">
      <c r="A40" s="101" t="s">
        <v>163</v>
      </c>
      <c r="B40" s="228">
        <v>1469000</v>
      </c>
      <c r="C40" s="165"/>
      <c r="D40" s="175"/>
    </row>
    <row r="41" spans="1:5">
      <c r="A41" s="103" t="s">
        <v>164</v>
      </c>
      <c r="B41" s="183"/>
      <c r="C41" s="165">
        <f>+B40</f>
        <v>1469000</v>
      </c>
    </row>
    <row r="42" spans="1:5">
      <c r="A42" s="239"/>
      <c r="B42" s="182"/>
      <c r="C42" s="182"/>
    </row>
    <row r="43" spans="1:5" ht="16.5" thickBot="1">
      <c r="A43" s="245" t="s">
        <v>165</v>
      </c>
      <c r="B43" s="184"/>
      <c r="C43" s="185">
        <f>+C37+C41</f>
        <v>721989000</v>
      </c>
    </row>
    <row r="44" spans="1:5">
      <c r="A44" s="243"/>
      <c r="B44" s="186"/>
      <c r="C44" s="186"/>
    </row>
    <row r="45" spans="1:5" s="9" customFormat="1" ht="16.5" thickBot="1">
      <c r="A45" s="482" t="s">
        <v>166</v>
      </c>
      <c r="B45" s="483"/>
      <c r="C45" s="185">
        <f>+C20+C43</f>
        <v>859045000</v>
      </c>
      <c r="D45" s="7"/>
      <c r="E45" s="7"/>
    </row>
    <row r="46" spans="1:5">
      <c r="A46" s="241"/>
      <c r="B46" s="183"/>
      <c r="C46" s="183"/>
    </row>
    <row r="47" spans="1:5">
      <c r="A47" s="101"/>
      <c r="B47" s="164"/>
      <c r="C47" s="164"/>
    </row>
    <row r="48" spans="1:5">
      <c r="A48" s="492" t="s">
        <v>85</v>
      </c>
      <c r="B48" s="492"/>
      <c r="C48" s="492"/>
    </row>
    <row r="49" spans="1:3">
      <c r="A49" s="493" t="s">
        <v>86</v>
      </c>
      <c r="B49" s="493"/>
      <c r="C49" s="493"/>
    </row>
    <row r="50" spans="1:3">
      <c r="A50" s="159"/>
      <c r="B50" s="165"/>
      <c r="C50" s="165"/>
    </row>
    <row r="51" spans="1:3">
      <c r="A51" s="455" t="s">
        <v>135</v>
      </c>
      <c r="B51" s="455"/>
      <c r="C51" s="455"/>
    </row>
    <row r="52" spans="1:3">
      <c r="A52" s="455" t="s">
        <v>136</v>
      </c>
      <c r="B52" s="455"/>
      <c r="C52" s="455"/>
    </row>
    <row r="53" spans="1:3">
      <c r="A53" s="101"/>
      <c r="B53" s="164"/>
      <c r="C53" s="164"/>
    </row>
    <row r="54" spans="1:3">
      <c r="A54" s="498" t="s">
        <v>167</v>
      </c>
      <c r="B54" s="498"/>
      <c r="C54" s="498"/>
    </row>
    <row r="55" spans="1:3">
      <c r="A55" s="103" t="s">
        <v>27</v>
      </c>
      <c r="B55" s="164"/>
      <c r="C55" s="164"/>
    </row>
    <row r="56" spans="1:3" ht="16.5" thickBot="1">
      <c r="A56" s="101" t="s">
        <v>168</v>
      </c>
      <c r="B56" s="228">
        <v>38622000</v>
      </c>
      <c r="C56" s="164"/>
    </row>
    <row r="57" spans="1:3">
      <c r="A57" s="103" t="s">
        <v>169</v>
      </c>
      <c r="B57" s="183"/>
      <c r="C57" s="165">
        <f>+B56</f>
        <v>38622000</v>
      </c>
    </row>
    <row r="58" spans="1:3">
      <c r="A58" s="100"/>
      <c r="B58" s="165"/>
      <c r="C58" s="165"/>
    </row>
    <row r="59" spans="1:3">
      <c r="A59" s="103" t="s">
        <v>170</v>
      </c>
      <c r="B59" s="164"/>
      <c r="C59" s="164"/>
    </row>
    <row r="60" spans="1:3">
      <c r="A60" s="101" t="s">
        <v>171</v>
      </c>
      <c r="B60" s="164">
        <v>87000</v>
      </c>
      <c r="C60" s="164"/>
    </row>
    <row r="61" spans="1:3">
      <c r="A61" s="101" t="s">
        <v>172</v>
      </c>
      <c r="B61" s="164">
        <v>809000</v>
      </c>
      <c r="C61" s="164"/>
    </row>
    <row r="62" spans="1:3">
      <c r="A62" s="101" t="s">
        <v>173</v>
      </c>
      <c r="B62" s="164">
        <v>1107000</v>
      </c>
      <c r="C62" s="164"/>
    </row>
    <row r="63" spans="1:3" ht="16.5" thickBot="1">
      <c r="A63" s="101" t="s">
        <v>174</v>
      </c>
      <c r="B63" s="228">
        <v>69361000</v>
      </c>
      <c r="C63" s="164"/>
    </row>
    <row r="64" spans="1:3" ht="31.5">
      <c r="A64" s="105" t="s">
        <v>170</v>
      </c>
      <c r="B64" s="183"/>
      <c r="C64" s="165">
        <f>+SUM(B60:B63)</f>
        <v>71364000</v>
      </c>
    </row>
    <row r="65" spans="1:5">
      <c r="A65" s="103"/>
      <c r="B65" s="164"/>
      <c r="C65" s="165"/>
    </row>
    <row r="66" spans="1:5">
      <c r="A66" s="103" t="s">
        <v>175</v>
      </c>
      <c r="B66" s="164"/>
      <c r="C66" s="164"/>
    </row>
    <row r="67" spans="1:5" ht="16.5" thickBot="1">
      <c r="A67" s="101" t="s">
        <v>176</v>
      </c>
      <c r="B67" s="228">
        <v>2190000</v>
      </c>
      <c r="C67" s="164"/>
    </row>
    <row r="68" spans="1:5">
      <c r="A68" s="103" t="s">
        <v>177</v>
      </c>
      <c r="B68" s="183"/>
      <c r="C68" s="165">
        <f>+B67</f>
        <v>2190000</v>
      </c>
    </row>
    <row r="69" spans="1:5">
      <c r="A69" s="103"/>
      <c r="B69" s="164"/>
      <c r="C69" s="165"/>
    </row>
    <row r="70" spans="1:5">
      <c r="A70" s="103" t="s">
        <v>178</v>
      </c>
      <c r="B70" s="164"/>
      <c r="C70" s="164"/>
    </row>
    <row r="71" spans="1:5" ht="16.5" thickBot="1">
      <c r="A71" s="101" t="s">
        <v>179</v>
      </c>
      <c r="B71" s="228">
        <v>37668000</v>
      </c>
      <c r="C71" s="164"/>
    </row>
    <row r="72" spans="1:5">
      <c r="A72" s="103" t="s">
        <v>180</v>
      </c>
      <c r="B72" s="183"/>
      <c r="C72" s="165">
        <f>+B71</f>
        <v>37668000</v>
      </c>
    </row>
    <row r="73" spans="1:5">
      <c r="A73" s="103"/>
      <c r="B73" s="164"/>
      <c r="C73" s="165"/>
    </row>
    <row r="74" spans="1:5">
      <c r="A74" s="103" t="s">
        <v>181</v>
      </c>
      <c r="B74" s="164"/>
      <c r="C74" s="140"/>
    </row>
    <row r="75" spans="1:5">
      <c r="A75" s="101" t="s">
        <v>128</v>
      </c>
      <c r="B75" s="164">
        <f>+' ER 2016'!B68</f>
        <v>8997000</v>
      </c>
      <c r="C75" s="140"/>
    </row>
    <row r="76" spans="1:5" ht="16.5" thickBot="1">
      <c r="A76" s="101" t="s">
        <v>250</v>
      </c>
      <c r="B76" s="228">
        <f>+' ER 2016'!B69</f>
        <v>3239000</v>
      </c>
      <c r="C76" s="140"/>
    </row>
    <row r="77" spans="1:5">
      <c r="A77" s="103" t="s">
        <v>183</v>
      </c>
      <c r="B77" s="183"/>
      <c r="C77" s="142">
        <f>+B75+B76</f>
        <v>12236000</v>
      </c>
    </row>
    <row r="78" spans="1:5">
      <c r="A78" s="247"/>
      <c r="B78" s="182"/>
      <c r="C78" s="187"/>
    </row>
    <row r="79" spans="1:5" s="9" customFormat="1" ht="16.5" thickBot="1">
      <c r="A79" s="482" t="s">
        <v>184</v>
      </c>
      <c r="B79" s="483"/>
      <c r="C79" s="185">
        <f>+C64+C57+C68+C72+C77</f>
        <v>162080000</v>
      </c>
      <c r="D79" s="7"/>
      <c r="E79" s="7"/>
    </row>
    <row r="80" spans="1:5">
      <c r="A80" s="251"/>
      <c r="B80" s="188"/>
      <c r="C80" s="188"/>
    </row>
    <row r="81" spans="1:5">
      <c r="A81" s="455" t="s">
        <v>185</v>
      </c>
      <c r="B81" s="455"/>
      <c r="C81" s="455"/>
    </row>
    <row r="82" spans="1:5">
      <c r="A82" s="103" t="s">
        <v>186</v>
      </c>
      <c r="B82" s="164"/>
      <c r="C82" s="164"/>
      <c r="D82" s="3"/>
      <c r="E82" s="3"/>
    </row>
    <row r="83" spans="1:5" ht="16.5" thickBot="1">
      <c r="A83" s="101" t="s">
        <v>187</v>
      </c>
      <c r="B83" s="228">
        <v>620000000</v>
      </c>
      <c r="C83" s="164"/>
      <c r="D83" s="3"/>
      <c r="E83" s="3"/>
    </row>
    <row r="84" spans="1:5">
      <c r="A84" s="103" t="s">
        <v>188</v>
      </c>
      <c r="B84" s="183"/>
      <c r="C84" s="165">
        <f>+B83</f>
        <v>620000000</v>
      </c>
      <c r="D84" s="3"/>
      <c r="E84" s="3"/>
    </row>
    <row r="85" spans="1:5">
      <c r="A85" s="103"/>
      <c r="B85" s="164"/>
      <c r="C85" s="165"/>
      <c r="D85" s="3"/>
      <c r="E85" s="3"/>
    </row>
    <row r="86" spans="1:5">
      <c r="A86" s="103" t="s">
        <v>189</v>
      </c>
      <c r="B86" s="164"/>
      <c r="C86" s="164"/>
      <c r="D86" s="3"/>
      <c r="E86" s="3"/>
    </row>
    <row r="87" spans="1:5" ht="16.5" thickBot="1">
      <c r="A87" s="101" t="s">
        <v>190</v>
      </c>
      <c r="B87" s="228">
        <f>+'ESF 2015'!B62+4782000</f>
        <v>5321000</v>
      </c>
      <c r="C87" s="164"/>
      <c r="D87" s="3"/>
      <c r="E87" s="3"/>
    </row>
    <row r="88" spans="1:5">
      <c r="A88" s="103" t="s">
        <v>191</v>
      </c>
      <c r="B88" s="183"/>
      <c r="C88" s="165">
        <f>+B87</f>
        <v>5321000</v>
      </c>
      <c r="D88" s="3"/>
      <c r="E88" s="3"/>
    </row>
    <row r="89" spans="1:5">
      <c r="A89" s="103"/>
      <c r="B89" s="164"/>
      <c r="C89" s="165"/>
      <c r="D89" s="3"/>
      <c r="E89" s="3"/>
    </row>
    <row r="90" spans="1:5">
      <c r="A90" s="103" t="s">
        <v>36</v>
      </c>
      <c r="B90" s="164"/>
      <c r="C90" s="164"/>
    </row>
    <row r="91" spans="1:5" ht="16.5" thickBot="1">
      <c r="A91" s="101" t="s">
        <v>192</v>
      </c>
      <c r="B91" s="228">
        <f>+' ER 2016'!C72</f>
        <v>23753000</v>
      </c>
      <c r="C91" s="164"/>
    </row>
    <row r="92" spans="1:5">
      <c r="A92" s="103" t="s">
        <v>193</v>
      </c>
      <c r="B92" s="183"/>
      <c r="C92" s="165">
        <f>+B91</f>
        <v>23753000</v>
      </c>
    </row>
    <row r="93" spans="1:5">
      <c r="A93" s="103"/>
      <c r="B93" s="164"/>
      <c r="C93" s="165"/>
    </row>
    <row r="94" spans="1:5">
      <c r="A94" s="103" t="s">
        <v>194</v>
      </c>
      <c r="B94" s="164"/>
      <c r="C94" s="164"/>
    </row>
    <row r="95" spans="1:5" ht="16.5" thickBot="1">
      <c r="A95" s="101" t="s">
        <v>195</v>
      </c>
      <c r="B95" s="228">
        <f>+'ESF 2015'!B66+43036000</f>
        <v>47891000</v>
      </c>
      <c r="C95" s="164"/>
    </row>
    <row r="96" spans="1:5">
      <c r="A96" s="103" t="s">
        <v>196</v>
      </c>
      <c r="B96" s="183"/>
      <c r="C96" s="165">
        <f>+B95</f>
        <v>47891000</v>
      </c>
    </row>
    <row r="97" spans="1:5">
      <c r="A97" s="247"/>
      <c r="B97" s="182"/>
      <c r="C97" s="187"/>
    </row>
    <row r="98" spans="1:5" s="9" customFormat="1" ht="16.5" thickBot="1">
      <c r="A98" s="245" t="s">
        <v>197</v>
      </c>
      <c r="B98" s="185"/>
      <c r="C98" s="185">
        <f>+C84+C92+C88+C96</f>
        <v>696965000</v>
      </c>
      <c r="D98" s="7"/>
      <c r="E98" s="7"/>
    </row>
    <row r="99" spans="1:5">
      <c r="A99" s="243"/>
      <c r="B99" s="186"/>
      <c r="C99" s="186"/>
    </row>
    <row r="100" spans="1:5" s="9" customFormat="1" ht="16.5" thickBot="1">
      <c r="A100" s="482" t="s">
        <v>198</v>
      </c>
      <c r="B100" s="483"/>
      <c r="C100" s="185">
        <f>+C79+C98</f>
        <v>859045000</v>
      </c>
      <c r="D100" s="7"/>
      <c r="E100" s="7"/>
    </row>
    <row r="101" spans="1:5" s="9" customFormat="1">
      <c r="A101" s="249"/>
      <c r="B101" s="188"/>
      <c r="C101" s="188"/>
      <c r="D101" s="7"/>
      <c r="E101" s="7"/>
    </row>
    <row r="102" spans="1:5" s="9" customFormat="1">
      <c r="A102" s="103"/>
      <c r="B102" s="165"/>
      <c r="C102" s="165"/>
      <c r="D102" s="7"/>
      <c r="E102" s="7"/>
    </row>
    <row r="103" spans="1:5">
      <c r="A103" s="172" t="s">
        <v>130</v>
      </c>
      <c r="B103" s="490" t="s">
        <v>131</v>
      </c>
      <c r="C103" s="490"/>
    </row>
    <row r="104" spans="1:5">
      <c r="A104" s="115" t="s">
        <v>132</v>
      </c>
      <c r="B104" s="489" t="s">
        <v>133</v>
      </c>
      <c r="C104" s="489"/>
    </row>
    <row r="105" spans="1:5">
      <c r="A105" s="110" t="s">
        <v>251</v>
      </c>
      <c r="B105" s="490" t="s">
        <v>134</v>
      </c>
      <c r="C105" s="490"/>
    </row>
  </sheetData>
  <mergeCells count="21">
    <mergeCell ref="A20:B20"/>
    <mergeCell ref="A23:C23"/>
    <mergeCell ref="A45:B45"/>
    <mergeCell ref="A79:B79"/>
    <mergeCell ref="A8:C8"/>
    <mergeCell ref="A1:C1"/>
    <mergeCell ref="A2:C2"/>
    <mergeCell ref="A4:C4"/>
    <mergeCell ref="A5:C5"/>
    <mergeCell ref="A7:C7"/>
    <mergeCell ref="A81:C81"/>
    <mergeCell ref="B103:C103"/>
    <mergeCell ref="B104:C104"/>
    <mergeCell ref="B105:C105"/>
    <mergeCell ref="A22:C22"/>
    <mergeCell ref="A54:C54"/>
    <mergeCell ref="A48:C48"/>
    <mergeCell ref="A49:C49"/>
    <mergeCell ref="A51:C51"/>
    <mergeCell ref="A52:C52"/>
    <mergeCell ref="A100:B100"/>
  </mergeCells>
  <pageMargins left="0.7" right="0.7" top="0.75" bottom="0.75" header="0.3" footer="0.3"/>
  <pageSetup scale="74" orientation="portrait" r:id="rId1"/>
  <rowBreaks count="2" manualBreakCount="2">
    <brk id="46" max="16383" man="1"/>
    <brk id="105"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A48" sqref="A48"/>
    </sheetView>
  </sheetViews>
  <sheetFormatPr baseColWidth="10" defaultColWidth="10.7109375" defaultRowHeight="15.75"/>
  <cols>
    <col min="1" max="1" width="57" style="3" customWidth="1"/>
    <col min="2" max="2" width="21" style="169" customWidth="1"/>
    <col min="3" max="3" width="20.5703125" style="169" customWidth="1"/>
    <col min="4" max="4" width="15.28515625" style="116" bestFit="1" customWidth="1"/>
    <col min="5" max="5" width="16.5703125" style="116" bestFit="1" customWidth="1"/>
    <col min="6" max="6" width="19" style="3" customWidth="1"/>
    <col min="7" max="256" width="11.42578125" style="3"/>
    <col min="257" max="257" width="58.85546875" style="3" customWidth="1"/>
    <col min="258" max="258" width="15.7109375" style="3" customWidth="1"/>
    <col min="259" max="259" width="16.5703125" style="3" customWidth="1"/>
    <col min="260" max="260" width="15.28515625" style="3" bestFit="1" customWidth="1"/>
    <col min="261" max="261" width="16.5703125" style="3" bestFit="1" customWidth="1"/>
    <col min="262" max="262" width="19" style="3" customWidth="1"/>
    <col min="263" max="512" width="11.42578125" style="3"/>
    <col min="513" max="513" width="58.85546875" style="3" customWidth="1"/>
    <col min="514" max="514" width="15.7109375" style="3" customWidth="1"/>
    <col min="515" max="515" width="16.5703125" style="3" customWidth="1"/>
    <col min="516" max="516" width="15.28515625" style="3" bestFit="1" customWidth="1"/>
    <col min="517" max="517" width="16.5703125" style="3" bestFit="1" customWidth="1"/>
    <col min="518" max="518" width="19" style="3" customWidth="1"/>
    <col min="519" max="768" width="11.42578125" style="3"/>
    <col min="769" max="769" width="58.85546875" style="3" customWidth="1"/>
    <col min="770" max="770" width="15.7109375" style="3" customWidth="1"/>
    <col min="771" max="771" width="16.5703125" style="3" customWidth="1"/>
    <col min="772" max="772" width="15.28515625" style="3" bestFit="1" customWidth="1"/>
    <col min="773" max="773" width="16.5703125" style="3" bestFit="1" customWidth="1"/>
    <col min="774" max="774" width="19" style="3" customWidth="1"/>
    <col min="775" max="1024" width="11.42578125" style="3"/>
    <col min="1025" max="1025" width="58.85546875" style="3" customWidth="1"/>
    <col min="1026" max="1026" width="15.7109375" style="3" customWidth="1"/>
    <col min="1027" max="1027" width="16.5703125" style="3" customWidth="1"/>
    <col min="1028" max="1028" width="15.28515625" style="3" bestFit="1" customWidth="1"/>
    <col min="1029" max="1029" width="16.5703125" style="3" bestFit="1" customWidth="1"/>
    <col min="1030" max="1030" width="19" style="3" customWidth="1"/>
    <col min="1031" max="1280" width="11.42578125" style="3"/>
    <col min="1281" max="1281" width="58.85546875" style="3" customWidth="1"/>
    <col min="1282" max="1282" width="15.7109375" style="3" customWidth="1"/>
    <col min="1283" max="1283" width="16.5703125" style="3" customWidth="1"/>
    <col min="1284" max="1284" width="15.28515625" style="3" bestFit="1" customWidth="1"/>
    <col min="1285" max="1285" width="16.5703125" style="3" bestFit="1" customWidth="1"/>
    <col min="1286" max="1286" width="19" style="3" customWidth="1"/>
    <col min="1287" max="1536" width="11.42578125" style="3"/>
    <col min="1537" max="1537" width="58.85546875" style="3" customWidth="1"/>
    <col min="1538" max="1538" width="15.7109375" style="3" customWidth="1"/>
    <col min="1539" max="1539" width="16.5703125" style="3" customWidth="1"/>
    <col min="1540" max="1540" width="15.28515625" style="3" bestFit="1" customWidth="1"/>
    <col min="1541" max="1541" width="16.5703125" style="3" bestFit="1" customWidth="1"/>
    <col min="1542" max="1542" width="19" style="3" customWidth="1"/>
    <col min="1543" max="1792" width="11.42578125" style="3"/>
    <col min="1793" max="1793" width="58.85546875" style="3" customWidth="1"/>
    <col min="1794" max="1794" width="15.7109375" style="3" customWidth="1"/>
    <col min="1795" max="1795" width="16.5703125" style="3" customWidth="1"/>
    <col min="1796" max="1796" width="15.28515625" style="3" bestFit="1" customWidth="1"/>
    <col min="1797" max="1797" width="16.5703125" style="3" bestFit="1" customWidth="1"/>
    <col min="1798" max="1798" width="19" style="3" customWidth="1"/>
    <col min="1799" max="2048" width="11.42578125" style="3"/>
    <col min="2049" max="2049" width="58.85546875" style="3" customWidth="1"/>
    <col min="2050" max="2050" width="15.7109375" style="3" customWidth="1"/>
    <col min="2051" max="2051" width="16.5703125" style="3" customWidth="1"/>
    <col min="2052" max="2052" width="15.28515625" style="3" bestFit="1" customWidth="1"/>
    <col min="2053" max="2053" width="16.5703125" style="3" bestFit="1" customWidth="1"/>
    <col min="2054" max="2054" width="19" style="3" customWidth="1"/>
    <col min="2055" max="2304" width="11.42578125" style="3"/>
    <col min="2305" max="2305" width="58.85546875" style="3" customWidth="1"/>
    <col min="2306" max="2306" width="15.7109375" style="3" customWidth="1"/>
    <col min="2307" max="2307" width="16.5703125" style="3" customWidth="1"/>
    <col min="2308" max="2308" width="15.28515625" style="3" bestFit="1" customWidth="1"/>
    <col min="2309" max="2309" width="16.5703125" style="3" bestFit="1" customWidth="1"/>
    <col min="2310" max="2310" width="19" style="3" customWidth="1"/>
    <col min="2311" max="2560" width="11.42578125" style="3"/>
    <col min="2561" max="2561" width="58.85546875" style="3" customWidth="1"/>
    <col min="2562" max="2562" width="15.7109375" style="3" customWidth="1"/>
    <col min="2563" max="2563" width="16.5703125" style="3" customWidth="1"/>
    <col min="2564" max="2564" width="15.28515625" style="3" bestFit="1" customWidth="1"/>
    <col min="2565" max="2565" width="16.5703125" style="3" bestFit="1" customWidth="1"/>
    <col min="2566" max="2566" width="19" style="3" customWidth="1"/>
    <col min="2567" max="2816" width="11.42578125" style="3"/>
    <col min="2817" max="2817" width="58.85546875" style="3" customWidth="1"/>
    <col min="2818" max="2818" width="15.7109375" style="3" customWidth="1"/>
    <col min="2819" max="2819" width="16.5703125" style="3" customWidth="1"/>
    <col min="2820" max="2820" width="15.28515625" style="3" bestFit="1" customWidth="1"/>
    <col min="2821" max="2821" width="16.5703125" style="3" bestFit="1" customWidth="1"/>
    <col min="2822" max="2822" width="19" style="3" customWidth="1"/>
    <col min="2823" max="3072" width="11.42578125" style="3"/>
    <col min="3073" max="3073" width="58.85546875" style="3" customWidth="1"/>
    <col min="3074" max="3074" width="15.7109375" style="3" customWidth="1"/>
    <col min="3075" max="3075" width="16.5703125" style="3" customWidth="1"/>
    <col min="3076" max="3076" width="15.28515625" style="3" bestFit="1" customWidth="1"/>
    <col min="3077" max="3077" width="16.5703125" style="3" bestFit="1" customWidth="1"/>
    <col min="3078" max="3078" width="19" style="3" customWidth="1"/>
    <col min="3079" max="3328" width="11.42578125" style="3"/>
    <col min="3329" max="3329" width="58.85546875" style="3" customWidth="1"/>
    <col min="3330" max="3330" width="15.7109375" style="3" customWidth="1"/>
    <col min="3331" max="3331" width="16.5703125" style="3" customWidth="1"/>
    <col min="3332" max="3332" width="15.28515625" style="3" bestFit="1" customWidth="1"/>
    <col min="3333" max="3333" width="16.5703125" style="3" bestFit="1" customWidth="1"/>
    <col min="3334" max="3334" width="19" style="3" customWidth="1"/>
    <col min="3335" max="3584" width="11.42578125" style="3"/>
    <col min="3585" max="3585" width="58.85546875" style="3" customWidth="1"/>
    <col min="3586" max="3586" width="15.7109375" style="3" customWidth="1"/>
    <col min="3587" max="3587" width="16.5703125" style="3" customWidth="1"/>
    <col min="3588" max="3588" width="15.28515625" style="3" bestFit="1" customWidth="1"/>
    <col min="3589" max="3589" width="16.5703125" style="3" bestFit="1" customWidth="1"/>
    <col min="3590" max="3590" width="19" style="3" customWidth="1"/>
    <col min="3591" max="3840" width="11.42578125" style="3"/>
    <col min="3841" max="3841" width="58.85546875" style="3" customWidth="1"/>
    <col min="3842" max="3842" width="15.7109375" style="3" customWidth="1"/>
    <col min="3843" max="3843" width="16.5703125" style="3" customWidth="1"/>
    <col min="3844" max="3844" width="15.28515625" style="3" bestFit="1" customWidth="1"/>
    <col min="3845" max="3845" width="16.5703125" style="3" bestFit="1" customWidth="1"/>
    <col min="3846" max="3846" width="19" style="3" customWidth="1"/>
    <col min="3847" max="4096" width="11.42578125" style="3"/>
    <col min="4097" max="4097" width="58.85546875" style="3" customWidth="1"/>
    <col min="4098" max="4098" width="15.7109375" style="3" customWidth="1"/>
    <col min="4099" max="4099" width="16.5703125" style="3" customWidth="1"/>
    <col min="4100" max="4100" width="15.28515625" style="3" bestFit="1" customWidth="1"/>
    <col min="4101" max="4101" width="16.5703125" style="3" bestFit="1" customWidth="1"/>
    <col min="4102" max="4102" width="19" style="3" customWidth="1"/>
    <col min="4103" max="4352" width="11.42578125" style="3"/>
    <col min="4353" max="4353" width="58.85546875" style="3" customWidth="1"/>
    <col min="4354" max="4354" width="15.7109375" style="3" customWidth="1"/>
    <col min="4355" max="4355" width="16.5703125" style="3" customWidth="1"/>
    <col min="4356" max="4356" width="15.28515625" style="3" bestFit="1" customWidth="1"/>
    <col min="4357" max="4357" width="16.5703125" style="3" bestFit="1" customWidth="1"/>
    <col min="4358" max="4358" width="19" style="3" customWidth="1"/>
    <col min="4359" max="4608" width="11.42578125" style="3"/>
    <col min="4609" max="4609" width="58.85546875" style="3" customWidth="1"/>
    <col min="4610" max="4610" width="15.7109375" style="3" customWidth="1"/>
    <col min="4611" max="4611" width="16.5703125" style="3" customWidth="1"/>
    <col min="4612" max="4612" width="15.28515625" style="3" bestFit="1" customWidth="1"/>
    <col min="4613" max="4613" width="16.5703125" style="3" bestFit="1" customWidth="1"/>
    <col min="4614" max="4614" width="19" style="3" customWidth="1"/>
    <col min="4615" max="4864" width="11.42578125" style="3"/>
    <col min="4865" max="4865" width="58.85546875" style="3" customWidth="1"/>
    <col min="4866" max="4866" width="15.7109375" style="3" customWidth="1"/>
    <col min="4867" max="4867" width="16.5703125" style="3" customWidth="1"/>
    <col min="4868" max="4868" width="15.28515625" style="3" bestFit="1" customWidth="1"/>
    <col min="4869" max="4869" width="16.5703125" style="3" bestFit="1" customWidth="1"/>
    <col min="4870" max="4870" width="19" style="3" customWidth="1"/>
    <col min="4871" max="5120" width="11.42578125" style="3"/>
    <col min="5121" max="5121" width="58.85546875" style="3" customWidth="1"/>
    <col min="5122" max="5122" width="15.7109375" style="3" customWidth="1"/>
    <col min="5123" max="5123" width="16.5703125" style="3" customWidth="1"/>
    <col min="5124" max="5124" width="15.28515625" style="3" bestFit="1" customWidth="1"/>
    <col min="5125" max="5125" width="16.5703125" style="3" bestFit="1" customWidth="1"/>
    <col min="5126" max="5126" width="19" style="3" customWidth="1"/>
    <col min="5127" max="5376" width="11.42578125" style="3"/>
    <col min="5377" max="5377" width="58.85546875" style="3" customWidth="1"/>
    <col min="5378" max="5378" width="15.7109375" style="3" customWidth="1"/>
    <col min="5379" max="5379" width="16.5703125" style="3" customWidth="1"/>
    <col min="5380" max="5380" width="15.28515625" style="3" bestFit="1" customWidth="1"/>
    <col min="5381" max="5381" width="16.5703125" style="3" bestFit="1" customWidth="1"/>
    <col min="5382" max="5382" width="19" style="3" customWidth="1"/>
    <col min="5383" max="5632" width="11.42578125" style="3"/>
    <col min="5633" max="5633" width="58.85546875" style="3" customWidth="1"/>
    <col min="5634" max="5634" width="15.7109375" style="3" customWidth="1"/>
    <col min="5635" max="5635" width="16.5703125" style="3" customWidth="1"/>
    <col min="5636" max="5636" width="15.28515625" style="3" bestFit="1" customWidth="1"/>
    <col min="5637" max="5637" width="16.5703125" style="3" bestFit="1" customWidth="1"/>
    <col min="5638" max="5638" width="19" style="3" customWidth="1"/>
    <col min="5639" max="5888" width="11.42578125" style="3"/>
    <col min="5889" max="5889" width="58.85546875" style="3" customWidth="1"/>
    <col min="5890" max="5890" width="15.7109375" style="3" customWidth="1"/>
    <col min="5891" max="5891" width="16.5703125" style="3" customWidth="1"/>
    <col min="5892" max="5892" width="15.28515625" style="3" bestFit="1" customWidth="1"/>
    <col min="5893" max="5893" width="16.5703125" style="3" bestFit="1" customWidth="1"/>
    <col min="5894" max="5894" width="19" style="3" customWidth="1"/>
    <col min="5895" max="6144" width="11.42578125" style="3"/>
    <col min="6145" max="6145" width="58.85546875" style="3" customWidth="1"/>
    <col min="6146" max="6146" width="15.7109375" style="3" customWidth="1"/>
    <col min="6147" max="6147" width="16.5703125" style="3" customWidth="1"/>
    <col min="6148" max="6148" width="15.28515625" style="3" bestFit="1" customWidth="1"/>
    <col min="6149" max="6149" width="16.5703125" style="3" bestFit="1" customWidth="1"/>
    <col min="6150" max="6150" width="19" style="3" customWidth="1"/>
    <col min="6151" max="6400" width="11.42578125" style="3"/>
    <col min="6401" max="6401" width="58.85546875" style="3" customWidth="1"/>
    <col min="6402" max="6402" width="15.7109375" style="3" customWidth="1"/>
    <col min="6403" max="6403" width="16.5703125" style="3" customWidth="1"/>
    <col min="6404" max="6404" width="15.28515625" style="3" bestFit="1" customWidth="1"/>
    <col min="6405" max="6405" width="16.5703125" style="3" bestFit="1" customWidth="1"/>
    <col min="6406" max="6406" width="19" style="3" customWidth="1"/>
    <col min="6407" max="6656" width="11.42578125" style="3"/>
    <col min="6657" max="6657" width="58.85546875" style="3" customWidth="1"/>
    <col min="6658" max="6658" width="15.7109375" style="3" customWidth="1"/>
    <col min="6659" max="6659" width="16.5703125" style="3" customWidth="1"/>
    <col min="6660" max="6660" width="15.28515625" style="3" bestFit="1" customWidth="1"/>
    <col min="6661" max="6661" width="16.5703125" style="3" bestFit="1" customWidth="1"/>
    <col min="6662" max="6662" width="19" style="3" customWidth="1"/>
    <col min="6663" max="6912" width="11.42578125" style="3"/>
    <col min="6913" max="6913" width="58.85546875" style="3" customWidth="1"/>
    <col min="6914" max="6914" width="15.7109375" style="3" customWidth="1"/>
    <col min="6915" max="6915" width="16.5703125" style="3" customWidth="1"/>
    <col min="6916" max="6916" width="15.28515625" style="3" bestFit="1" customWidth="1"/>
    <col min="6917" max="6917" width="16.5703125" style="3" bestFit="1" customWidth="1"/>
    <col min="6918" max="6918" width="19" style="3" customWidth="1"/>
    <col min="6919" max="7168" width="11.42578125" style="3"/>
    <col min="7169" max="7169" width="58.85546875" style="3" customWidth="1"/>
    <col min="7170" max="7170" width="15.7109375" style="3" customWidth="1"/>
    <col min="7171" max="7171" width="16.5703125" style="3" customWidth="1"/>
    <col min="7172" max="7172" width="15.28515625" style="3" bestFit="1" customWidth="1"/>
    <col min="7173" max="7173" width="16.5703125" style="3" bestFit="1" customWidth="1"/>
    <col min="7174" max="7174" width="19" style="3" customWidth="1"/>
    <col min="7175" max="7424" width="11.42578125" style="3"/>
    <col min="7425" max="7425" width="58.85546875" style="3" customWidth="1"/>
    <col min="7426" max="7426" width="15.7109375" style="3" customWidth="1"/>
    <col min="7427" max="7427" width="16.5703125" style="3" customWidth="1"/>
    <col min="7428" max="7428" width="15.28515625" style="3" bestFit="1" customWidth="1"/>
    <col min="7429" max="7429" width="16.5703125" style="3" bestFit="1" customWidth="1"/>
    <col min="7430" max="7430" width="19" style="3" customWidth="1"/>
    <col min="7431" max="7680" width="11.42578125" style="3"/>
    <col min="7681" max="7681" width="58.85546875" style="3" customWidth="1"/>
    <col min="7682" max="7682" width="15.7109375" style="3" customWidth="1"/>
    <col min="7683" max="7683" width="16.5703125" style="3" customWidth="1"/>
    <col min="7684" max="7684" width="15.28515625" style="3" bestFit="1" customWidth="1"/>
    <col min="7685" max="7685" width="16.5703125" style="3" bestFit="1" customWidth="1"/>
    <col min="7686" max="7686" width="19" style="3" customWidth="1"/>
    <col min="7687" max="7936" width="11.42578125" style="3"/>
    <col min="7937" max="7937" width="58.85546875" style="3" customWidth="1"/>
    <col min="7938" max="7938" width="15.7109375" style="3" customWidth="1"/>
    <col min="7939" max="7939" width="16.5703125" style="3" customWidth="1"/>
    <col min="7940" max="7940" width="15.28515625" style="3" bestFit="1" customWidth="1"/>
    <col min="7941" max="7941" width="16.5703125" style="3" bestFit="1" customWidth="1"/>
    <col min="7942" max="7942" width="19" style="3" customWidth="1"/>
    <col min="7943" max="8192" width="11.42578125" style="3"/>
    <col min="8193" max="8193" width="58.85546875" style="3" customWidth="1"/>
    <col min="8194" max="8194" width="15.7109375" style="3" customWidth="1"/>
    <col min="8195" max="8195" width="16.5703125" style="3" customWidth="1"/>
    <col min="8196" max="8196" width="15.28515625" style="3" bestFit="1" customWidth="1"/>
    <col min="8197" max="8197" width="16.5703125" style="3" bestFit="1" customWidth="1"/>
    <col min="8198" max="8198" width="19" style="3" customWidth="1"/>
    <col min="8199" max="8448" width="11.42578125" style="3"/>
    <col min="8449" max="8449" width="58.85546875" style="3" customWidth="1"/>
    <col min="8450" max="8450" width="15.7109375" style="3" customWidth="1"/>
    <col min="8451" max="8451" width="16.5703125" style="3" customWidth="1"/>
    <col min="8452" max="8452" width="15.28515625" style="3" bestFit="1" customWidth="1"/>
    <col min="8453" max="8453" width="16.5703125" style="3" bestFit="1" customWidth="1"/>
    <col min="8454" max="8454" width="19" style="3" customWidth="1"/>
    <col min="8455" max="8704" width="11.42578125" style="3"/>
    <col min="8705" max="8705" width="58.85546875" style="3" customWidth="1"/>
    <col min="8706" max="8706" width="15.7109375" style="3" customWidth="1"/>
    <col min="8707" max="8707" width="16.5703125" style="3" customWidth="1"/>
    <col min="8708" max="8708" width="15.28515625" style="3" bestFit="1" customWidth="1"/>
    <col min="8709" max="8709" width="16.5703125" style="3" bestFit="1" customWidth="1"/>
    <col min="8710" max="8710" width="19" style="3" customWidth="1"/>
    <col min="8711" max="8960" width="11.42578125" style="3"/>
    <col min="8961" max="8961" width="58.85546875" style="3" customWidth="1"/>
    <col min="8962" max="8962" width="15.7109375" style="3" customWidth="1"/>
    <col min="8963" max="8963" width="16.5703125" style="3" customWidth="1"/>
    <col min="8964" max="8964" width="15.28515625" style="3" bestFit="1" customWidth="1"/>
    <col min="8965" max="8965" width="16.5703125" style="3" bestFit="1" customWidth="1"/>
    <col min="8966" max="8966" width="19" style="3" customWidth="1"/>
    <col min="8967" max="9216" width="11.42578125" style="3"/>
    <col min="9217" max="9217" width="58.85546875" style="3" customWidth="1"/>
    <col min="9218" max="9218" width="15.7109375" style="3" customWidth="1"/>
    <col min="9219" max="9219" width="16.5703125" style="3" customWidth="1"/>
    <col min="9220" max="9220" width="15.28515625" style="3" bestFit="1" customWidth="1"/>
    <col min="9221" max="9221" width="16.5703125" style="3" bestFit="1" customWidth="1"/>
    <col min="9222" max="9222" width="19" style="3" customWidth="1"/>
    <col min="9223" max="9472" width="11.42578125" style="3"/>
    <col min="9473" max="9473" width="58.85546875" style="3" customWidth="1"/>
    <col min="9474" max="9474" width="15.7109375" style="3" customWidth="1"/>
    <col min="9475" max="9475" width="16.5703125" style="3" customWidth="1"/>
    <col min="9476" max="9476" width="15.28515625" style="3" bestFit="1" customWidth="1"/>
    <col min="9477" max="9477" width="16.5703125" style="3" bestFit="1" customWidth="1"/>
    <col min="9478" max="9478" width="19" style="3" customWidth="1"/>
    <col min="9479" max="9728" width="11.42578125" style="3"/>
    <col min="9729" max="9729" width="58.85546875" style="3" customWidth="1"/>
    <col min="9730" max="9730" width="15.7109375" style="3" customWidth="1"/>
    <col min="9731" max="9731" width="16.5703125" style="3" customWidth="1"/>
    <col min="9732" max="9732" width="15.28515625" style="3" bestFit="1" customWidth="1"/>
    <col min="9733" max="9733" width="16.5703125" style="3" bestFit="1" customWidth="1"/>
    <col min="9734" max="9734" width="19" style="3" customWidth="1"/>
    <col min="9735" max="9984" width="11.42578125" style="3"/>
    <col min="9985" max="9985" width="58.85546875" style="3" customWidth="1"/>
    <col min="9986" max="9986" width="15.7109375" style="3" customWidth="1"/>
    <col min="9987" max="9987" width="16.5703125" style="3" customWidth="1"/>
    <col min="9988" max="9988" width="15.28515625" style="3" bestFit="1" customWidth="1"/>
    <col min="9989" max="9989" width="16.5703125" style="3" bestFit="1" customWidth="1"/>
    <col min="9990" max="9990" width="19" style="3" customWidth="1"/>
    <col min="9991" max="10240" width="11.42578125" style="3"/>
    <col min="10241" max="10241" width="58.85546875" style="3" customWidth="1"/>
    <col min="10242" max="10242" width="15.7109375" style="3" customWidth="1"/>
    <col min="10243" max="10243" width="16.5703125" style="3" customWidth="1"/>
    <col min="10244" max="10244" width="15.28515625" style="3" bestFit="1" customWidth="1"/>
    <col min="10245" max="10245" width="16.5703125" style="3" bestFit="1" customWidth="1"/>
    <col min="10246" max="10246" width="19" style="3" customWidth="1"/>
    <col min="10247" max="10496" width="11.42578125" style="3"/>
    <col min="10497" max="10497" width="58.85546875" style="3" customWidth="1"/>
    <col min="10498" max="10498" width="15.7109375" style="3" customWidth="1"/>
    <col min="10499" max="10499" width="16.5703125" style="3" customWidth="1"/>
    <col min="10500" max="10500" width="15.28515625" style="3" bestFit="1" customWidth="1"/>
    <col min="10501" max="10501" width="16.5703125" style="3" bestFit="1" customWidth="1"/>
    <col min="10502" max="10502" width="19" style="3" customWidth="1"/>
    <col min="10503" max="10752" width="11.42578125" style="3"/>
    <col min="10753" max="10753" width="58.85546875" style="3" customWidth="1"/>
    <col min="10754" max="10754" width="15.7109375" style="3" customWidth="1"/>
    <col min="10755" max="10755" width="16.5703125" style="3" customWidth="1"/>
    <col min="10756" max="10756" width="15.28515625" style="3" bestFit="1" customWidth="1"/>
    <col min="10757" max="10757" width="16.5703125" style="3" bestFit="1" customWidth="1"/>
    <col min="10758" max="10758" width="19" style="3" customWidth="1"/>
    <col min="10759" max="11008" width="11.42578125" style="3"/>
    <col min="11009" max="11009" width="58.85546875" style="3" customWidth="1"/>
    <col min="11010" max="11010" width="15.7109375" style="3" customWidth="1"/>
    <col min="11011" max="11011" width="16.5703125" style="3" customWidth="1"/>
    <col min="11012" max="11012" width="15.28515625" style="3" bestFit="1" customWidth="1"/>
    <col min="11013" max="11013" width="16.5703125" style="3" bestFit="1" customWidth="1"/>
    <col min="11014" max="11014" width="19" style="3" customWidth="1"/>
    <col min="11015" max="11264" width="11.42578125" style="3"/>
    <col min="11265" max="11265" width="58.85546875" style="3" customWidth="1"/>
    <col min="11266" max="11266" width="15.7109375" style="3" customWidth="1"/>
    <col min="11267" max="11267" width="16.5703125" style="3" customWidth="1"/>
    <col min="11268" max="11268" width="15.28515625" style="3" bestFit="1" customWidth="1"/>
    <col min="11269" max="11269" width="16.5703125" style="3" bestFit="1" customWidth="1"/>
    <col min="11270" max="11270" width="19" style="3" customWidth="1"/>
    <col min="11271" max="11520" width="11.42578125" style="3"/>
    <col min="11521" max="11521" width="58.85546875" style="3" customWidth="1"/>
    <col min="11522" max="11522" width="15.7109375" style="3" customWidth="1"/>
    <col min="11523" max="11523" width="16.5703125" style="3" customWidth="1"/>
    <col min="11524" max="11524" width="15.28515625" style="3" bestFit="1" customWidth="1"/>
    <col min="11525" max="11525" width="16.5703125" style="3" bestFit="1" customWidth="1"/>
    <col min="11526" max="11526" width="19" style="3" customWidth="1"/>
    <col min="11527" max="11776" width="11.42578125" style="3"/>
    <col min="11777" max="11777" width="58.85546875" style="3" customWidth="1"/>
    <col min="11778" max="11778" width="15.7109375" style="3" customWidth="1"/>
    <col min="11779" max="11779" width="16.5703125" style="3" customWidth="1"/>
    <col min="11780" max="11780" width="15.28515625" style="3" bestFit="1" customWidth="1"/>
    <col min="11781" max="11781" width="16.5703125" style="3" bestFit="1" customWidth="1"/>
    <col min="11782" max="11782" width="19" style="3" customWidth="1"/>
    <col min="11783" max="12032" width="11.42578125" style="3"/>
    <col min="12033" max="12033" width="58.85546875" style="3" customWidth="1"/>
    <col min="12034" max="12034" width="15.7109375" style="3" customWidth="1"/>
    <col min="12035" max="12035" width="16.5703125" style="3" customWidth="1"/>
    <col min="12036" max="12036" width="15.28515625" style="3" bestFit="1" customWidth="1"/>
    <col min="12037" max="12037" width="16.5703125" style="3" bestFit="1" customWidth="1"/>
    <col min="12038" max="12038" width="19" style="3" customWidth="1"/>
    <col min="12039" max="12288" width="11.42578125" style="3"/>
    <col min="12289" max="12289" width="58.85546875" style="3" customWidth="1"/>
    <col min="12290" max="12290" width="15.7109375" style="3" customWidth="1"/>
    <col min="12291" max="12291" width="16.5703125" style="3" customWidth="1"/>
    <col min="12292" max="12292" width="15.28515625" style="3" bestFit="1" customWidth="1"/>
    <col min="12293" max="12293" width="16.5703125" style="3" bestFit="1" customWidth="1"/>
    <col min="12294" max="12294" width="19" style="3" customWidth="1"/>
    <col min="12295" max="12544" width="11.42578125" style="3"/>
    <col min="12545" max="12545" width="58.85546875" style="3" customWidth="1"/>
    <col min="12546" max="12546" width="15.7109375" style="3" customWidth="1"/>
    <col min="12547" max="12547" width="16.5703125" style="3" customWidth="1"/>
    <col min="12548" max="12548" width="15.28515625" style="3" bestFit="1" customWidth="1"/>
    <col min="12549" max="12549" width="16.5703125" style="3" bestFit="1" customWidth="1"/>
    <col min="12550" max="12550" width="19" style="3" customWidth="1"/>
    <col min="12551" max="12800" width="11.42578125" style="3"/>
    <col min="12801" max="12801" width="58.85546875" style="3" customWidth="1"/>
    <col min="12802" max="12802" width="15.7109375" style="3" customWidth="1"/>
    <col min="12803" max="12803" width="16.5703125" style="3" customWidth="1"/>
    <col min="12804" max="12804" width="15.28515625" style="3" bestFit="1" customWidth="1"/>
    <col min="12805" max="12805" width="16.5703125" style="3" bestFit="1" customWidth="1"/>
    <col min="12806" max="12806" width="19" style="3" customWidth="1"/>
    <col min="12807" max="13056" width="11.42578125" style="3"/>
    <col min="13057" max="13057" width="58.85546875" style="3" customWidth="1"/>
    <col min="13058" max="13058" width="15.7109375" style="3" customWidth="1"/>
    <col min="13059" max="13059" width="16.5703125" style="3" customWidth="1"/>
    <col min="13060" max="13060" width="15.28515625" style="3" bestFit="1" customWidth="1"/>
    <col min="13061" max="13061" width="16.5703125" style="3" bestFit="1" customWidth="1"/>
    <col min="13062" max="13062" width="19" style="3" customWidth="1"/>
    <col min="13063" max="13312" width="11.42578125" style="3"/>
    <col min="13313" max="13313" width="58.85546875" style="3" customWidth="1"/>
    <col min="13314" max="13314" width="15.7109375" style="3" customWidth="1"/>
    <col min="13315" max="13315" width="16.5703125" style="3" customWidth="1"/>
    <col min="13316" max="13316" width="15.28515625" style="3" bestFit="1" customWidth="1"/>
    <col min="13317" max="13317" width="16.5703125" style="3" bestFit="1" customWidth="1"/>
    <col min="13318" max="13318" width="19" style="3" customWidth="1"/>
    <col min="13319" max="13568" width="11.42578125" style="3"/>
    <col min="13569" max="13569" width="58.85546875" style="3" customWidth="1"/>
    <col min="13570" max="13570" width="15.7109375" style="3" customWidth="1"/>
    <col min="13571" max="13571" width="16.5703125" style="3" customWidth="1"/>
    <col min="13572" max="13572" width="15.28515625" style="3" bestFit="1" customWidth="1"/>
    <col min="13573" max="13573" width="16.5703125" style="3" bestFit="1" customWidth="1"/>
    <col min="13574" max="13574" width="19" style="3" customWidth="1"/>
    <col min="13575" max="13824" width="11.42578125" style="3"/>
    <col min="13825" max="13825" width="58.85546875" style="3" customWidth="1"/>
    <col min="13826" max="13826" width="15.7109375" style="3" customWidth="1"/>
    <col min="13827" max="13827" width="16.5703125" style="3" customWidth="1"/>
    <col min="13828" max="13828" width="15.28515625" style="3" bestFit="1" customWidth="1"/>
    <col min="13829" max="13829" width="16.5703125" style="3" bestFit="1" customWidth="1"/>
    <col min="13830" max="13830" width="19" style="3" customWidth="1"/>
    <col min="13831" max="14080" width="11.42578125" style="3"/>
    <col min="14081" max="14081" width="58.85546875" style="3" customWidth="1"/>
    <col min="14082" max="14082" width="15.7109375" style="3" customWidth="1"/>
    <col min="14083" max="14083" width="16.5703125" style="3" customWidth="1"/>
    <col min="14084" max="14084" width="15.28515625" style="3" bestFit="1" customWidth="1"/>
    <col min="14085" max="14085" width="16.5703125" style="3" bestFit="1" customWidth="1"/>
    <col min="14086" max="14086" width="19" style="3" customWidth="1"/>
    <col min="14087" max="14336" width="11.42578125" style="3"/>
    <col min="14337" max="14337" width="58.85546875" style="3" customWidth="1"/>
    <col min="14338" max="14338" width="15.7109375" style="3" customWidth="1"/>
    <col min="14339" max="14339" width="16.5703125" style="3" customWidth="1"/>
    <col min="14340" max="14340" width="15.28515625" style="3" bestFit="1" customWidth="1"/>
    <col min="14341" max="14341" width="16.5703125" style="3" bestFit="1" customWidth="1"/>
    <col min="14342" max="14342" width="19" style="3" customWidth="1"/>
    <col min="14343" max="14592" width="11.42578125" style="3"/>
    <col min="14593" max="14593" width="58.85546875" style="3" customWidth="1"/>
    <col min="14594" max="14594" width="15.7109375" style="3" customWidth="1"/>
    <col min="14595" max="14595" width="16.5703125" style="3" customWidth="1"/>
    <col min="14596" max="14596" width="15.28515625" style="3" bestFit="1" customWidth="1"/>
    <col min="14597" max="14597" width="16.5703125" style="3" bestFit="1" customWidth="1"/>
    <col min="14598" max="14598" width="19" style="3" customWidth="1"/>
    <col min="14599" max="14848" width="11.42578125" style="3"/>
    <col min="14849" max="14849" width="58.85546875" style="3" customWidth="1"/>
    <col min="14850" max="14850" width="15.7109375" style="3" customWidth="1"/>
    <col min="14851" max="14851" width="16.5703125" style="3" customWidth="1"/>
    <col min="14852" max="14852" width="15.28515625" style="3" bestFit="1" customWidth="1"/>
    <col min="14853" max="14853" width="16.5703125" style="3" bestFit="1" customWidth="1"/>
    <col min="14854" max="14854" width="19" style="3" customWidth="1"/>
    <col min="14855" max="15104" width="11.42578125" style="3"/>
    <col min="15105" max="15105" width="58.85546875" style="3" customWidth="1"/>
    <col min="15106" max="15106" width="15.7109375" style="3" customWidth="1"/>
    <col min="15107" max="15107" width="16.5703125" style="3" customWidth="1"/>
    <col min="15108" max="15108" width="15.28515625" style="3" bestFit="1" customWidth="1"/>
    <col min="15109" max="15109" width="16.5703125" style="3" bestFit="1" customWidth="1"/>
    <col min="15110" max="15110" width="19" style="3" customWidth="1"/>
    <col min="15111" max="15360" width="11.42578125" style="3"/>
    <col min="15361" max="15361" width="58.85546875" style="3" customWidth="1"/>
    <col min="15362" max="15362" width="15.7109375" style="3" customWidth="1"/>
    <col min="15363" max="15363" width="16.5703125" style="3" customWidth="1"/>
    <col min="15364" max="15364" width="15.28515625" style="3" bestFit="1" customWidth="1"/>
    <col min="15365" max="15365" width="16.5703125" style="3" bestFit="1" customWidth="1"/>
    <col min="15366" max="15366" width="19" style="3" customWidth="1"/>
    <col min="15367" max="15616" width="11.42578125" style="3"/>
    <col min="15617" max="15617" width="58.85546875" style="3" customWidth="1"/>
    <col min="15618" max="15618" width="15.7109375" style="3" customWidth="1"/>
    <col min="15619" max="15619" width="16.5703125" style="3" customWidth="1"/>
    <col min="15620" max="15620" width="15.28515625" style="3" bestFit="1" customWidth="1"/>
    <col min="15621" max="15621" width="16.5703125" style="3" bestFit="1" customWidth="1"/>
    <col min="15622" max="15622" width="19" style="3" customWidth="1"/>
    <col min="15623" max="15872" width="11.42578125" style="3"/>
    <col min="15873" max="15873" width="58.85546875" style="3" customWidth="1"/>
    <col min="15874" max="15874" width="15.7109375" style="3" customWidth="1"/>
    <col min="15875" max="15875" width="16.5703125" style="3" customWidth="1"/>
    <col min="15876" max="15876" width="15.28515625" style="3" bestFit="1" customWidth="1"/>
    <col min="15877" max="15877" width="16.5703125" style="3" bestFit="1" customWidth="1"/>
    <col min="15878" max="15878" width="19" style="3" customWidth="1"/>
    <col min="15879" max="16128" width="11.42578125" style="3"/>
    <col min="16129" max="16129" width="58.85546875" style="3" customWidth="1"/>
    <col min="16130" max="16130" width="15.7109375" style="3" customWidth="1"/>
    <col min="16131" max="16131" width="16.5703125" style="3" customWidth="1"/>
    <col min="16132" max="16132" width="15.28515625" style="3" bestFit="1" customWidth="1"/>
    <col min="16133" max="16133" width="16.5703125" style="3" bestFit="1" customWidth="1"/>
    <col min="16134" max="16134" width="19" style="3" customWidth="1"/>
    <col min="16135" max="16384" width="11.42578125" style="3"/>
  </cols>
  <sheetData>
    <row r="1" spans="1:5" ht="19.5" customHeight="1">
      <c r="A1" s="502" t="s">
        <v>85</v>
      </c>
      <c r="B1" s="503"/>
      <c r="C1" s="504"/>
      <c r="D1" s="143"/>
    </row>
    <row r="2" spans="1:5">
      <c r="A2" s="454" t="s">
        <v>86</v>
      </c>
      <c r="B2" s="454"/>
      <c r="C2" s="454"/>
      <c r="D2" s="143"/>
    </row>
    <row r="3" spans="1:5">
      <c r="A3" s="159"/>
      <c r="B3" s="167"/>
      <c r="C3" s="167"/>
    </row>
    <row r="4" spans="1:5">
      <c r="A4" s="455" t="s">
        <v>209</v>
      </c>
      <c r="B4" s="455"/>
      <c r="C4" s="455"/>
    </row>
    <row r="5" spans="1:5">
      <c r="A5" s="159"/>
      <c r="B5" s="148"/>
      <c r="C5" s="148"/>
    </row>
    <row r="6" spans="1:5">
      <c r="A6" s="455" t="s">
        <v>210</v>
      </c>
      <c r="B6" s="455"/>
      <c r="C6" s="455"/>
    </row>
    <row r="7" spans="1:5">
      <c r="A7" s="101"/>
      <c r="B7" s="168"/>
      <c r="C7" s="168"/>
    </row>
    <row r="8" spans="1:5">
      <c r="A8" s="177" t="s">
        <v>3</v>
      </c>
      <c r="B8" s="177"/>
      <c r="C8" s="168"/>
    </row>
    <row r="9" spans="1:5">
      <c r="A9" s="102" t="s">
        <v>252</v>
      </c>
      <c r="B9" s="168">
        <v>285142000</v>
      </c>
      <c r="C9" s="168"/>
    </row>
    <row r="10" spans="1:5" ht="16.5" thickBot="1">
      <c r="A10" s="102" t="s">
        <v>211</v>
      </c>
      <c r="B10" s="238">
        <v>59000000</v>
      </c>
      <c r="C10" s="168"/>
    </row>
    <row r="11" spans="1:5">
      <c r="A11" s="103" t="s">
        <v>91</v>
      </c>
      <c r="B11" s="237"/>
      <c r="C11" s="167">
        <f>+B10+B9</f>
        <v>344142000</v>
      </c>
      <c r="D11" s="126"/>
      <c r="E11" s="126"/>
    </row>
    <row r="12" spans="1:5">
      <c r="A12" s="101"/>
      <c r="B12" s="168"/>
      <c r="C12" s="168"/>
    </row>
    <row r="13" spans="1:5">
      <c r="A13" s="484" t="s">
        <v>92</v>
      </c>
      <c r="B13" s="484"/>
      <c r="C13" s="484"/>
    </row>
    <row r="14" spans="1:5">
      <c r="A14" s="166" t="s">
        <v>253</v>
      </c>
      <c r="B14" s="168"/>
      <c r="C14" s="168"/>
    </row>
    <row r="15" spans="1:5">
      <c r="A15" s="149" t="s">
        <v>96</v>
      </c>
      <c r="B15" s="168">
        <v>97524000</v>
      </c>
      <c r="C15" s="168"/>
    </row>
    <row r="16" spans="1:5">
      <c r="A16" s="149" t="s">
        <v>97</v>
      </c>
      <c r="B16" s="168">
        <v>29804000</v>
      </c>
      <c r="C16" s="168"/>
    </row>
    <row r="17" spans="1:6">
      <c r="A17" s="149" t="s">
        <v>98</v>
      </c>
      <c r="B17" s="168">
        <v>12173000</v>
      </c>
      <c r="C17" s="168"/>
    </row>
    <row r="18" spans="1:6">
      <c r="A18" s="149" t="s">
        <v>99</v>
      </c>
      <c r="B18" s="168">
        <v>17658000</v>
      </c>
      <c r="C18" s="168"/>
    </row>
    <row r="19" spans="1:6">
      <c r="A19" s="149" t="s">
        <v>102</v>
      </c>
      <c r="B19" s="168">
        <v>74879000</v>
      </c>
      <c r="C19" s="168"/>
    </row>
    <row r="20" spans="1:6">
      <c r="A20" s="149" t="s">
        <v>103</v>
      </c>
      <c r="B20" s="168">
        <v>10862000</v>
      </c>
      <c r="C20" s="168"/>
    </row>
    <row r="21" spans="1:6" ht="16.5" thickBot="1">
      <c r="A21" s="149" t="s">
        <v>109</v>
      </c>
      <c r="B21" s="238">
        <v>487000</v>
      </c>
      <c r="C21" s="168"/>
    </row>
    <row r="22" spans="1:6">
      <c r="A22" s="166" t="s">
        <v>110</v>
      </c>
      <c r="B22" s="237"/>
      <c r="C22" s="167">
        <f>SUM(B15:B21)</f>
        <v>243387000</v>
      </c>
      <c r="D22" s="144"/>
      <c r="F22" s="5"/>
    </row>
    <row r="23" spans="1:6">
      <c r="A23" s="239"/>
      <c r="B23" s="240"/>
      <c r="C23" s="240"/>
    </row>
    <row r="24" spans="1:6" ht="16.5" thickBot="1">
      <c r="A24" s="506" t="s">
        <v>111</v>
      </c>
      <c r="B24" s="506"/>
      <c r="C24" s="242">
        <f>C11-C22</f>
        <v>100755000</v>
      </c>
    </row>
    <row r="25" spans="1:6">
      <c r="A25" s="241"/>
      <c r="B25" s="237"/>
      <c r="C25" s="237"/>
    </row>
    <row r="26" spans="1:6">
      <c r="A26" s="485" t="s">
        <v>112</v>
      </c>
      <c r="B26" s="486"/>
      <c r="C26" s="487"/>
    </row>
    <row r="27" spans="1:6">
      <c r="A27" s="166" t="s">
        <v>212</v>
      </c>
      <c r="B27" s="168"/>
      <c r="C27" s="168"/>
    </row>
    <row r="28" spans="1:6">
      <c r="A28" s="160" t="s">
        <v>114</v>
      </c>
      <c r="B28" s="168">
        <v>13560000</v>
      </c>
      <c r="C28" s="168"/>
    </row>
    <row r="29" spans="1:6">
      <c r="A29" s="160" t="s">
        <v>117</v>
      </c>
      <c r="B29" s="168">
        <v>2400000</v>
      </c>
      <c r="C29" s="168"/>
    </row>
    <row r="30" spans="1:6">
      <c r="A30" s="160" t="s">
        <v>118</v>
      </c>
      <c r="B30" s="168">
        <v>1107000</v>
      </c>
      <c r="C30" s="168"/>
    </row>
    <row r="31" spans="1:6" ht="16.5" thickBot="1">
      <c r="A31" s="160" t="s">
        <v>120</v>
      </c>
      <c r="B31" s="238">
        <v>11476000</v>
      </c>
      <c r="C31" s="168"/>
    </row>
    <row r="32" spans="1:6">
      <c r="A32" s="166" t="s">
        <v>213</v>
      </c>
      <c r="B32" s="237"/>
      <c r="C32" s="167">
        <f>+SUM(B28:B31)</f>
        <v>28543000</v>
      </c>
    </row>
    <row r="33" spans="1:6">
      <c r="A33" s="239"/>
      <c r="B33" s="240"/>
      <c r="C33" s="240"/>
    </row>
    <row r="34" spans="1:6" ht="16.5" thickBot="1">
      <c r="A34" s="482" t="s">
        <v>124</v>
      </c>
      <c r="B34" s="483"/>
      <c r="C34" s="242">
        <f>+C32</f>
        <v>28543000</v>
      </c>
    </row>
    <row r="35" spans="1:6">
      <c r="A35" s="243"/>
      <c r="B35" s="244"/>
      <c r="C35" s="244"/>
      <c r="E35" s="146"/>
      <c r="F35" s="5"/>
    </row>
    <row r="36" spans="1:6" ht="16.5" thickBot="1">
      <c r="A36" s="482" t="s">
        <v>7</v>
      </c>
      <c r="B36" s="483"/>
      <c r="C36" s="242">
        <f>+C24-C34</f>
        <v>72212000</v>
      </c>
    </row>
    <row r="37" spans="1:6">
      <c r="A37" s="286"/>
      <c r="B37" s="237"/>
      <c r="C37" s="250"/>
      <c r="E37" s="146"/>
    </row>
    <row r="38" spans="1:6">
      <c r="A38" s="485" t="s">
        <v>8</v>
      </c>
      <c r="B38" s="486"/>
      <c r="C38" s="487"/>
    </row>
    <row r="39" spans="1:6" ht="16.5" thickBot="1">
      <c r="A39" s="102" t="s">
        <v>125</v>
      </c>
      <c r="B39" s="238">
        <v>25000</v>
      </c>
      <c r="C39" s="167"/>
    </row>
    <row r="40" spans="1:6">
      <c r="A40" s="166" t="s">
        <v>214</v>
      </c>
      <c r="B40" s="237"/>
      <c r="C40" s="167">
        <f>+B39</f>
        <v>25000</v>
      </c>
    </row>
    <row r="41" spans="1:6">
      <c r="A41" s="166"/>
      <c r="B41" s="168"/>
      <c r="C41" s="167"/>
    </row>
    <row r="42" spans="1:6">
      <c r="A42" s="103" t="s">
        <v>9</v>
      </c>
      <c r="B42" s="168"/>
      <c r="C42" s="168"/>
    </row>
    <row r="43" spans="1:6" ht="16.5" thickBot="1">
      <c r="A43" s="101" t="s">
        <v>215</v>
      </c>
      <c r="B43" s="238">
        <v>3456000</v>
      </c>
      <c r="C43" s="168"/>
    </row>
    <row r="44" spans="1:6">
      <c r="A44" s="166" t="s">
        <v>126</v>
      </c>
      <c r="B44" s="237"/>
      <c r="C44" s="167">
        <f>+B43</f>
        <v>3456000</v>
      </c>
    </row>
    <row r="45" spans="1:6">
      <c r="A45" s="239"/>
      <c r="B45" s="240"/>
      <c r="C45" s="240"/>
    </row>
    <row r="46" spans="1:6" ht="16.5" thickBot="1">
      <c r="A46" s="245" t="s">
        <v>281</v>
      </c>
      <c r="B46" s="246"/>
      <c r="C46" s="242">
        <f>+C36+C40-C44</f>
        <v>68781000</v>
      </c>
    </row>
    <row r="47" spans="1:6">
      <c r="A47" s="241"/>
      <c r="B47" s="237"/>
      <c r="C47" s="237"/>
    </row>
    <row r="48" spans="1:6">
      <c r="A48" s="263" t="s">
        <v>313</v>
      </c>
      <c r="B48" s="237"/>
      <c r="C48" s="237"/>
    </row>
    <row r="49" spans="1:6">
      <c r="A49" s="160" t="s">
        <v>128</v>
      </c>
      <c r="B49" s="168">
        <f>+C46*25%-250</f>
        <v>17195000</v>
      </c>
      <c r="C49" s="3"/>
    </row>
    <row r="50" spans="1:6" ht="16.5" thickBot="1">
      <c r="A50" s="160" t="s">
        <v>129</v>
      </c>
      <c r="B50" s="238">
        <v>3768000</v>
      </c>
      <c r="C50" s="3"/>
    </row>
    <row r="51" spans="1:6">
      <c r="A51" s="263" t="s">
        <v>257</v>
      </c>
      <c r="B51" s="244"/>
      <c r="C51" s="240">
        <f>+B49+B50</f>
        <v>20963000</v>
      </c>
    </row>
    <row r="52" spans="1:6">
      <c r="A52" s="303"/>
      <c r="B52" s="304"/>
      <c r="C52" s="244"/>
    </row>
    <row r="53" spans="1:6" ht="16.5" thickBot="1">
      <c r="A53" s="482" t="s">
        <v>127</v>
      </c>
      <c r="B53" s="483"/>
      <c r="C53" s="242">
        <f>+C46-B49-B50</f>
        <v>47818000</v>
      </c>
      <c r="D53" s="126"/>
      <c r="F53" s="147"/>
    </row>
    <row r="54" spans="1:6">
      <c r="A54" s="241"/>
      <c r="B54" s="237"/>
      <c r="C54" s="237"/>
    </row>
    <row r="55" spans="1:6">
      <c r="A55" s="101"/>
      <c r="B55" s="168"/>
      <c r="C55" s="168"/>
    </row>
    <row r="56" spans="1:6">
      <c r="A56" s="101"/>
      <c r="B56" s="168"/>
      <c r="C56" s="168"/>
    </row>
    <row r="57" spans="1:6">
      <c r="A57" s="101"/>
      <c r="B57" s="168"/>
      <c r="C57" s="168"/>
    </row>
    <row r="58" spans="1:6">
      <c r="A58" s="176" t="s">
        <v>130</v>
      </c>
      <c r="B58" s="505" t="s">
        <v>131</v>
      </c>
      <c r="C58" s="505"/>
    </row>
    <row r="59" spans="1:6">
      <c r="A59" s="150" t="s">
        <v>132</v>
      </c>
      <c r="B59" s="499" t="s">
        <v>133</v>
      </c>
      <c r="C59" s="499"/>
    </row>
    <row r="60" spans="1:6">
      <c r="A60" s="151" t="s">
        <v>251</v>
      </c>
      <c r="B60" s="490" t="s">
        <v>134</v>
      </c>
      <c r="C60" s="490"/>
    </row>
    <row r="61" spans="1:6">
      <c r="A61" s="11"/>
      <c r="B61" s="500"/>
      <c r="C61" s="500"/>
    </row>
    <row r="62" spans="1:6" s="116" customFormat="1">
      <c r="A62" s="9"/>
      <c r="B62" s="501"/>
      <c r="C62" s="501"/>
      <c r="F62" s="3"/>
    </row>
    <row r="63" spans="1:6" s="116" customFormat="1">
      <c r="A63" s="3"/>
      <c r="B63" s="170"/>
      <c r="C63" s="170"/>
      <c r="F63" s="3"/>
    </row>
    <row r="64" spans="1:6" s="116" customFormat="1">
      <c r="A64" s="3"/>
      <c r="B64" s="169"/>
      <c r="C64" s="169"/>
      <c r="F64" s="3"/>
    </row>
    <row r="65" spans="1:6" s="116" customFormat="1">
      <c r="A65" s="3"/>
      <c r="B65" s="170"/>
      <c r="C65" s="170"/>
      <c r="F65" s="3"/>
    </row>
    <row r="66" spans="1:6" s="116" customFormat="1">
      <c r="A66" s="3"/>
      <c r="B66" s="169"/>
      <c r="C66" s="169"/>
      <c r="F66" s="3"/>
    </row>
  </sheetData>
  <mergeCells count="16">
    <mergeCell ref="B59:C59"/>
    <mergeCell ref="B60:C60"/>
    <mergeCell ref="B61:C61"/>
    <mergeCell ref="B62:C62"/>
    <mergeCell ref="A1:C1"/>
    <mergeCell ref="A2:C2"/>
    <mergeCell ref="A4:C4"/>
    <mergeCell ref="A6:C6"/>
    <mergeCell ref="B58:C58"/>
    <mergeCell ref="A13:C13"/>
    <mergeCell ref="A24:B24"/>
    <mergeCell ref="A26:C26"/>
    <mergeCell ref="A34:B34"/>
    <mergeCell ref="A36:B36"/>
    <mergeCell ref="A38:C38"/>
    <mergeCell ref="A53:B53"/>
  </mergeCells>
  <printOptions horizontalCentered="1"/>
  <pageMargins left="0.70866141732283472" right="0.70866141732283472" top="0.74803149606299213" bottom="0.74803149606299213" header="0" footer="0"/>
  <pageSetup scale="75" orientation="portrait" r:id="rId1"/>
  <rowBreaks count="1" manualBreakCount="1">
    <brk id="60" max="16383" man="1"/>
  </rowBreaks>
  <colBreaks count="1" manualBreakCount="1">
    <brk id="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zoomScaleNormal="100" zoomScaleSheetLayoutView="90" workbookViewId="0">
      <selection activeCell="E65" sqref="E65"/>
    </sheetView>
  </sheetViews>
  <sheetFormatPr baseColWidth="10" defaultColWidth="10.7109375" defaultRowHeight="15.75"/>
  <cols>
    <col min="1" max="1" width="71.42578125" style="3" customWidth="1"/>
    <col min="2" max="2" width="22" style="169" customWidth="1"/>
    <col min="3" max="3" width="17.7109375" style="316" customWidth="1"/>
    <col min="4" max="4" width="14" style="126" customWidth="1"/>
    <col min="5" max="5" width="16.5703125" style="116" bestFit="1" customWidth="1"/>
    <col min="6" max="6" width="17.7109375" style="116" customWidth="1"/>
    <col min="7" max="256" width="11.42578125" style="3"/>
    <col min="257" max="257" width="51.5703125" style="3" customWidth="1"/>
    <col min="258" max="258" width="23.85546875" style="3" customWidth="1"/>
    <col min="259" max="259" width="22.7109375" style="3" customWidth="1"/>
    <col min="260" max="260" width="14" style="3" customWidth="1"/>
    <col min="261" max="261" width="16.5703125" style="3" bestFit="1" customWidth="1"/>
    <col min="262" max="262" width="17.7109375" style="3" customWidth="1"/>
    <col min="263" max="512" width="11.42578125" style="3"/>
    <col min="513" max="513" width="51.5703125" style="3" customWidth="1"/>
    <col min="514" max="514" width="23.85546875" style="3" customWidth="1"/>
    <col min="515" max="515" width="22.7109375" style="3" customWidth="1"/>
    <col min="516" max="516" width="14" style="3" customWidth="1"/>
    <col min="517" max="517" width="16.5703125" style="3" bestFit="1" customWidth="1"/>
    <col min="518" max="518" width="17.7109375" style="3" customWidth="1"/>
    <col min="519" max="768" width="11.42578125" style="3"/>
    <col min="769" max="769" width="51.5703125" style="3" customWidth="1"/>
    <col min="770" max="770" width="23.85546875" style="3" customWidth="1"/>
    <col min="771" max="771" width="22.7109375" style="3" customWidth="1"/>
    <col min="772" max="772" width="14" style="3" customWidth="1"/>
    <col min="773" max="773" width="16.5703125" style="3" bestFit="1" customWidth="1"/>
    <col min="774" max="774" width="17.7109375" style="3" customWidth="1"/>
    <col min="775" max="1024" width="11.42578125" style="3"/>
    <col min="1025" max="1025" width="51.5703125" style="3" customWidth="1"/>
    <col min="1026" max="1026" width="23.85546875" style="3" customWidth="1"/>
    <col min="1027" max="1027" width="22.7109375" style="3" customWidth="1"/>
    <col min="1028" max="1028" width="14" style="3" customWidth="1"/>
    <col min="1029" max="1029" width="16.5703125" style="3" bestFit="1" customWidth="1"/>
    <col min="1030" max="1030" width="17.7109375" style="3" customWidth="1"/>
    <col min="1031" max="1280" width="11.42578125" style="3"/>
    <col min="1281" max="1281" width="51.5703125" style="3" customWidth="1"/>
    <col min="1282" max="1282" width="23.85546875" style="3" customWidth="1"/>
    <col min="1283" max="1283" width="22.7109375" style="3" customWidth="1"/>
    <col min="1284" max="1284" width="14" style="3" customWidth="1"/>
    <col min="1285" max="1285" width="16.5703125" style="3" bestFit="1" customWidth="1"/>
    <col min="1286" max="1286" width="17.7109375" style="3" customWidth="1"/>
    <col min="1287" max="1536" width="11.42578125" style="3"/>
    <col min="1537" max="1537" width="51.5703125" style="3" customWidth="1"/>
    <col min="1538" max="1538" width="23.85546875" style="3" customWidth="1"/>
    <col min="1539" max="1539" width="22.7109375" style="3" customWidth="1"/>
    <col min="1540" max="1540" width="14" style="3" customWidth="1"/>
    <col min="1541" max="1541" width="16.5703125" style="3" bestFit="1" customWidth="1"/>
    <col min="1542" max="1542" width="17.7109375" style="3" customWidth="1"/>
    <col min="1543" max="1792" width="11.42578125" style="3"/>
    <col min="1793" max="1793" width="51.5703125" style="3" customWidth="1"/>
    <col min="1794" max="1794" width="23.85546875" style="3" customWidth="1"/>
    <col min="1795" max="1795" width="22.7109375" style="3" customWidth="1"/>
    <col min="1796" max="1796" width="14" style="3" customWidth="1"/>
    <col min="1797" max="1797" width="16.5703125" style="3" bestFit="1" customWidth="1"/>
    <col min="1798" max="1798" width="17.7109375" style="3" customWidth="1"/>
    <col min="1799" max="2048" width="11.42578125" style="3"/>
    <col min="2049" max="2049" width="51.5703125" style="3" customWidth="1"/>
    <col min="2050" max="2050" width="23.85546875" style="3" customWidth="1"/>
    <col min="2051" max="2051" width="22.7109375" style="3" customWidth="1"/>
    <col min="2052" max="2052" width="14" style="3" customWidth="1"/>
    <col min="2053" max="2053" width="16.5703125" style="3" bestFit="1" customWidth="1"/>
    <col min="2054" max="2054" width="17.7109375" style="3" customWidth="1"/>
    <col min="2055" max="2304" width="11.42578125" style="3"/>
    <col min="2305" max="2305" width="51.5703125" style="3" customWidth="1"/>
    <col min="2306" max="2306" width="23.85546875" style="3" customWidth="1"/>
    <col min="2307" max="2307" width="22.7109375" style="3" customWidth="1"/>
    <col min="2308" max="2308" width="14" style="3" customWidth="1"/>
    <col min="2309" max="2309" width="16.5703125" style="3" bestFit="1" customWidth="1"/>
    <col min="2310" max="2310" width="17.7109375" style="3" customWidth="1"/>
    <col min="2311" max="2560" width="11.42578125" style="3"/>
    <col min="2561" max="2561" width="51.5703125" style="3" customWidth="1"/>
    <col min="2562" max="2562" width="23.85546875" style="3" customWidth="1"/>
    <col min="2563" max="2563" width="22.7109375" style="3" customWidth="1"/>
    <col min="2564" max="2564" width="14" style="3" customWidth="1"/>
    <col min="2565" max="2565" width="16.5703125" style="3" bestFit="1" customWidth="1"/>
    <col min="2566" max="2566" width="17.7109375" style="3" customWidth="1"/>
    <col min="2567" max="2816" width="11.42578125" style="3"/>
    <col min="2817" max="2817" width="51.5703125" style="3" customWidth="1"/>
    <col min="2818" max="2818" width="23.85546875" style="3" customWidth="1"/>
    <col min="2819" max="2819" width="22.7109375" style="3" customWidth="1"/>
    <col min="2820" max="2820" width="14" style="3" customWidth="1"/>
    <col min="2821" max="2821" width="16.5703125" style="3" bestFit="1" customWidth="1"/>
    <col min="2822" max="2822" width="17.7109375" style="3" customWidth="1"/>
    <col min="2823" max="3072" width="11.42578125" style="3"/>
    <col min="3073" max="3073" width="51.5703125" style="3" customWidth="1"/>
    <col min="3074" max="3074" width="23.85546875" style="3" customWidth="1"/>
    <col min="3075" max="3075" width="22.7109375" style="3" customWidth="1"/>
    <col min="3076" max="3076" width="14" style="3" customWidth="1"/>
    <col min="3077" max="3077" width="16.5703125" style="3" bestFit="1" customWidth="1"/>
    <col min="3078" max="3078" width="17.7109375" style="3" customWidth="1"/>
    <col min="3079" max="3328" width="11.42578125" style="3"/>
    <col min="3329" max="3329" width="51.5703125" style="3" customWidth="1"/>
    <col min="3330" max="3330" width="23.85546875" style="3" customWidth="1"/>
    <col min="3331" max="3331" width="22.7109375" style="3" customWidth="1"/>
    <col min="3332" max="3332" width="14" style="3" customWidth="1"/>
    <col min="3333" max="3333" width="16.5703125" style="3" bestFit="1" customWidth="1"/>
    <col min="3334" max="3334" width="17.7109375" style="3" customWidth="1"/>
    <col min="3335" max="3584" width="11.42578125" style="3"/>
    <col min="3585" max="3585" width="51.5703125" style="3" customWidth="1"/>
    <col min="3586" max="3586" width="23.85546875" style="3" customWidth="1"/>
    <col min="3587" max="3587" width="22.7109375" style="3" customWidth="1"/>
    <col min="3588" max="3588" width="14" style="3" customWidth="1"/>
    <col min="3589" max="3589" width="16.5703125" style="3" bestFit="1" customWidth="1"/>
    <col min="3590" max="3590" width="17.7109375" style="3" customWidth="1"/>
    <col min="3591" max="3840" width="11.42578125" style="3"/>
    <col min="3841" max="3841" width="51.5703125" style="3" customWidth="1"/>
    <col min="3842" max="3842" width="23.85546875" style="3" customWidth="1"/>
    <col min="3843" max="3843" width="22.7109375" style="3" customWidth="1"/>
    <col min="3844" max="3844" width="14" style="3" customWidth="1"/>
    <col min="3845" max="3845" width="16.5703125" style="3" bestFit="1" customWidth="1"/>
    <col min="3846" max="3846" width="17.7109375" style="3" customWidth="1"/>
    <col min="3847" max="4096" width="11.42578125" style="3"/>
    <col min="4097" max="4097" width="51.5703125" style="3" customWidth="1"/>
    <col min="4098" max="4098" width="23.85546875" style="3" customWidth="1"/>
    <col min="4099" max="4099" width="22.7109375" style="3" customWidth="1"/>
    <col min="4100" max="4100" width="14" style="3" customWidth="1"/>
    <col min="4101" max="4101" width="16.5703125" style="3" bestFit="1" customWidth="1"/>
    <col min="4102" max="4102" width="17.7109375" style="3" customWidth="1"/>
    <col min="4103" max="4352" width="11.42578125" style="3"/>
    <col min="4353" max="4353" width="51.5703125" style="3" customWidth="1"/>
    <col min="4354" max="4354" width="23.85546875" style="3" customWidth="1"/>
    <col min="4355" max="4355" width="22.7109375" style="3" customWidth="1"/>
    <col min="4356" max="4356" width="14" style="3" customWidth="1"/>
    <col min="4357" max="4357" width="16.5703125" style="3" bestFit="1" customWidth="1"/>
    <col min="4358" max="4358" width="17.7109375" style="3" customWidth="1"/>
    <col min="4359" max="4608" width="11.42578125" style="3"/>
    <col min="4609" max="4609" width="51.5703125" style="3" customWidth="1"/>
    <col min="4610" max="4610" width="23.85546875" style="3" customWidth="1"/>
    <col min="4611" max="4611" width="22.7109375" style="3" customWidth="1"/>
    <col min="4612" max="4612" width="14" style="3" customWidth="1"/>
    <col min="4613" max="4613" width="16.5703125" style="3" bestFit="1" customWidth="1"/>
    <col min="4614" max="4614" width="17.7109375" style="3" customWidth="1"/>
    <col min="4615" max="4864" width="11.42578125" style="3"/>
    <col min="4865" max="4865" width="51.5703125" style="3" customWidth="1"/>
    <col min="4866" max="4866" width="23.85546875" style="3" customWidth="1"/>
    <col min="4867" max="4867" width="22.7109375" style="3" customWidth="1"/>
    <col min="4868" max="4868" width="14" style="3" customWidth="1"/>
    <col min="4869" max="4869" width="16.5703125" style="3" bestFit="1" customWidth="1"/>
    <col min="4870" max="4870" width="17.7109375" style="3" customWidth="1"/>
    <col min="4871" max="5120" width="11.42578125" style="3"/>
    <col min="5121" max="5121" width="51.5703125" style="3" customWidth="1"/>
    <col min="5122" max="5122" width="23.85546875" style="3" customWidth="1"/>
    <col min="5123" max="5123" width="22.7109375" style="3" customWidth="1"/>
    <col min="5124" max="5124" width="14" style="3" customWidth="1"/>
    <col min="5125" max="5125" width="16.5703125" style="3" bestFit="1" customWidth="1"/>
    <col min="5126" max="5126" width="17.7109375" style="3" customWidth="1"/>
    <col min="5127" max="5376" width="11.42578125" style="3"/>
    <col min="5377" max="5377" width="51.5703125" style="3" customWidth="1"/>
    <col min="5378" max="5378" width="23.85546875" style="3" customWidth="1"/>
    <col min="5379" max="5379" width="22.7109375" style="3" customWidth="1"/>
    <col min="5380" max="5380" width="14" style="3" customWidth="1"/>
    <col min="5381" max="5381" width="16.5703125" style="3" bestFit="1" customWidth="1"/>
    <col min="5382" max="5382" width="17.7109375" style="3" customWidth="1"/>
    <col min="5383" max="5632" width="11.42578125" style="3"/>
    <col min="5633" max="5633" width="51.5703125" style="3" customWidth="1"/>
    <col min="5634" max="5634" width="23.85546875" style="3" customWidth="1"/>
    <col min="5635" max="5635" width="22.7109375" style="3" customWidth="1"/>
    <col min="5636" max="5636" width="14" style="3" customWidth="1"/>
    <col min="5637" max="5637" width="16.5703125" style="3" bestFit="1" customWidth="1"/>
    <col min="5638" max="5638" width="17.7109375" style="3" customWidth="1"/>
    <col min="5639" max="5888" width="11.42578125" style="3"/>
    <col min="5889" max="5889" width="51.5703125" style="3" customWidth="1"/>
    <col min="5890" max="5890" width="23.85546875" style="3" customWidth="1"/>
    <col min="5891" max="5891" width="22.7109375" style="3" customWidth="1"/>
    <col min="5892" max="5892" width="14" style="3" customWidth="1"/>
    <col min="5893" max="5893" width="16.5703125" style="3" bestFit="1" customWidth="1"/>
    <col min="5894" max="5894" width="17.7109375" style="3" customWidth="1"/>
    <col min="5895" max="6144" width="11.42578125" style="3"/>
    <col min="6145" max="6145" width="51.5703125" style="3" customWidth="1"/>
    <col min="6146" max="6146" width="23.85546875" style="3" customWidth="1"/>
    <col min="6147" max="6147" width="22.7109375" style="3" customWidth="1"/>
    <col min="6148" max="6148" width="14" style="3" customWidth="1"/>
    <col min="6149" max="6149" width="16.5703125" style="3" bestFit="1" customWidth="1"/>
    <col min="6150" max="6150" width="17.7109375" style="3" customWidth="1"/>
    <col min="6151" max="6400" width="11.42578125" style="3"/>
    <col min="6401" max="6401" width="51.5703125" style="3" customWidth="1"/>
    <col min="6402" max="6402" width="23.85546875" style="3" customWidth="1"/>
    <col min="6403" max="6403" width="22.7109375" style="3" customWidth="1"/>
    <col min="6404" max="6404" width="14" style="3" customWidth="1"/>
    <col min="6405" max="6405" width="16.5703125" style="3" bestFit="1" customWidth="1"/>
    <col min="6406" max="6406" width="17.7109375" style="3" customWidth="1"/>
    <col min="6407" max="6656" width="11.42578125" style="3"/>
    <col min="6657" max="6657" width="51.5703125" style="3" customWidth="1"/>
    <col min="6658" max="6658" width="23.85546875" style="3" customWidth="1"/>
    <col min="6659" max="6659" width="22.7109375" style="3" customWidth="1"/>
    <col min="6660" max="6660" width="14" style="3" customWidth="1"/>
    <col min="6661" max="6661" width="16.5703125" style="3" bestFit="1" customWidth="1"/>
    <col min="6662" max="6662" width="17.7109375" style="3" customWidth="1"/>
    <col min="6663" max="6912" width="11.42578125" style="3"/>
    <col min="6913" max="6913" width="51.5703125" style="3" customWidth="1"/>
    <col min="6914" max="6914" width="23.85546875" style="3" customWidth="1"/>
    <col min="6915" max="6915" width="22.7109375" style="3" customWidth="1"/>
    <col min="6916" max="6916" width="14" style="3" customWidth="1"/>
    <col min="6917" max="6917" width="16.5703125" style="3" bestFit="1" customWidth="1"/>
    <col min="6918" max="6918" width="17.7109375" style="3" customWidth="1"/>
    <col min="6919" max="7168" width="11.42578125" style="3"/>
    <col min="7169" max="7169" width="51.5703125" style="3" customWidth="1"/>
    <col min="7170" max="7170" width="23.85546875" style="3" customWidth="1"/>
    <col min="7171" max="7171" width="22.7109375" style="3" customWidth="1"/>
    <col min="7172" max="7172" width="14" style="3" customWidth="1"/>
    <col min="7173" max="7173" width="16.5703125" style="3" bestFit="1" customWidth="1"/>
    <col min="7174" max="7174" width="17.7109375" style="3" customWidth="1"/>
    <col min="7175" max="7424" width="11.42578125" style="3"/>
    <col min="7425" max="7425" width="51.5703125" style="3" customWidth="1"/>
    <col min="7426" max="7426" width="23.85546875" style="3" customWidth="1"/>
    <col min="7427" max="7427" width="22.7109375" style="3" customWidth="1"/>
    <col min="7428" max="7428" width="14" style="3" customWidth="1"/>
    <col min="7429" max="7429" width="16.5703125" style="3" bestFit="1" customWidth="1"/>
    <col min="7430" max="7430" width="17.7109375" style="3" customWidth="1"/>
    <col min="7431" max="7680" width="11.42578125" style="3"/>
    <col min="7681" max="7681" width="51.5703125" style="3" customWidth="1"/>
    <col min="7682" max="7682" width="23.85546875" style="3" customWidth="1"/>
    <col min="7683" max="7683" width="22.7109375" style="3" customWidth="1"/>
    <col min="7684" max="7684" width="14" style="3" customWidth="1"/>
    <col min="7685" max="7685" width="16.5703125" style="3" bestFit="1" customWidth="1"/>
    <col min="7686" max="7686" width="17.7109375" style="3" customWidth="1"/>
    <col min="7687" max="7936" width="11.42578125" style="3"/>
    <col min="7937" max="7937" width="51.5703125" style="3" customWidth="1"/>
    <col min="7938" max="7938" width="23.85546875" style="3" customWidth="1"/>
    <col min="7939" max="7939" width="22.7109375" style="3" customWidth="1"/>
    <col min="7940" max="7940" width="14" style="3" customWidth="1"/>
    <col min="7941" max="7941" width="16.5703125" style="3" bestFit="1" customWidth="1"/>
    <col min="7942" max="7942" width="17.7109375" style="3" customWidth="1"/>
    <col min="7943" max="8192" width="11.42578125" style="3"/>
    <col min="8193" max="8193" width="51.5703125" style="3" customWidth="1"/>
    <col min="8194" max="8194" width="23.85546875" style="3" customWidth="1"/>
    <col min="8195" max="8195" width="22.7109375" style="3" customWidth="1"/>
    <col min="8196" max="8196" width="14" style="3" customWidth="1"/>
    <col min="8197" max="8197" width="16.5703125" style="3" bestFit="1" customWidth="1"/>
    <col min="8198" max="8198" width="17.7109375" style="3" customWidth="1"/>
    <col min="8199" max="8448" width="11.42578125" style="3"/>
    <col min="8449" max="8449" width="51.5703125" style="3" customWidth="1"/>
    <col min="8450" max="8450" width="23.85546875" style="3" customWidth="1"/>
    <col min="8451" max="8451" width="22.7109375" style="3" customWidth="1"/>
    <col min="8452" max="8452" width="14" style="3" customWidth="1"/>
    <col min="8453" max="8453" width="16.5703125" style="3" bestFit="1" customWidth="1"/>
    <col min="8454" max="8454" width="17.7109375" style="3" customWidth="1"/>
    <col min="8455" max="8704" width="11.42578125" style="3"/>
    <col min="8705" max="8705" width="51.5703125" style="3" customWidth="1"/>
    <col min="8706" max="8706" width="23.85546875" style="3" customWidth="1"/>
    <col min="8707" max="8707" width="22.7109375" style="3" customWidth="1"/>
    <col min="8708" max="8708" width="14" style="3" customWidth="1"/>
    <col min="8709" max="8709" width="16.5703125" style="3" bestFit="1" customWidth="1"/>
    <col min="8710" max="8710" width="17.7109375" style="3" customWidth="1"/>
    <col min="8711" max="8960" width="11.42578125" style="3"/>
    <col min="8961" max="8961" width="51.5703125" style="3" customWidth="1"/>
    <col min="8962" max="8962" width="23.85546875" style="3" customWidth="1"/>
    <col min="8963" max="8963" width="22.7109375" style="3" customWidth="1"/>
    <col min="8964" max="8964" width="14" style="3" customWidth="1"/>
    <col min="8965" max="8965" width="16.5703125" style="3" bestFit="1" customWidth="1"/>
    <col min="8966" max="8966" width="17.7109375" style="3" customWidth="1"/>
    <col min="8967" max="9216" width="11.42578125" style="3"/>
    <col min="9217" max="9217" width="51.5703125" style="3" customWidth="1"/>
    <col min="9218" max="9218" width="23.85546875" style="3" customWidth="1"/>
    <col min="9219" max="9219" width="22.7109375" style="3" customWidth="1"/>
    <col min="9220" max="9220" width="14" style="3" customWidth="1"/>
    <col min="9221" max="9221" width="16.5703125" style="3" bestFit="1" customWidth="1"/>
    <col min="9222" max="9222" width="17.7109375" style="3" customWidth="1"/>
    <col min="9223" max="9472" width="11.42578125" style="3"/>
    <col min="9473" max="9473" width="51.5703125" style="3" customWidth="1"/>
    <col min="9474" max="9474" width="23.85546875" style="3" customWidth="1"/>
    <col min="9475" max="9475" width="22.7109375" style="3" customWidth="1"/>
    <col min="9476" max="9476" width="14" style="3" customWidth="1"/>
    <col min="9477" max="9477" width="16.5703125" style="3" bestFit="1" customWidth="1"/>
    <col min="9478" max="9478" width="17.7109375" style="3" customWidth="1"/>
    <col min="9479" max="9728" width="11.42578125" style="3"/>
    <col min="9729" max="9729" width="51.5703125" style="3" customWidth="1"/>
    <col min="9730" max="9730" width="23.85546875" style="3" customWidth="1"/>
    <col min="9731" max="9731" width="22.7109375" style="3" customWidth="1"/>
    <col min="9732" max="9732" width="14" style="3" customWidth="1"/>
    <col min="9733" max="9733" width="16.5703125" style="3" bestFit="1" customWidth="1"/>
    <col min="9734" max="9734" width="17.7109375" style="3" customWidth="1"/>
    <col min="9735" max="9984" width="11.42578125" style="3"/>
    <col min="9985" max="9985" width="51.5703125" style="3" customWidth="1"/>
    <col min="9986" max="9986" width="23.85546875" style="3" customWidth="1"/>
    <col min="9987" max="9987" width="22.7109375" style="3" customWidth="1"/>
    <col min="9988" max="9988" width="14" style="3" customWidth="1"/>
    <col min="9989" max="9989" width="16.5703125" style="3" bestFit="1" customWidth="1"/>
    <col min="9990" max="9990" width="17.7109375" style="3" customWidth="1"/>
    <col min="9991" max="10240" width="11.42578125" style="3"/>
    <col min="10241" max="10241" width="51.5703125" style="3" customWidth="1"/>
    <col min="10242" max="10242" width="23.85546875" style="3" customWidth="1"/>
    <col min="10243" max="10243" width="22.7109375" style="3" customWidth="1"/>
    <col min="10244" max="10244" width="14" style="3" customWidth="1"/>
    <col min="10245" max="10245" width="16.5703125" style="3" bestFit="1" customWidth="1"/>
    <col min="10246" max="10246" width="17.7109375" style="3" customWidth="1"/>
    <col min="10247" max="10496" width="11.42578125" style="3"/>
    <col min="10497" max="10497" width="51.5703125" style="3" customWidth="1"/>
    <col min="10498" max="10498" width="23.85546875" style="3" customWidth="1"/>
    <col min="10499" max="10499" width="22.7109375" style="3" customWidth="1"/>
    <col min="10500" max="10500" width="14" style="3" customWidth="1"/>
    <col min="10501" max="10501" width="16.5703125" style="3" bestFit="1" customWidth="1"/>
    <col min="10502" max="10502" width="17.7109375" style="3" customWidth="1"/>
    <col min="10503" max="10752" width="11.42578125" style="3"/>
    <col min="10753" max="10753" width="51.5703125" style="3" customWidth="1"/>
    <col min="10754" max="10754" width="23.85546875" style="3" customWidth="1"/>
    <col min="10755" max="10755" width="22.7109375" style="3" customWidth="1"/>
    <col min="10756" max="10756" width="14" style="3" customWidth="1"/>
    <col min="10757" max="10757" width="16.5703125" style="3" bestFit="1" customWidth="1"/>
    <col min="10758" max="10758" width="17.7109375" style="3" customWidth="1"/>
    <col min="10759" max="11008" width="11.42578125" style="3"/>
    <col min="11009" max="11009" width="51.5703125" style="3" customWidth="1"/>
    <col min="11010" max="11010" width="23.85546875" style="3" customWidth="1"/>
    <col min="11011" max="11011" width="22.7109375" style="3" customWidth="1"/>
    <col min="11012" max="11012" width="14" style="3" customWidth="1"/>
    <col min="11013" max="11013" width="16.5703125" style="3" bestFit="1" customWidth="1"/>
    <col min="11014" max="11014" width="17.7109375" style="3" customWidth="1"/>
    <col min="11015" max="11264" width="11.42578125" style="3"/>
    <col min="11265" max="11265" width="51.5703125" style="3" customWidth="1"/>
    <col min="11266" max="11266" width="23.85546875" style="3" customWidth="1"/>
    <col min="11267" max="11267" width="22.7109375" style="3" customWidth="1"/>
    <col min="11268" max="11268" width="14" style="3" customWidth="1"/>
    <col min="11269" max="11269" width="16.5703125" style="3" bestFit="1" customWidth="1"/>
    <col min="11270" max="11270" width="17.7109375" style="3" customWidth="1"/>
    <col min="11271" max="11520" width="11.42578125" style="3"/>
    <col min="11521" max="11521" width="51.5703125" style="3" customWidth="1"/>
    <col min="11522" max="11522" width="23.85546875" style="3" customWidth="1"/>
    <col min="11523" max="11523" width="22.7109375" style="3" customWidth="1"/>
    <col min="11524" max="11524" width="14" style="3" customWidth="1"/>
    <col min="11525" max="11525" width="16.5703125" style="3" bestFit="1" customWidth="1"/>
    <col min="11526" max="11526" width="17.7109375" style="3" customWidth="1"/>
    <col min="11527" max="11776" width="11.42578125" style="3"/>
    <col min="11777" max="11777" width="51.5703125" style="3" customWidth="1"/>
    <col min="11778" max="11778" width="23.85546875" style="3" customWidth="1"/>
    <col min="11779" max="11779" width="22.7109375" style="3" customWidth="1"/>
    <col min="11780" max="11780" width="14" style="3" customWidth="1"/>
    <col min="11781" max="11781" width="16.5703125" style="3" bestFit="1" customWidth="1"/>
    <col min="11782" max="11782" width="17.7109375" style="3" customWidth="1"/>
    <col min="11783" max="12032" width="11.42578125" style="3"/>
    <col min="12033" max="12033" width="51.5703125" style="3" customWidth="1"/>
    <col min="12034" max="12034" width="23.85546875" style="3" customWidth="1"/>
    <col min="12035" max="12035" width="22.7109375" style="3" customWidth="1"/>
    <col min="12036" max="12036" width="14" style="3" customWidth="1"/>
    <col min="12037" max="12037" width="16.5703125" style="3" bestFit="1" customWidth="1"/>
    <col min="12038" max="12038" width="17.7109375" style="3" customWidth="1"/>
    <col min="12039" max="12288" width="11.42578125" style="3"/>
    <col min="12289" max="12289" width="51.5703125" style="3" customWidth="1"/>
    <col min="12290" max="12290" width="23.85546875" style="3" customWidth="1"/>
    <col min="12291" max="12291" width="22.7109375" style="3" customWidth="1"/>
    <col min="12292" max="12292" width="14" style="3" customWidth="1"/>
    <col min="12293" max="12293" width="16.5703125" style="3" bestFit="1" customWidth="1"/>
    <col min="12294" max="12294" width="17.7109375" style="3" customWidth="1"/>
    <col min="12295" max="12544" width="11.42578125" style="3"/>
    <col min="12545" max="12545" width="51.5703125" style="3" customWidth="1"/>
    <col min="12546" max="12546" width="23.85546875" style="3" customWidth="1"/>
    <col min="12547" max="12547" width="22.7109375" style="3" customWidth="1"/>
    <col min="12548" max="12548" width="14" style="3" customWidth="1"/>
    <col min="12549" max="12549" width="16.5703125" style="3" bestFit="1" customWidth="1"/>
    <col min="12550" max="12550" width="17.7109375" style="3" customWidth="1"/>
    <col min="12551" max="12800" width="11.42578125" style="3"/>
    <col min="12801" max="12801" width="51.5703125" style="3" customWidth="1"/>
    <col min="12802" max="12802" width="23.85546875" style="3" customWidth="1"/>
    <col min="12803" max="12803" width="22.7109375" style="3" customWidth="1"/>
    <col min="12804" max="12804" width="14" style="3" customWidth="1"/>
    <col min="12805" max="12805" width="16.5703125" style="3" bestFit="1" customWidth="1"/>
    <col min="12806" max="12806" width="17.7109375" style="3" customWidth="1"/>
    <col min="12807" max="13056" width="11.42578125" style="3"/>
    <col min="13057" max="13057" width="51.5703125" style="3" customWidth="1"/>
    <col min="13058" max="13058" width="23.85546875" style="3" customWidth="1"/>
    <col min="13059" max="13059" width="22.7109375" style="3" customWidth="1"/>
    <col min="13060" max="13060" width="14" style="3" customWidth="1"/>
    <col min="13061" max="13061" width="16.5703125" style="3" bestFit="1" customWidth="1"/>
    <col min="13062" max="13062" width="17.7109375" style="3" customWidth="1"/>
    <col min="13063" max="13312" width="11.42578125" style="3"/>
    <col min="13313" max="13313" width="51.5703125" style="3" customWidth="1"/>
    <col min="13314" max="13314" width="23.85546875" style="3" customWidth="1"/>
    <col min="13315" max="13315" width="22.7109375" style="3" customWidth="1"/>
    <col min="13316" max="13316" width="14" style="3" customWidth="1"/>
    <col min="13317" max="13317" width="16.5703125" style="3" bestFit="1" customWidth="1"/>
    <col min="13318" max="13318" width="17.7109375" style="3" customWidth="1"/>
    <col min="13319" max="13568" width="11.42578125" style="3"/>
    <col min="13569" max="13569" width="51.5703125" style="3" customWidth="1"/>
    <col min="13570" max="13570" width="23.85546875" style="3" customWidth="1"/>
    <col min="13571" max="13571" width="22.7109375" style="3" customWidth="1"/>
    <col min="13572" max="13572" width="14" style="3" customWidth="1"/>
    <col min="13573" max="13573" width="16.5703125" style="3" bestFit="1" customWidth="1"/>
    <col min="13574" max="13574" width="17.7109375" style="3" customWidth="1"/>
    <col min="13575" max="13824" width="11.42578125" style="3"/>
    <col min="13825" max="13825" width="51.5703125" style="3" customWidth="1"/>
    <col min="13826" max="13826" width="23.85546875" style="3" customWidth="1"/>
    <col min="13827" max="13827" width="22.7109375" style="3" customWidth="1"/>
    <col min="13828" max="13828" width="14" style="3" customWidth="1"/>
    <col min="13829" max="13829" width="16.5703125" style="3" bestFit="1" customWidth="1"/>
    <col min="13830" max="13830" width="17.7109375" style="3" customWidth="1"/>
    <col min="13831" max="14080" width="11.42578125" style="3"/>
    <col min="14081" max="14081" width="51.5703125" style="3" customWidth="1"/>
    <col min="14082" max="14082" width="23.85546875" style="3" customWidth="1"/>
    <col min="14083" max="14083" width="22.7109375" style="3" customWidth="1"/>
    <col min="14084" max="14084" width="14" style="3" customWidth="1"/>
    <col min="14085" max="14085" width="16.5703125" style="3" bestFit="1" customWidth="1"/>
    <col min="14086" max="14086" width="17.7109375" style="3" customWidth="1"/>
    <col min="14087" max="14336" width="11.42578125" style="3"/>
    <col min="14337" max="14337" width="51.5703125" style="3" customWidth="1"/>
    <col min="14338" max="14338" width="23.85546875" style="3" customWidth="1"/>
    <col min="14339" max="14339" width="22.7109375" style="3" customWidth="1"/>
    <col min="14340" max="14340" width="14" style="3" customWidth="1"/>
    <col min="14341" max="14341" width="16.5703125" style="3" bestFit="1" customWidth="1"/>
    <col min="14342" max="14342" width="17.7109375" style="3" customWidth="1"/>
    <col min="14343" max="14592" width="11.42578125" style="3"/>
    <col min="14593" max="14593" width="51.5703125" style="3" customWidth="1"/>
    <col min="14594" max="14594" width="23.85546875" style="3" customWidth="1"/>
    <col min="14595" max="14595" width="22.7109375" style="3" customWidth="1"/>
    <col min="14596" max="14596" width="14" style="3" customWidth="1"/>
    <col min="14597" max="14597" width="16.5703125" style="3" bestFit="1" customWidth="1"/>
    <col min="14598" max="14598" width="17.7109375" style="3" customWidth="1"/>
    <col min="14599" max="14848" width="11.42578125" style="3"/>
    <col min="14849" max="14849" width="51.5703125" style="3" customWidth="1"/>
    <col min="14850" max="14850" width="23.85546875" style="3" customWidth="1"/>
    <col min="14851" max="14851" width="22.7109375" style="3" customWidth="1"/>
    <col min="14852" max="14852" width="14" style="3" customWidth="1"/>
    <col min="14853" max="14853" width="16.5703125" style="3" bestFit="1" customWidth="1"/>
    <col min="14854" max="14854" width="17.7109375" style="3" customWidth="1"/>
    <col min="14855" max="15104" width="11.42578125" style="3"/>
    <col min="15105" max="15105" width="51.5703125" style="3" customWidth="1"/>
    <col min="15106" max="15106" width="23.85546875" style="3" customWidth="1"/>
    <col min="15107" max="15107" width="22.7109375" style="3" customWidth="1"/>
    <col min="15108" max="15108" width="14" style="3" customWidth="1"/>
    <col min="15109" max="15109" width="16.5703125" style="3" bestFit="1" customWidth="1"/>
    <col min="15110" max="15110" width="17.7109375" style="3" customWidth="1"/>
    <col min="15111" max="15360" width="11.42578125" style="3"/>
    <col min="15361" max="15361" width="51.5703125" style="3" customWidth="1"/>
    <col min="15362" max="15362" width="23.85546875" style="3" customWidth="1"/>
    <col min="15363" max="15363" width="22.7109375" style="3" customWidth="1"/>
    <col min="15364" max="15364" width="14" style="3" customWidth="1"/>
    <col min="15365" max="15365" width="16.5703125" style="3" bestFit="1" customWidth="1"/>
    <col min="15366" max="15366" width="17.7109375" style="3" customWidth="1"/>
    <col min="15367" max="15616" width="11.42578125" style="3"/>
    <col min="15617" max="15617" width="51.5703125" style="3" customWidth="1"/>
    <col min="15618" max="15618" width="23.85546875" style="3" customWidth="1"/>
    <col min="15619" max="15619" width="22.7109375" style="3" customWidth="1"/>
    <col min="15620" max="15620" width="14" style="3" customWidth="1"/>
    <col min="15621" max="15621" width="16.5703125" style="3" bestFit="1" customWidth="1"/>
    <col min="15622" max="15622" width="17.7109375" style="3" customWidth="1"/>
    <col min="15623" max="15872" width="11.42578125" style="3"/>
    <col min="15873" max="15873" width="51.5703125" style="3" customWidth="1"/>
    <col min="15874" max="15874" width="23.85546875" style="3" customWidth="1"/>
    <col min="15875" max="15875" width="22.7109375" style="3" customWidth="1"/>
    <col min="15876" max="15876" width="14" style="3" customWidth="1"/>
    <col min="15877" max="15877" width="16.5703125" style="3" bestFit="1" customWidth="1"/>
    <col min="15878" max="15878" width="17.7109375" style="3" customWidth="1"/>
    <col min="15879" max="16128" width="11.42578125" style="3"/>
    <col min="16129" max="16129" width="51.5703125" style="3" customWidth="1"/>
    <col min="16130" max="16130" width="23.85546875" style="3" customWidth="1"/>
    <col min="16131" max="16131" width="22.7109375" style="3" customWidth="1"/>
    <col min="16132" max="16132" width="14" style="3" customWidth="1"/>
    <col min="16133" max="16133" width="16.5703125" style="3" bestFit="1" customWidth="1"/>
    <col min="16134" max="16134" width="17.7109375" style="3" customWidth="1"/>
    <col min="16135" max="16384" width="11.42578125" style="3"/>
  </cols>
  <sheetData>
    <row r="1" spans="1:6" s="126" customFormat="1" ht="12.75" customHeight="1">
      <c r="A1" s="453" t="s">
        <v>85</v>
      </c>
      <c r="B1" s="453"/>
      <c r="C1" s="453"/>
      <c r="E1" s="116"/>
      <c r="F1" s="116"/>
    </row>
    <row r="2" spans="1:6" s="126" customFormat="1">
      <c r="A2" s="454" t="s">
        <v>86</v>
      </c>
      <c r="B2" s="454"/>
      <c r="C2" s="454"/>
      <c r="E2" s="116"/>
      <c r="F2" s="116"/>
    </row>
    <row r="3" spans="1:6" s="126" customFormat="1">
      <c r="A3" s="152"/>
      <c r="B3" s="321"/>
      <c r="C3" s="338"/>
      <c r="E3" s="116"/>
      <c r="F3" s="116"/>
    </row>
    <row r="4" spans="1:6" s="126" customFormat="1">
      <c r="A4" s="455" t="s">
        <v>135</v>
      </c>
      <c r="B4" s="455"/>
      <c r="C4" s="455"/>
      <c r="E4" s="116"/>
      <c r="F4" s="116"/>
    </row>
    <row r="5" spans="1:6" s="126" customFormat="1">
      <c r="A5" s="455" t="s">
        <v>216</v>
      </c>
      <c r="B5" s="455"/>
      <c r="C5" s="455"/>
      <c r="E5" s="116"/>
      <c r="F5" s="116"/>
    </row>
    <row r="6" spans="1:6" s="126" customFormat="1">
      <c r="A6" s="159"/>
      <c r="B6" s="321"/>
      <c r="C6" s="338"/>
      <c r="E6" s="116"/>
      <c r="F6" s="116"/>
    </row>
    <row r="7" spans="1:6" s="126" customFormat="1">
      <c r="A7" s="455" t="s">
        <v>137</v>
      </c>
      <c r="B7" s="455"/>
      <c r="C7" s="455"/>
      <c r="E7" s="116"/>
      <c r="F7" s="116"/>
    </row>
    <row r="8" spans="1:6" s="126" customFormat="1">
      <c r="A8" s="484" t="s">
        <v>138</v>
      </c>
      <c r="B8" s="484"/>
      <c r="C8" s="484"/>
      <c r="E8" s="116"/>
      <c r="F8" s="116"/>
    </row>
    <row r="9" spans="1:6" s="126" customFormat="1">
      <c r="A9" s="159"/>
      <c r="B9" s="345"/>
      <c r="C9" s="347"/>
      <c r="E9" s="116"/>
      <c r="F9" s="116"/>
    </row>
    <row r="10" spans="1:6" s="126" customFormat="1">
      <c r="A10" s="103" t="s">
        <v>139</v>
      </c>
      <c r="B10" s="322"/>
      <c r="C10" s="316"/>
      <c r="E10" s="175"/>
      <c r="F10" s="116"/>
    </row>
    <row r="11" spans="1:6" s="126" customFormat="1" ht="16.5" thickBot="1">
      <c r="A11" s="101" t="s">
        <v>217</v>
      </c>
      <c r="B11" s="323">
        <v>3065000</v>
      </c>
      <c r="C11" s="316"/>
      <c r="E11" s="175"/>
      <c r="F11" s="116"/>
    </row>
    <row r="12" spans="1:6" s="126" customFormat="1">
      <c r="A12" s="103" t="s">
        <v>142</v>
      </c>
      <c r="B12" s="324"/>
      <c r="C12" s="338">
        <f>B11</f>
        <v>3065000</v>
      </c>
      <c r="E12" s="175" t="s">
        <v>143</v>
      </c>
      <c r="F12" s="116"/>
    </row>
    <row r="13" spans="1:6" s="126" customFormat="1">
      <c r="A13" s="103"/>
      <c r="B13" s="322"/>
      <c r="C13" s="316"/>
      <c r="E13" s="175" t="s">
        <v>143</v>
      </c>
      <c r="F13" s="116"/>
    </row>
    <row r="14" spans="1:6" s="126" customFormat="1">
      <c r="A14" s="103" t="s">
        <v>144</v>
      </c>
      <c r="B14" s="322"/>
      <c r="C14" s="316"/>
      <c r="E14" s="175" t="s">
        <v>143</v>
      </c>
      <c r="F14" s="116"/>
    </row>
    <row r="15" spans="1:6" s="126" customFormat="1">
      <c r="A15" s="101" t="s">
        <v>145</v>
      </c>
      <c r="B15" s="322">
        <f>35816000+2029000</f>
        <v>37845000</v>
      </c>
      <c r="C15" s="316"/>
      <c r="E15" s="175"/>
      <c r="F15" s="116"/>
    </row>
    <row r="16" spans="1:6" s="126" customFormat="1" ht="16.5" thickBot="1">
      <c r="A16" s="101" t="s">
        <v>218</v>
      </c>
      <c r="B16" s="323">
        <v>6241000</v>
      </c>
      <c r="C16" s="316"/>
      <c r="E16" s="175"/>
      <c r="F16" s="116"/>
    </row>
    <row r="17" spans="1:6" s="126" customFormat="1">
      <c r="A17" s="103" t="s">
        <v>148</v>
      </c>
      <c r="B17" s="324"/>
      <c r="C17" s="338">
        <f>+B15+B16</f>
        <v>44086000</v>
      </c>
      <c r="E17" s="175"/>
      <c r="F17" s="116"/>
    </row>
    <row r="18" spans="1:6" s="126" customFormat="1">
      <c r="A18" s="247"/>
      <c r="B18" s="325"/>
      <c r="C18" s="316"/>
      <c r="E18" s="175"/>
      <c r="F18" s="116"/>
    </row>
    <row r="19" spans="1:6" s="126" customFormat="1" ht="16.5" thickBot="1">
      <c r="A19" s="245" t="s">
        <v>149</v>
      </c>
      <c r="B19" s="326"/>
      <c r="C19" s="343">
        <f>+C12+C17</f>
        <v>47151000</v>
      </c>
      <c r="E19" s="175" t="s">
        <v>143</v>
      </c>
      <c r="F19" s="116"/>
    </row>
    <row r="20" spans="1:6">
      <c r="A20" s="241"/>
      <c r="B20" s="324"/>
      <c r="E20" s="175" t="s">
        <v>143</v>
      </c>
    </row>
    <row r="21" spans="1:6" s="126" customFormat="1">
      <c r="A21" s="455" t="s">
        <v>150</v>
      </c>
      <c r="B21" s="455"/>
      <c r="C21" s="455"/>
      <c r="E21" s="175" t="s">
        <v>143</v>
      </c>
      <c r="F21" s="116"/>
    </row>
    <row r="22" spans="1:6">
      <c r="A22" s="166" t="s">
        <v>151</v>
      </c>
      <c r="B22" s="321"/>
      <c r="C22" s="338"/>
      <c r="E22" s="175" t="s">
        <v>143</v>
      </c>
    </row>
    <row r="23" spans="1:6">
      <c r="A23" s="103" t="s">
        <v>158</v>
      </c>
      <c r="B23" s="328"/>
      <c r="C23" s="338"/>
      <c r="E23" s="175"/>
    </row>
    <row r="24" spans="1:6" ht="16.5" thickBot="1">
      <c r="A24" s="101" t="s">
        <v>159</v>
      </c>
      <c r="B24" s="323">
        <v>751100000</v>
      </c>
      <c r="C24" s="338"/>
      <c r="E24" s="175"/>
    </row>
    <row r="25" spans="1:6">
      <c r="A25" s="103" t="s">
        <v>161</v>
      </c>
      <c r="B25" s="324"/>
      <c r="C25" s="338">
        <f>+B24</f>
        <v>751100000</v>
      </c>
      <c r="E25" s="175"/>
    </row>
    <row r="26" spans="1:6">
      <c r="A26" s="239"/>
      <c r="B26" s="325"/>
    </row>
    <row r="27" spans="1:6" ht="16.5" thickBot="1">
      <c r="A27" s="245" t="s">
        <v>165</v>
      </c>
      <c r="B27" s="326"/>
      <c r="C27" s="343">
        <f>+C25</f>
        <v>751100000</v>
      </c>
    </row>
    <row r="28" spans="1:6">
      <c r="A28" s="243"/>
      <c r="B28" s="346"/>
    </row>
    <row r="29" spans="1:6" s="9" customFormat="1" ht="16.5" thickBot="1">
      <c r="A29" s="482" t="s">
        <v>166</v>
      </c>
      <c r="B29" s="483"/>
      <c r="C29" s="343">
        <f>+C19+C27</f>
        <v>798251000</v>
      </c>
      <c r="D29" s="145"/>
      <c r="E29" s="146"/>
      <c r="F29" s="146"/>
    </row>
    <row r="30" spans="1:6">
      <c r="A30" s="241"/>
      <c r="B30" s="324"/>
    </row>
    <row r="31" spans="1:6">
      <c r="A31" s="479" t="s">
        <v>167</v>
      </c>
      <c r="B31" s="479"/>
      <c r="C31" s="479"/>
    </row>
    <row r="32" spans="1:6">
      <c r="A32" s="130"/>
      <c r="B32" s="321"/>
      <c r="C32" s="338"/>
    </row>
    <row r="33" spans="1:6">
      <c r="A33" s="103" t="s">
        <v>170</v>
      </c>
      <c r="B33" s="322"/>
    </row>
    <row r="34" spans="1:6">
      <c r="A34" s="101" t="s">
        <v>172</v>
      </c>
      <c r="B34" s="322">
        <v>135000</v>
      </c>
    </row>
    <row r="35" spans="1:6">
      <c r="A35" s="101" t="s">
        <v>219</v>
      </c>
      <c r="B35" s="322">
        <v>23000</v>
      </c>
    </row>
    <row r="36" spans="1:6" ht="16.5" thickBot="1">
      <c r="A36" s="101" t="s">
        <v>174</v>
      </c>
      <c r="B36" s="323">
        <v>103918000</v>
      </c>
    </row>
    <row r="37" spans="1:6">
      <c r="A37" s="103" t="s">
        <v>220</v>
      </c>
      <c r="B37" s="324"/>
      <c r="C37" s="338">
        <f>+SUM(B34:B36)</f>
        <v>104076000</v>
      </c>
    </row>
    <row r="38" spans="1:6">
      <c r="A38" s="103"/>
      <c r="B38" s="322"/>
      <c r="C38" s="338"/>
    </row>
    <row r="39" spans="1:6">
      <c r="A39" s="103" t="s">
        <v>181</v>
      </c>
      <c r="B39" s="332"/>
      <c r="C39" s="341"/>
    </row>
    <row r="40" spans="1:6">
      <c r="A40" s="101" t="s">
        <v>182</v>
      </c>
      <c r="B40" s="332">
        <f>+'ER 2015'!B49</f>
        <v>17195000</v>
      </c>
      <c r="C40" s="341"/>
    </row>
    <row r="41" spans="1:6" ht="16.5" thickBot="1">
      <c r="A41" s="101" t="s">
        <v>129</v>
      </c>
      <c r="B41" s="333">
        <f>+'ER 2015'!B50</f>
        <v>3768000</v>
      </c>
      <c r="C41" s="341"/>
    </row>
    <row r="42" spans="1:6">
      <c r="A42" s="103" t="s">
        <v>183</v>
      </c>
      <c r="B42" s="334"/>
      <c r="C42" s="342">
        <f>+B40+B41</f>
        <v>20963000</v>
      </c>
    </row>
    <row r="43" spans="1:6">
      <c r="A43" s="247"/>
      <c r="B43" s="325"/>
      <c r="C43" s="338"/>
    </row>
    <row r="44" spans="1:6" s="9" customFormat="1" ht="16.5" thickBot="1">
      <c r="A44" s="482" t="s">
        <v>184</v>
      </c>
      <c r="B44" s="483"/>
      <c r="C44" s="343">
        <f>+C37+C42</f>
        <v>125039000</v>
      </c>
      <c r="D44" s="145"/>
      <c r="E44" s="146"/>
      <c r="F44" s="146"/>
    </row>
    <row r="45" spans="1:6">
      <c r="A45" s="241"/>
      <c r="B45" s="324"/>
    </row>
    <row r="46" spans="1:6">
      <c r="A46" s="453" t="s">
        <v>85</v>
      </c>
      <c r="B46" s="453"/>
      <c r="C46" s="453"/>
    </row>
    <row r="47" spans="1:6">
      <c r="A47" s="454" t="s">
        <v>86</v>
      </c>
      <c r="B47" s="454"/>
      <c r="C47" s="454"/>
    </row>
    <row r="48" spans="1:6">
      <c r="A48" s="455" t="s">
        <v>135</v>
      </c>
      <c r="B48" s="455"/>
      <c r="C48" s="455"/>
    </row>
    <row r="49" spans="1:6">
      <c r="A49" s="455" t="s">
        <v>216</v>
      </c>
      <c r="B49" s="455"/>
      <c r="C49" s="455"/>
    </row>
    <row r="50" spans="1:6">
      <c r="A50" s="101"/>
      <c r="B50" s="322"/>
    </row>
    <row r="51" spans="1:6">
      <c r="A51" s="455" t="s">
        <v>185</v>
      </c>
      <c r="B51" s="455"/>
      <c r="C51" s="455"/>
    </row>
    <row r="52" spans="1:6">
      <c r="A52" s="159"/>
      <c r="B52" s="345"/>
      <c r="C52" s="347"/>
    </row>
    <row r="53" spans="1:6">
      <c r="A53" s="103" t="s">
        <v>221</v>
      </c>
      <c r="B53" s="322"/>
      <c r="E53" s="3"/>
      <c r="F53" s="3"/>
    </row>
    <row r="54" spans="1:6" ht="16.5" thickBot="1">
      <c r="A54" s="101" t="s">
        <v>187</v>
      </c>
      <c r="B54" s="323">
        <v>620000000</v>
      </c>
      <c r="E54" s="3"/>
      <c r="F54" s="3"/>
    </row>
    <row r="55" spans="1:6">
      <c r="A55" s="103" t="s">
        <v>188</v>
      </c>
      <c r="B55" s="324"/>
      <c r="C55" s="338">
        <f>+B54</f>
        <v>620000000</v>
      </c>
      <c r="E55" s="3"/>
      <c r="F55" s="3"/>
    </row>
    <row r="56" spans="1:6">
      <c r="A56" s="103"/>
      <c r="B56" s="322"/>
      <c r="C56" s="338"/>
      <c r="E56" s="3"/>
      <c r="F56" s="3"/>
    </row>
    <row r="57" spans="1:6">
      <c r="A57" s="103" t="s">
        <v>36</v>
      </c>
      <c r="B57" s="322"/>
    </row>
    <row r="58" spans="1:6" ht="16.5" thickBot="1">
      <c r="A58" s="101" t="s">
        <v>192</v>
      </c>
      <c r="B58" s="323">
        <f>+'ER 2015'!C53</f>
        <v>47818000</v>
      </c>
    </row>
    <row r="59" spans="1:6">
      <c r="A59" s="103" t="s">
        <v>193</v>
      </c>
      <c r="B59" s="324"/>
      <c r="C59" s="338">
        <f>+B58</f>
        <v>47818000</v>
      </c>
    </row>
    <row r="60" spans="1:6">
      <c r="A60" s="103"/>
      <c r="B60" s="322"/>
      <c r="C60" s="338"/>
    </row>
    <row r="61" spans="1:6">
      <c r="A61" s="103" t="s">
        <v>189</v>
      </c>
      <c r="B61" s="322"/>
    </row>
    <row r="62" spans="1:6" ht="16.5" thickBot="1">
      <c r="A62" s="101" t="s">
        <v>254</v>
      </c>
      <c r="B62" s="323">
        <v>539000</v>
      </c>
    </row>
    <row r="63" spans="1:6">
      <c r="A63" s="103" t="s">
        <v>255</v>
      </c>
      <c r="B63" s="324"/>
      <c r="C63" s="338">
        <f>+B62</f>
        <v>539000</v>
      </c>
    </row>
    <row r="64" spans="1:6">
      <c r="A64" s="103"/>
      <c r="B64" s="322"/>
      <c r="C64" s="338"/>
    </row>
    <row r="65" spans="1:6">
      <c r="A65" s="103" t="s">
        <v>194</v>
      </c>
      <c r="B65" s="322"/>
    </row>
    <row r="66" spans="1:6" ht="16.5" thickBot="1">
      <c r="A66" s="101" t="s">
        <v>195</v>
      </c>
      <c r="B66" s="323">
        <f>+'BALANCE 2014'!B58-B62</f>
        <v>4855000</v>
      </c>
    </row>
    <row r="67" spans="1:6">
      <c r="A67" s="103" t="s">
        <v>196</v>
      </c>
      <c r="B67" s="324"/>
      <c r="C67" s="338">
        <f>+B66</f>
        <v>4855000</v>
      </c>
    </row>
    <row r="68" spans="1:6">
      <c r="A68" s="247"/>
      <c r="B68" s="325"/>
      <c r="C68" s="338"/>
    </row>
    <row r="69" spans="1:6" s="9" customFormat="1" ht="16.5" thickBot="1">
      <c r="A69" s="245" t="s">
        <v>197</v>
      </c>
      <c r="B69" s="344"/>
      <c r="C69" s="343">
        <f>+C55+C59+C67+C63</f>
        <v>673212000</v>
      </c>
      <c r="D69" s="145"/>
      <c r="E69" s="146"/>
      <c r="F69" s="146"/>
    </row>
    <row r="70" spans="1:6">
      <c r="A70" s="243"/>
      <c r="B70" s="346"/>
    </row>
    <row r="71" spans="1:6" s="9" customFormat="1" ht="16.5" thickBot="1">
      <c r="A71" s="482" t="s">
        <v>198</v>
      </c>
      <c r="B71" s="483"/>
      <c r="C71" s="343">
        <f>+C44+C69</f>
        <v>798251000</v>
      </c>
      <c r="D71" s="145">
        <f>+C71-C29</f>
        <v>0</v>
      </c>
      <c r="E71" s="146"/>
      <c r="F71" s="146"/>
    </row>
    <row r="72" spans="1:6" s="9" customFormat="1">
      <c r="A72" s="249"/>
      <c r="B72" s="336"/>
      <c r="C72" s="338"/>
      <c r="D72" s="145"/>
      <c r="E72" s="146"/>
      <c r="F72" s="146"/>
    </row>
    <row r="73" spans="1:6" s="9" customFormat="1">
      <c r="A73" s="103"/>
      <c r="B73" s="321"/>
      <c r="C73" s="338"/>
      <c r="D73" s="145"/>
      <c r="E73" s="146"/>
      <c r="F73" s="146"/>
    </row>
    <row r="74" spans="1:6" s="9" customFormat="1">
      <c r="A74" s="103"/>
      <c r="B74" s="321"/>
      <c r="C74" s="338"/>
      <c r="D74" s="145"/>
      <c r="E74" s="146"/>
      <c r="F74" s="146"/>
    </row>
    <row r="75" spans="1:6" s="9" customFormat="1">
      <c r="A75" s="103"/>
      <c r="B75" s="321"/>
      <c r="C75" s="338"/>
      <c r="D75" s="145"/>
      <c r="E75" s="146"/>
      <c r="F75" s="146"/>
    </row>
    <row r="76" spans="1:6">
      <c r="A76" s="172" t="s">
        <v>130</v>
      </c>
      <c r="B76" s="490" t="s">
        <v>131</v>
      </c>
      <c r="C76" s="490"/>
    </row>
    <row r="77" spans="1:6">
      <c r="A77" s="115" t="s">
        <v>132</v>
      </c>
      <c r="B77" s="489" t="s">
        <v>133</v>
      </c>
      <c r="C77" s="489"/>
    </row>
    <row r="78" spans="1:6">
      <c r="A78" s="110" t="s">
        <v>251</v>
      </c>
      <c r="B78" s="507" t="s">
        <v>134</v>
      </c>
      <c r="C78" s="508"/>
    </row>
  </sheetData>
  <mergeCells count="19">
    <mergeCell ref="A8:C8"/>
    <mergeCell ref="A21:C21"/>
    <mergeCell ref="A31:C31"/>
    <mergeCell ref="A51:C51"/>
    <mergeCell ref="B76:C76"/>
    <mergeCell ref="A46:C46"/>
    <mergeCell ref="A47:C47"/>
    <mergeCell ref="A48:C48"/>
    <mergeCell ref="A49:C49"/>
    <mergeCell ref="A1:C1"/>
    <mergeCell ref="A2:C2"/>
    <mergeCell ref="A4:C4"/>
    <mergeCell ref="A5:C5"/>
    <mergeCell ref="A7:C7"/>
    <mergeCell ref="A29:B29"/>
    <mergeCell ref="A44:B44"/>
    <mergeCell ref="A71:B71"/>
    <mergeCell ref="B78:C78"/>
    <mergeCell ref="B77:C77"/>
  </mergeCells>
  <pageMargins left="0.7" right="0.7" top="0.75" bottom="0.75" header="0.3" footer="0.3"/>
  <pageSetup scale="80" orientation="portrait" r:id="rId1"/>
  <rowBreaks count="1" manualBreakCount="1">
    <brk id="4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zoomScaleNormal="100" workbookViewId="0">
      <selection activeCell="E12" sqref="E12"/>
    </sheetView>
  </sheetViews>
  <sheetFormatPr baseColWidth="10" defaultColWidth="11.42578125" defaultRowHeight="15.75"/>
  <cols>
    <col min="1" max="1" width="64.7109375" style="3" customWidth="1"/>
    <col min="2" max="2" width="20.140625" style="173" customWidth="1"/>
    <col min="3" max="3" width="19.42578125" style="173" customWidth="1"/>
    <col min="4" max="5" width="11.42578125" style="3"/>
    <col min="6" max="6" width="11.85546875" style="3" bestFit="1" customWidth="1"/>
    <col min="7" max="7" width="11.42578125" style="3"/>
    <col min="8" max="8" width="13" style="3" customWidth="1"/>
    <col min="9" max="16384" width="11.42578125" style="3"/>
  </cols>
  <sheetData>
    <row r="1" spans="1:8">
      <c r="A1" s="453" t="s">
        <v>85</v>
      </c>
      <c r="B1" s="453"/>
      <c r="C1" s="453"/>
      <c r="D1" s="127"/>
      <c r="E1" s="10"/>
    </row>
    <row r="2" spans="1:8">
      <c r="A2" s="454" t="s">
        <v>86</v>
      </c>
      <c r="B2" s="454"/>
      <c r="C2" s="454"/>
      <c r="D2" s="127"/>
      <c r="E2" s="10"/>
    </row>
    <row r="3" spans="1:8">
      <c r="A3" s="139"/>
      <c r="B3" s="167"/>
      <c r="C3" s="167"/>
      <c r="D3" s="10"/>
      <c r="E3" s="10"/>
    </row>
    <row r="4" spans="1:8">
      <c r="A4" s="511" t="s">
        <v>199</v>
      </c>
      <c r="B4" s="511"/>
      <c r="C4" s="511"/>
      <c r="D4" s="10"/>
      <c r="E4" s="10"/>
    </row>
    <row r="5" spans="1:8">
      <c r="A5" s="511" t="s">
        <v>200</v>
      </c>
      <c r="B5" s="511"/>
      <c r="C5" s="511"/>
      <c r="D5" s="10"/>
      <c r="E5" s="10"/>
    </row>
    <row r="6" spans="1:8">
      <c r="A6" s="101"/>
      <c r="B6" s="171"/>
      <c r="C6" s="171"/>
    </row>
    <row r="7" spans="1:8">
      <c r="A7" s="512" t="s">
        <v>89</v>
      </c>
      <c r="B7" s="513"/>
      <c r="C7" s="514"/>
      <c r="D7" s="10"/>
      <c r="E7" s="10"/>
    </row>
    <row r="8" spans="1:8" ht="16.5" thickBot="1">
      <c r="A8" s="102" t="s">
        <v>252</v>
      </c>
      <c r="B8" s="238">
        <v>61980000</v>
      </c>
      <c r="C8" s="157"/>
      <c r="D8" s="10"/>
      <c r="E8" s="10"/>
    </row>
    <row r="9" spans="1:8">
      <c r="A9" s="495" t="s">
        <v>91</v>
      </c>
      <c r="B9" s="515"/>
      <c r="C9" s="167">
        <f>B8</f>
        <v>61980000</v>
      </c>
      <c r="D9" s="10"/>
      <c r="E9" s="126"/>
    </row>
    <row r="10" spans="1:8">
      <c r="A10" s="112"/>
      <c r="B10" s="157"/>
      <c r="C10" s="157"/>
      <c r="D10" s="10"/>
      <c r="E10" s="10"/>
      <c r="H10" s="174"/>
    </row>
    <row r="11" spans="1:8">
      <c r="A11" s="495" t="s">
        <v>92</v>
      </c>
      <c r="B11" s="496"/>
      <c r="C11" s="497"/>
      <c r="D11" s="10"/>
      <c r="E11" s="10"/>
      <c r="H11" s="174"/>
    </row>
    <row r="12" spans="1:8">
      <c r="A12" s="151" t="s">
        <v>253</v>
      </c>
      <c r="B12" s="157"/>
      <c r="C12" s="157"/>
      <c r="D12" s="10"/>
      <c r="E12" s="10"/>
      <c r="H12" s="174"/>
    </row>
    <row r="13" spans="1:8">
      <c r="A13" s="149" t="s">
        <v>94</v>
      </c>
      <c r="B13" s="168">
        <v>1456000</v>
      </c>
      <c r="C13" s="157"/>
      <c r="D13" s="10"/>
      <c r="E13" s="10"/>
      <c r="H13" s="174"/>
    </row>
    <row r="14" spans="1:8">
      <c r="A14" s="149" t="s">
        <v>95</v>
      </c>
      <c r="B14" s="168">
        <v>326000</v>
      </c>
      <c r="C14" s="157"/>
      <c r="D14" s="10"/>
      <c r="E14" s="10"/>
      <c r="H14" s="174"/>
    </row>
    <row r="15" spans="1:8">
      <c r="A15" s="149" t="s">
        <v>96</v>
      </c>
      <c r="B15" s="168">
        <v>29882000</v>
      </c>
      <c r="C15" s="157"/>
      <c r="D15" s="10"/>
      <c r="E15" s="10"/>
      <c r="H15" s="174"/>
    </row>
    <row r="16" spans="1:8">
      <c r="A16" s="149" t="s">
        <v>97</v>
      </c>
      <c r="B16" s="168">
        <v>4790000</v>
      </c>
      <c r="C16" s="157"/>
      <c r="D16" s="10"/>
      <c r="E16" s="10"/>
      <c r="F16" s="10"/>
      <c r="H16" s="174"/>
    </row>
    <row r="17" spans="1:8">
      <c r="A17" s="149" t="s">
        <v>98</v>
      </c>
      <c r="B17" s="168">
        <v>1050000</v>
      </c>
      <c r="C17" s="157"/>
      <c r="D17" s="10"/>
      <c r="E17" s="10"/>
      <c r="F17" s="10"/>
      <c r="H17" s="174"/>
    </row>
    <row r="18" spans="1:8">
      <c r="A18" s="149" t="s">
        <v>99</v>
      </c>
      <c r="B18" s="168">
        <v>11058000</v>
      </c>
      <c r="C18" s="157"/>
      <c r="D18" s="10"/>
      <c r="E18" s="10"/>
      <c r="F18" s="10"/>
      <c r="H18" s="174"/>
    </row>
    <row r="19" spans="1:8">
      <c r="A19" s="149" t="s">
        <v>102</v>
      </c>
      <c r="B19" s="168">
        <v>1860000</v>
      </c>
      <c r="C19" s="157"/>
      <c r="D19" s="10"/>
      <c r="E19" s="10"/>
      <c r="F19" s="10"/>
    </row>
    <row r="20" spans="1:8">
      <c r="A20" s="149" t="s">
        <v>103</v>
      </c>
      <c r="B20" s="168">
        <v>678000</v>
      </c>
      <c r="C20" s="157"/>
      <c r="D20" s="10"/>
      <c r="E20" s="10"/>
      <c r="F20" s="10"/>
    </row>
    <row r="21" spans="1:8" ht="16.5" thickBot="1">
      <c r="A21" s="149" t="s">
        <v>109</v>
      </c>
      <c r="B21" s="238">
        <v>770000</v>
      </c>
      <c r="C21" s="157"/>
      <c r="D21" s="10"/>
      <c r="E21" s="10"/>
      <c r="F21" s="153"/>
    </row>
    <row r="22" spans="1:8">
      <c r="A22" s="151" t="s">
        <v>110</v>
      </c>
      <c r="B22" s="237"/>
      <c r="C22" s="167">
        <f>SUM(B13:B21)</f>
        <v>51870000</v>
      </c>
      <c r="D22" s="144"/>
      <c r="E22" s="126"/>
      <c r="F22" s="154"/>
    </row>
    <row r="23" spans="1:8">
      <c r="A23" s="305"/>
      <c r="B23" s="306"/>
      <c r="C23" s="306"/>
      <c r="D23" s="10"/>
      <c r="E23" s="10"/>
      <c r="F23" s="10"/>
    </row>
    <row r="24" spans="1:8" ht="16.5" thickBot="1">
      <c r="A24" s="516" t="s">
        <v>111</v>
      </c>
      <c r="B24" s="517"/>
      <c r="C24" s="242">
        <f>C9-C22</f>
        <v>10110000</v>
      </c>
      <c r="D24" s="10"/>
      <c r="E24" s="10"/>
      <c r="F24" s="10"/>
    </row>
    <row r="25" spans="1:8">
      <c r="A25" s="241"/>
      <c r="B25" s="307"/>
      <c r="C25" s="307"/>
    </row>
    <row r="26" spans="1:8">
      <c r="A26" s="495" t="s">
        <v>112</v>
      </c>
      <c r="B26" s="496"/>
      <c r="C26" s="497"/>
      <c r="D26" s="10"/>
      <c r="E26" s="10"/>
      <c r="F26" s="10"/>
    </row>
    <row r="27" spans="1:8">
      <c r="A27" s="151" t="s">
        <v>113</v>
      </c>
      <c r="B27" s="157"/>
      <c r="C27" s="157"/>
      <c r="D27" s="10"/>
      <c r="E27" s="10"/>
      <c r="F27" s="10"/>
    </row>
    <row r="28" spans="1:8">
      <c r="A28" s="150" t="s">
        <v>115</v>
      </c>
      <c r="B28" s="168">
        <v>1130000</v>
      </c>
      <c r="C28" s="157"/>
      <c r="D28" s="10"/>
      <c r="E28" s="10"/>
      <c r="F28" s="10"/>
    </row>
    <row r="29" spans="1:8">
      <c r="A29" s="150" t="s">
        <v>117</v>
      </c>
      <c r="B29" s="168">
        <v>170000</v>
      </c>
      <c r="C29" s="157"/>
      <c r="D29" s="10"/>
      <c r="E29" s="10"/>
      <c r="F29" s="10"/>
    </row>
    <row r="30" spans="1:8">
      <c r="A30" s="150" t="s">
        <v>120</v>
      </c>
      <c r="B30" s="168">
        <v>491000</v>
      </c>
      <c r="C30" s="157"/>
      <c r="D30" s="10"/>
      <c r="E30" s="10"/>
      <c r="F30" s="10"/>
    </row>
    <row r="31" spans="1:8" ht="16.5" thickBot="1">
      <c r="A31" s="150" t="s">
        <v>118</v>
      </c>
      <c r="B31" s="238">
        <v>145000</v>
      </c>
      <c r="C31" s="157"/>
      <c r="D31" s="10"/>
      <c r="E31" s="10"/>
      <c r="F31" s="10"/>
    </row>
    <row r="32" spans="1:8">
      <c r="A32" s="151" t="s">
        <v>201</v>
      </c>
      <c r="B32" s="237"/>
      <c r="C32" s="167">
        <f>SUM(B28:B31)</f>
        <v>1936000</v>
      </c>
      <c r="D32" s="10"/>
      <c r="E32" s="10"/>
      <c r="F32" s="10"/>
    </row>
    <row r="33" spans="1:6">
      <c r="A33" s="309"/>
      <c r="B33" s="240"/>
      <c r="C33" s="306"/>
      <c r="D33" s="10"/>
      <c r="E33" s="10"/>
      <c r="F33" s="10"/>
    </row>
    <row r="34" spans="1:6" ht="16.5" thickBot="1">
      <c r="A34" s="312" t="s">
        <v>124</v>
      </c>
      <c r="B34" s="246"/>
      <c r="C34" s="242">
        <f>C32</f>
        <v>1936000</v>
      </c>
      <c r="D34" s="10"/>
      <c r="E34" s="10"/>
      <c r="F34" s="10"/>
    </row>
    <row r="35" spans="1:6">
      <c r="A35" s="310"/>
      <c r="B35" s="311"/>
      <c r="C35" s="311"/>
      <c r="D35" s="10"/>
      <c r="E35" s="146"/>
      <c r="F35" s="154"/>
    </row>
    <row r="36" spans="1:6" ht="16.5" thickBot="1">
      <c r="A36" s="516" t="s">
        <v>7</v>
      </c>
      <c r="B36" s="517"/>
      <c r="C36" s="242">
        <f>C24-C34</f>
        <v>8174000</v>
      </c>
      <c r="D36" s="10"/>
      <c r="E36" s="10"/>
      <c r="F36" s="10"/>
    </row>
    <row r="37" spans="1:6">
      <c r="A37" s="308"/>
      <c r="B37" s="237"/>
      <c r="C37" s="250"/>
      <c r="D37" s="10"/>
      <c r="E37" s="146"/>
      <c r="F37" s="10"/>
    </row>
    <row r="38" spans="1:6">
      <c r="A38" s="263" t="s">
        <v>313</v>
      </c>
      <c r="B38" s="237"/>
      <c r="C38" s="250"/>
      <c r="D38" s="10"/>
      <c r="E38" s="146"/>
      <c r="F38" s="10"/>
    </row>
    <row r="39" spans="1:6">
      <c r="A39" s="160" t="s">
        <v>128</v>
      </c>
      <c r="B39" s="168">
        <f>+C36*25%+500</f>
        <v>2044000</v>
      </c>
      <c r="C39" s="3"/>
      <c r="D39" s="10"/>
      <c r="E39" s="10"/>
      <c r="F39" s="155"/>
    </row>
    <row r="40" spans="1:6" ht="16.5" thickBot="1">
      <c r="A40" s="254" t="s">
        <v>250</v>
      </c>
      <c r="B40" s="238">
        <f>+C36*9%+340</f>
        <v>736000</v>
      </c>
      <c r="C40" s="3"/>
      <c r="D40" s="10"/>
      <c r="E40" s="10"/>
      <c r="F40" s="155"/>
    </row>
    <row r="41" spans="1:6">
      <c r="A41" s="8" t="s">
        <v>314</v>
      </c>
      <c r="B41" s="316"/>
      <c r="C41" s="316">
        <f>+B39+B40</f>
        <v>2780000</v>
      </c>
      <c r="D41" s="10"/>
      <c r="E41" s="10"/>
      <c r="F41" s="155"/>
    </row>
    <row r="42" spans="1:6">
      <c r="A42" s="313"/>
      <c r="B42" s="244"/>
      <c r="C42" s="244"/>
      <c r="D42" s="10"/>
      <c r="E42" s="10"/>
      <c r="F42" s="155"/>
    </row>
    <row r="43" spans="1:6" ht="16.5" thickBot="1">
      <c r="A43" s="482" t="s">
        <v>127</v>
      </c>
      <c r="B43" s="483"/>
      <c r="C43" s="242">
        <f>+C36-B39-B40</f>
        <v>5394000</v>
      </c>
      <c r="D43" s="10"/>
      <c r="E43" s="10"/>
      <c r="F43" s="155"/>
    </row>
    <row r="44" spans="1:6">
      <c r="A44" s="314"/>
      <c r="B44" s="315"/>
      <c r="C44" s="315"/>
      <c r="D44" s="10"/>
      <c r="E44" s="10"/>
      <c r="F44" s="155"/>
    </row>
    <row r="45" spans="1:6">
      <c r="A45" s="112"/>
      <c r="B45" s="157"/>
      <c r="C45" s="157"/>
      <c r="D45" s="156"/>
      <c r="E45" s="10"/>
      <c r="F45" s="155"/>
    </row>
    <row r="46" spans="1:6">
      <c r="A46" s="101"/>
      <c r="B46" s="171"/>
      <c r="C46" s="171"/>
    </row>
    <row r="47" spans="1:6">
      <c r="A47" s="172" t="s">
        <v>130</v>
      </c>
      <c r="B47" s="490" t="s">
        <v>131</v>
      </c>
      <c r="C47" s="490"/>
      <c r="D47" s="10"/>
      <c r="E47" s="10"/>
      <c r="F47" s="156"/>
    </row>
    <row r="48" spans="1:6">
      <c r="A48" s="115" t="s">
        <v>132</v>
      </c>
      <c r="B48" s="489" t="s">
        <v>133</v>
      </c>
      <c r="C48" s="489"/>
      <c r="D48" s="10"/>
      <c r="E48" s="10"/>
      <c r="F48" s="10"/>
    </row>
    <row r="49" spans="1:6">
      <c r="A49" s="110" t="s">
        <v>251</v>
      </c>
      <c r="B49" s="490" t="s">
        <v>134</v>
      </c>
      <c r="C49" s="490"/>
      <c r="D49" s="10"/>
      <c r="E49" s="10"/>
      <c r="F49" s="10"/>
    </row>
    <row r="50" spans="1:6">
      <c r="A50" s="115"/>
      <c r="B50" s="509"/>
      <c r="C50" s="509"/>
      <c r="D50" s="10"/>
      <c r="E50" s="10"/>
      <c r="F50" s="10"/>
    </row>
    <row r="51" spans="1:6">
      <c r="A51" s="110"/>
      <c r="B51" s="510"/>
      <c r="C51" s="510"/>
      <c r="D51" s="126"/>
      <c r="E51" s="116"/>
      <c r="F51" s="10"/>
    </row>
    <row r="52" spans="1:6">
      <c r="A52" s="10"/>
      <c r="B52" s="170"/>
      <c r="C52" s="170"/>
      <c r="D52" s="126"/>
      <c r="E52" s="116"/>
      <c r="F52" s="10"/>
    </row>
    <row r="53" spans="1:6">
      <c r="A53" s="10"/>
      <c r="B53" s="169"/>
      <c r="C53" s="169"/>
      <c r="D53" s="126"/>
      <c r="E53" s="116"/>
      <c r="F53" s="10"/>
    </row>
    <row r="54" spans="1:6">
      <c r="A54" s="10"/>
      <c r="B54" s="170"/>
      <c r="C54" s="170"/>
      <c r="D54" s="126"/>
      <c r="E54" s="116"/>
      <c r="F54" s="10"/>
    </row>
    <row r="55" spans="1:6">
      <c r="A55" s="10"/>
      <c r="B55" s="169"/>
      <c r="C55" s="169"/>
      <c r="D55" s="126"/>
      <c r="E55" s="116"/>
      <c r="F55" s="10"/>
    </row>
  </sheetData>
  <mergeCells count="16">
    <mergeCell ref="A43:B43"/>
    <mergeCell ref="B49:C49"/>
    <mergeCell ref="B50:C50"/>
    <mergeCell ref="B51:C51"/>
    <mergeCell ref="A1:C1"/>
    <mergeCell ref="A2:C2"/>
    <mergeCell ref="A4:C4"/>
    <mergeCell ref="A5:C5"/>
    <mergeCell ref="B47:C47"/>
    <mergeCell ref="B48:C48"/>
    <mergeCell ref="A7:C7"/>
    <mergeCell ref="A9:B9"/>
    <mergeCell ref="A11:C11"/>
    <mergeCell ref="A24:B24"/>
    <mergeCell ref="A26:C26"/>
    <mergeCell ref="A36:B36"/>
  </mergeCells>
  <printOptions horizontalCentered="1"/>
  <pageMargins left="0.70866141732283472" right="0.70866141732283472" top="0.74803149606299213" bottom="0.74803149606299213" header="0" footer="0"/>
  <pageSetup scale="86" orientation="portrait" r:id="rId1"/>
  <rowBreaks count="1" manualBreakCount="1">
    <brk id="49"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
  <sheetViews>
    <sheetView zoomScaleNormal="100" workbookViewId="0">
      <selection activeCell="E10" sqref="E10"/>
    </sheetView>
  </sheetViews>
  <sheetFormatPr baseColWidth="10" defaultColWidth="11.42578125" defaultRowHeight="15.75"/>
  <cols>
    <col min="1" max="1" width="61.85546875" style="3" customWidth="1"/>
    <col min="2" max="2" width="17.28515625" style="173" customWidth="1"/>
    <col min="3" max="3" width="21.140625" style="340" customWidth="1"/>
    <col min="4" max="4" width="16" style="3" customWidth="1"/>
    <col min="5" max="5" width="13.85546875" style="3" bestFit="1" customWidth="1"/>
    <col min="6" max="16384" width="11.42578125" style="3"/>
  </cols>
  <sheetData>
    <row r="1" spans="1:6">
      <c r="A1" s="453" t="s">
        <v>85</v>
      </c>
      <c r="B1" s="453"/>
      <c r="C1" s="453"/>
      <c r="D1" s="126"/>
      <c r="E1" s="116"/>
      <c r="F1" s="116"/>
    </row>
    <row r="2" spans="1:6">
      <c r="A2" s="454" t="s">
        <v>86</v>
      </c>
      <c r="B2" s="454"/>
      <c r="C2" s="454"/>
      <c r="D2" s="126"/>
      <c r="E2" s="116"/>
      <c r="F2" s="116"/>
    </row>
    <row r="3" spans="1:6">
      <c r="A3" s="139"/>
      <c r="B3" s="321"/>
      <c r="C3" s="338"/>
      <c r="D3" s="126"/>
      <c r="E3" s="116"/>
      <c r="F3" s="116"/>
    </row>
    <row r="4" spans="1:6">
      <c r="A4" s="511" t="s">
        <v>202</v>
      </c>
      <c r="B4" s="511"/>
      <c r="C4" s="511"/>
      <c r="D4" s="126"/>
      <c r="E4" s="116"/>
      <c r="F4" s="116"/>
    </row>
    <row r="5" spans="1:6">
      <c r="A5" s="511" t="s">
        <v>203</v>
      </c>
      <c r="B5" s="511"/>
      <c r="C5" s="511"/>
      <c r="D5" s="126"/>
      <c r="E5" s="116"/>
      <c r="F5" s="116"/>
    </row>
    <row r="6" spans="1:6">
      <c r="A6" s="139"/>
      <c r="B6" s="321"/>
      <c r="C6" s="338"/>
      <c r="D6" s="126"/>
      <c r="E6" s="116"/>
      <c r="F6" s="116"/>
    </row>
    <row r="7" spans="1:6">
      <c r="A7" s="511" t="s">
        <v>137</v>
      </c>
      <c r="B7" s="511"/>
      <c r="C7" s="511"/>
      <c r="D7" s="126"/>
      <c r="E7" s="116"/>
      <c r="F7" s="116"/>
    </row>
    <row r="8" spans="1:6">
      <c r="A8" s="520" t="s">
        <v>138</v>
      </c>
      <c r="B8" s="520"/>
      <c r="C8" s="520"/>
      <c r="D8" s="126"/>
      <c r="E8" s="116"/>
      <c r="F8" s="116"/>
    </row>
    <row r="9" spans="1:6">
      <c r="A9" s="110" t="s">
        <v>204</v>
      </c>
      <c r="B9" s="322"/>
      <c r="C9" s="316"/>
      <c r="D9" s="126"/>
      <c r="E9" s="158"/>
      <c r="F9" s="116"/>
    </row>
    <row r="10" spans="1:6">
      <c r="A10" s="112" t="s">
        <v>140</v>
      </c>
      <c r="B10" s="322">
        <v>13891000</v>
      </c>
      <c r="C10" s="316"/>
      <c r="D10" s="126"/>
      <c r="E10" s="158"/>
      <c r="F10" s="116"/>
    </row>
    <row r="11" spans="1:6" ht="16.5" thickBot="1">
      <c r="A11" s="112" t="s">
        <v>141</v>
      </c>
      <c r="B11" s="323">
        <v>32898000</v>
      </c>
      <c r="C11" s="316"/>
      <c r="D11" s="126"/>
      <c r="E11" s="158"/>
      <c r="F11" s="116"/>
    </row>
    <row r="12" spans="1:6">
      <c r="A12" s="110" t="s">
        <v>205</v>
      </c>
      <c r="B12" s="324"/>
      <c r="C12" s="338">
        <f>SUM(B10:B11)</f>
        <v>46789000</v>
      </c>
      <c r="D12" s="126"/>
      <c r="E12" s="158"/>
      <c r="F12" s="116"/>
    </row>
    <row r="13" spans="1:6">
      <c r="A13" s="110"/>
      <c r="B13" s="322"/>
      <c r="C13" s="316"/>
      <c r="D13" s="126"/>
      <c r="E13" s="158" t="s">
        <v>143</v>
      </c>
      <c r="F13" s="116"/>
    </row>
    <row r="14" spans="1:6">
      <c r="A14" s="110" t="s">
        <v>206</v>
      </c>
      <c r="B14" s="322"/>
      <c r="C14" s="316"/>
      <c r="D14" s="126"/>
      <c r="E14" s="158" t="s">
        <v>143</v>
      </c>
      <c r="F14" s="116"/>
    </row>
    <row r="15" spans="1:6">
      <c r="A15" s="112" t="s">
        <v>145</v>
      </c>
      <c r="B15" s="322">
        <v>10494000</v>
      </c>
      <c r="C15" s="316"/>
      <c r="D15" s="126"/>
      <c r="E15" s="158"/>
      <c r="F15" s="116"/>
    </row>
    <row r="16" spans="1:6" ht="16.5" thickBot="1">
      <c r="A16" s="112" t="s">
        <v>147</v>
      </c>
      <c r="B16" s="323">
        <v>620000</v>
      </c>
      <c r="C16" s="316"/>
      <c r="D16" s="126"/>
      <c r="E16" s="158"/>
      <c r="F16" s="116"/>
    </row>
    <row r="17" spans="1:6">
      <c r="A17" s="110" t="s">
        <v>17</v>
      </c>
      <c r="B17" s="324"/>
      <c r="C17" s="338">
        <f>SUM(B15:B16)</f>
        <v>11114000</v>
      </c>
      <c r="D17" s="126"/>
      <c r="E17" s="158"/>
      <c r="F17" s="116"/>
    </row>
    <row r="18" spans="1:6">
      <c r="A18" s="317"/>
      <c r="B18" s="325"/>
      <c r="C18" s="316"/>
      <c r="D18" s="126"/>
      <c r="E18" s="158"/>
      <c r="F18" s="116"/>
    </row>
    <row r="19" spans="1:6" ht="16.5" thickBot="1">
      <c r="A19" s="320" t="s">
        <v>149</v>
      </c>
      <c r="B19" s="326"/>
      <c r="C19" s="343">
        <f>C12+C17</f>
        <v>57903000</v>
      </c>
      <c r="D19" s="126"/>
      <c r="E19" s="158" t="s">
        <v>143</v>
      </c>
      <c r="F19" s="116"/>
    </row>
    <row r="20" spans="1:6">
      <c r="A20" s="314"/>
      <c r="B20" s="327"/>
      <c r="C20" s="339"/>
      <c r="D20" s="10"/>
      <c r="E20" s="158" t="s">
        <v>143</v>
      </c>
      <c r="F20" s="10"/>
    </row>
    <row r="21" spans="1:6">
      <c r="A21" s="511" t="s">
        <v>150</v>
      </c>
      <c r="B21" s="511"/>
      <c r="C21" s="511"/>
      <c r="D21" s="126"/>
      <c r="E21" s="158" t="s">
        <v>143</v>
      </c>
      <c r="F21" s="116"/>
    </row>
    <row r="22" spans="1:6">
      <c r="A22" s="151" t="s">
        <v>151</v>
      </c>
      <c r="B22" s="321"/>
      <c r="C22" s="338"/>
      <c r="D22" s="10"/>
      <c r="E22" s="158" t="s">
        <v>143</v>
      </c>
      <c r="F22" s="10"/>
    </row>
    <row r="23" spans="1:6">
      <c r="A23" s="151"/>
      <c r="B23" s="321"/>
      <c r="C23" s="338"/>
      <c r="D23" s="10"/>
      <c r="E23" s="158" t="s">
        <v>143</v>
      </c>
      <c r="F23" s="10"/>
    </row>
    <row r="24" spans="1:6">
      <c r="A24" s="110" t="s">
        <v>158</v>
      </c>
      <c r="B24" s="328"/>
      <c r="C24" s="338"/>
      <c r="D24" s="10"/>
      <c r="E24" s="158" t="s">
        <v>143</v>
      </c>
      <c r="F24" s="10"/>
    </row>
    <row r="25" spans="1:6" ht="16.5" thickBot="1">
      <c r="A25" s="112" t="s">
        <v>159</v>
      </c>
      <c r="B25" s="323">
        <v>600000000</v>
      </c>
      <c r="C25" s="338"/>
      <c r="D25" s="10"/>
      <c r="E25" s="158" t="s">
        <v>143</v>
      </c>
      <c r="F25" s="10"/>
    </row>
    <row r="26" spans="1:6">
      <c r="A26" s="110" t="s">
        <v>161</v>
      </c>
      <c r="B26" s="324"/>
      <c r="C26" s="338">
        <f>B25</f>
        <v>600000000</v>
      </c>
      <c r="D26" s="10"/>
      <c r="E26" s="158" t="s">
        <v>143</v>
      </c>
      <c r="F26" s="10"/>
    </row>
    <row r="27" spans="1:6">
      <c r="A27" s="319"/>
      <c r="B27" s="329"/>
      <c r="C27" s="338"/>
      <c r="D27" s="10"/>
      <c r="E27" s="158" t="s">
        <v>143</v>
      </c>
      <c r="F27" s="10"/>
    </row>
    <row r="28" spans="1:6" ht="16.5" thickBot="1">
      <c r="A28" s="519" t="s">
        <v>165</v>
      </c>
      <c r="B28" s="519"/>
      <c r="C28" s="344">
        <f>C26</f>
        <v>600000000</v>
      </c>
      <c r="D28" s="10"/>
      <c r="E28" s="10"/>
      <c r="F28" s="10"/>
    </row>
    <row r="29" spans="1:6">
      <c r="A29" s="243"/>
      <c r="B29" s="330"/>
    </row>
    <row r="30" spans="1:6" ht="16.5" thickBot="1">
      <c r="A30" s="519" t="s">
        <v>166</v>
      </c>
      <c r="B30" s="519"/>
      <c r="C30" s="344">
        <f>C19+C28</f>
        <v>657903000</v>
      </c>
      <c r="D30" s="145"/>
      <c r="E30" s="146"/>
      <c r="F30" s="146"/>
    </row>
    <row r="31" spans="1:6">
      <c r="A31" s="241"/>
      <c r="B31" s="331"/>
    </row>
    <row r="32" spans="1:6">
      <c r="A32" s="479" t="s">
        <v>167</v>
      </c>
      <c r="B32" s="479"/>
      <c r="C32" s="479"/>
      <c r="D32" s="10"/>
      <c r="E32" s="10"/>
      <c r="F32" s="10"/>
    </row>
    <row r="33" spans="1:6">
      <c r="A33" s="110"/>
      <c r="B33" s="322"/>
      <c r="C33" s="338"/>
      <c r="D33" s="10"/>
      <c r="E33" s="10"/>
      <c r="F33" s="10"/>
    </row>
    <row r="34" spans="1:6">
      <c r="A34" s="110" t="s">
        <v>27</v>
      </c>
      <c r="B34" s="322"/>
      <c r="C34" s="339"/>
      <c r="D34" s="10"/>
      <c r="E34" s="10"/>
      <c r="F34" s="10"/>
    </row>
    <row r="35" spans="1:6" ht="16.5" thickBot="1">
      <c r="A35" s="112" t="s">
        <v>168</v>
      </c>
      <c r="B35" s="323">
        <v>29729000</v>
      </c>
      <c r="C35" s="339"/>
      <c r="D35" s="10"/>
      <c r="E35" s="10"/>
      <c r="F35" s="10"/>
    </row>
    <row r="36" spans="1:6">
      <c r="A36" s="110" t="s">
        <v>169</v>
      </c>
      <c r="B36" s="324"/>
      <c r="C36" s="338">
        <f>B35</f>
        <v>29729000</v>
      </c>
      <c r="D36" s="10"/>
      <c r="E36" s="10"/>
      <c r="F36" s="10"/>
    </row>
    <row r="37" spans="1:6">
      <c r="A37" s="110"/>
      <c r="B37" s="322"/>
      <c r="C37" s="338"/>
      <c r="D37" s="10"/>
      <c r="E37" s="10"/>
      <c r="F37" s="10"/>
    </row>
    <row r="38" spans="1:6">
      <c r="A38" s="103" t="s">
        <v>207</v>
      </c>
      <c r="B38" s="332"/>
      <c r="C38" s="341"/>
      <c r="D38" s="10"/>
      <c r="E38" s="10"/>
      <c r="F38" s="10"/>
    </row>
    <row r="39" spans="1:6">
      <c r="A39" s="101" t="s">
        <v>182</v>
      </c>
      <c r="B39" s="332">
        <f>+'ER 2014'!B39</f>
        <v>2044000</v>
      </c>
      <c r="C39" s="341"/>
      <c r="D39" s="10"/>
      <c r="E39" s="10"/>
      <c r="F39" s="10"/>
    </row>
    <row r="40" spans="1:6" ht="16.5" thickBot="1">
      <c r="A40" s="101" t="s">
        <v>129</v>
      </c>
      <c r="B40" s="333">
        <f>+'ER 2014'!B40</f>
        <v>736000</v>
      </c>
      <c r="C40" s="341"/>
      <c r="D40" s="10"/>
      <c r="E40" s="10"/>
      <c r="F40" s="10"/>
    </row>
    <row r="41" spans="1:6">
      <c r="A41" s="103" t="s">
        <v>208</v>
      </c>
      <c r="B41" s="334"/>
      <c r="C41" s="342">
        <f>+B39+B40</f>
        <v>2780000</v>
      </c>
      <c r="D41" s="10"/>
      <c r="E41" s="10"/>
      <c r="F41" s="10"/>
    </row>
    <row r="42" spans="1:6">
      <c r="A42" s="317"/>
      <c r="B42" s="325"/>
      <c r="C42" s="338"/>
      <c r="D42" s="10"/>
      <c r="E42" s="10"/>
      <c r="F42" s="10"/>
    </row>
    <row r="43" spans="1:6" ht="16.5" thickBot="1">
      <c r="A43" s="519" t="s">
        <v>184</v>
      </c>
      <c r="B43" s="519"/>
      <c r="C43" s="344">
        <f>+C36+C41</f>
        <v>32509000</v>
      </c>
      <c r="D43" s="145"/>
      <c r="E43" s="146"/>
      <c r="F43" s="146"/>
    </row>
    <row r="44" spans="1:6">
      <c r="A44" s="518"/>
      <c r="B44" s="518"/>
      <c r="C44" s="518"/>
      <c r="D44" s="145"/>
      <c r="E44" s="146"/>
      <c r="F44" s="146"/>
    </row>
    <row r="45" spans="1:6">
      <c r="A45" s="453" t="s">
        <v>85</v>
      </c>
      <c r="B45" s="453"/>
      <c r="C45" s="453"/>
      <c r="D45" s="145"/>
      <c r="E45" s="146"/>
      <c r="F45" s="146"/>
    </row>
    <row r="46" spans="1:6">
      <c r="A46" s="454" t="s">
        <v>86</v>
      </c>
      <c r="B46" s="454"/>
      <c r="C46" s="454"/>
      <c r="D46" s="145"/>
      <c r="E46" s="146"/>
      <c r="F46" s="146"/>
    </row>
    <row r="47" spans="1:6">
      <c r="A47" s="139"/>
      <c r="B47" s="321"/>
      <c r="C47" s="338"/>
      <c r="D47" s="145"/>
      <c r="E47" s="146"/>
      <c r="F47" s="146"/>
    </row>
    <row r="48" spans="1:6">
      <c r="A48" s="511" t="s">
        <v>202</v>
      </c>
      <c r="B48" s="511"/>
      <c r="C48" s="511"/>
      <c r="D48" s="145"/>
      <c r="E48" s="146"/>
      <c r="F48" s="146"/>
    </row>
    <row r="49" spans="1:6">
      <c r="A49" s="511" t="s">
        <v>203</v>
      </c>
      <c r="B49" s="511"/>
      <c r="C49" s="511"/>
      <c r="D49" s="145"/>
      <c r="E49" s="146"/>
      <c r="F49" s="146"/>
    </row>
    <row r="50" spans="1:6">
      <c r="A50" s="110"/>
      <c r="B50" s="321"/>
      <c r="C50" s="338"/>
      <c r="D50" s="145"/>
      <c r="E50" s="146"/>
      <c r="F50" s="146"/>
    </row>
    <row r="51" spans="1:6">
      <c r="A51" s="511" t="s">
        <v>185</v>
      </c>
      <c r="B51" s="511"/>
      <c r="C51" s="511"/>
      <c r="D51" s="10"/>
      <c r="E51" s="10"/>
      <c r="F51" s="10"/>
    </row>
    <row r="52" spans="1:6">
      <c r="A52" s="139"/>
      <c r="B52" s="321"/>
      <c r="C52" s="338"/>
      <c r="D52" s="10"/>
      <c r="E52" s="10"/>
      <c r="F52" s="10"/>
    </row>
    <row r="53" spans="1:6">
      <c r="A53" s="110" t="s">
        <v>186</v>
      </c>
      <c r="B53" s="335"/>
      <c r="C53" s="339"/>
      <c r="D53" s="10"/>
      <c r="E53" s="10"/>
      <c r="F53" s="10"/>
    </row>
    <row r="54" spans="1:6" ht="16.5" thickBot="1">
      <c r="A54" s="112" t="s">
        <v>187</v>
      </c>
      <c r="B54" s="323">
        <v>620000000</v>
      </c>
      <c r="C54" s="339"/>
      <c r="D54" s="10"/>
      <c r="E54" s="10"/>
      <c r="F54" s="10"/>
    </row>
    <row r="55" spans="1:6">
      <c r="A55" s="110" t="s">
        <v>188</v>
      </c>
      <c r="B55" s="324"/>
      <c r="C55" s="338">
        <f>B54</f>
        <v>620000000</v>
      </c>
      <c r="D55" s="10"/>
      <c r="E55" s="10"/>
      <c r="F55" s="10"/>
    </row>
    <row r="56" spans="1:6">
      <c r="A56" s="110"/>
      <c r="B56" s="322"/>
      <c r="C56" s="338"/>
      <c r="D56" s="10"/>
      <c r="E56" s="10"/>
      <c r="F56" s="10"/>
    </row>
    <row r="57" spans="1:6">
      <c r="A57" s="110" t="s">
        <v>36</v>
      </c>
      <c r="B57" s="322"/>
      <c r="C57" s="339"/>
      <c r="D57" s="10"/>
      <c r="E57" s="10"/>
      <c r="F57" s="10"/>
    </row>
    <row r="58" spans="1:6" ht="16.5" thickBot="1">
      <c r="A58" s="112" t="s">
        <v>192</v>
      </c>
      <c r="B58" s="323">
        <f>+'ER 2014'!C43</f>
        <v>5394000</v>
      </c>
      <c r="C58" s="339"/>
      <c r="D58" s="10"/>
      <c r="E58" s="10"/>
      <c r="F58" s="10"/>
    </row>
    <row r="59" spans="1:6">
      <c r="A59" s="110" t="s">
        <v>193</v>
      </c>
      <c r="B59" s="324"/>
      <c r="C59" s="338">
        <f>B58</f>
        <v>5394000</v>
      </c>
      <c r="D59" s="10"/>
      <c r="E59" s="10"/>
      <c r="F59" s="10"/>
    </row>
    <row r="60" spans="1:6">
      <c r="A60" s="317"/>
      <c r="B60" s="325"/>
      <c r="C60" s="338"/>
      <c r="D60" s="10"/>
      <c r="E60" s="10"/>
      <c r="F60" s="10"/>
    </row>
    <row r="61" spans="1:6" ht="16.5" thickBot="1">
      <c r="A61" s="516" t="s">
        <v>197</v>
      </c>
      <c r="B61" s="517"/>
      <c r="C61" s="344">
        <f>C55+C59</f>
        <v>625394000</v>
      </c>
      <c r="D61" s="145"/>
      <c r="E61" s="146"/>
      <c r="F61" s="146"/>
    </row>
    <row r="62" spans="1:6">
      <c r="A62" s="243"/>
      <c r="B62" s="330"/>
    </row>
    <row r="63" spans="1:6" ht="16.5" thickBot="1">
      <c r="A63" s="516" t="s">
        <v>198</v>
      </c>
      <c r="B63" s="517"/>
      <c r="C63" s="344">
        <f>C43+C61</f>
        <v>657903000</v>
      </c>
      <c r="D63" s="145">
        <f>C63-C30</f>
        <v>0</v>
      </c>
      <c r="E63" s="146"/>
      <c r="F63" s="146"/>
    </row>
    <row r="64" spans="1:6">
      <c r="A64" s="318"/>
      <c r="B64" s="336"/>
      <c r="C64" s="338"/>
      <c r="D64" s="145"/>
      <c r="E64" s="146"/>
      <c r="F64" s="146"/>
    </row>
    <row r="65" spans="1:6">
      <c r="A65" s="110"/>
      <c r="B65" s="321"/>
      <c r="C65" s="338"/>
      <c r="D65" s="145"/>
      <c r="E65" s="146"/>
      <c r="F65" s="146"/>
    </row>
    <row r="66" spans="1:6">
      <c r="A66" s="110"/>
      <c r="B66" s="321"/>
      <c r="C66" s="338"/>
      <c r="D66" s="145"/>
      <c r="E66" s="146"/>
      <c r="F66" s="146"/>
    </row>
    <row r="67" spans="1:6">
      <c r="A67" s="101"/>
      <c r="B67" s="337"/>
    </row>
    <row r="68" spans="1:6">
      <c r="A68" s="172" t="s">
        <v>130</v>
      </c>
      <c r="B68" s="490" t="s">
        <v>131</v>
      </c>
      <c r="C68" s="490"/>
      <c r="D68" s="10"/>
      <c r="E68" s="10"/>
      <c r="F68" s="10"/>
    </row>
    <row r="69" spans="1:6">
      <c r="A69" s="115" t="s">
        <v>132</v>
      </c>
      <c r="B69" s="489" t="s">
        <v>133</v>
      </c>
      <c r="C69" s="489"/>
      <c r="D69" s="10"/>
      <c r="E69" s="10"/>
      <c r="F69" s="10"/>
    </row>
    <row r="70" spans="1:6">
      <c r="A70" s="110" t="s">
        <v>251</v>
      </c>
      <c r="B70" s="490" t="s">
        <v>134</v>
      </c>
      <c r="C70" s="490"/>
      <c r="D70" s="10"/>
      <c r="E70" s="10"/>
      <c r="F70" s="10"/>
    </row>
  </sheetData>
  <mergeCells count="22">
    <mergeCell ref="A8:C8"/>
    <mergeCell ref="A1:C1"/>
    <mergeCell ref="A2:C2"/>
    <mergeCell ref="A4:C4"/>
    <mergeCell ref="A5:C5"/>
    <mergeCell ref="A7:C7"/>
    <mergeCell ref="B68:C68"/>
    <mergeCell ref="B69:C69"/>
    <mergeCell ref="B70:C70"/>
    <mergeCell ref="A21:C21"/>
    <mergeCell ref="A32:C32"/>
    <mergeCell ref="A51:C51"/>
    <mergeCell ref="A44:C44"/>
    <mergeCell ref="A46:C46"/>
    <mergeCell ref="A48:C48"/>
    <mergeCell ref="A49:C49"/>
    <mergeCell ref="A28:B28"/>
    <mergeCell ref="A30:B30"/>
    <mergeCell ref="A43:B43"/>
    <mergeCell ref="A45:C45"/>
    <mergeCell ref="A61:B61"/>
    <mergeCell ref="A63:B63"/>
  </mergeCells>
  <printOptions horizontalCentered="1"/>
  <pageMargins left="0.70866141732283472" right="0.70866141732283472" top="0.74803149606299213" bottom="0.74803149606299213" header="0.31496062992125984" footer="0.31496062992125984"/>
  <pageSetup scale="63" orientation="portrait" r:id="rId1"/>
  <rowBreaks count="1" manualBreakCount="1">
    <brk id="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6</vt:i4>
      </vt:variant>
    </vt:vector>
  </HeadingPairs>
  <TitlesOfParts>
    <vt:vector size="20" baseType="lpstr">
      <vt:lpstr>INDICADORES FINANCIEROS</vt:lpstr>
      <vt:lpstr>EST. RESUL. HIST.</vt:lpstr>
      <vt:lpstr>FLUJOS DE CAJA</vt:lpstr>
      <vt:lpstr>ESF CONSOLI 17-16</vt:lpstr>
      <vt:lpstr>ESF CONSOLI 16-15</vt:lpstr>
      <vt:lpstr>ESF CONSOLI 15-14</vt:lpstr>
      <vt:lpstr>ER 2017</vt:lpstr>
      <vt:lpstr>ESF 2017</vt:lpstr>
      <vt:lpstr> ER 2016</vt:lpstr>
      <vt:lpstr>ESF 2016</vt:lpstr>
      <vt:lpstr>ER 2015</vt:lpstr>
      <vt:lpstr>ESF 2015</vt:lpstr>
      <vt:lpstr>ER 2014</vt:lpstr>
      <vt:lpstr>BALANCE 2014</vt:lpstr>
      <vt:lpstr>'ER 2014'!Área_de_impresión</vt:lpstr>
      <vt:lpstr>'ESF 2016'!Área_de_impresión</vt:lpstr>
      <vt:lpstr>'ESF 2017'!Área_de_impresión</vt:lpstr>
      <vt:lpstr>'ESF CONSOLI 15-14'!Área_de_impresión</vt:lpstr>
      <vt:lpstr>'ESF CONSOLI 16-15'!Área_de_impresión</vt:lpstr>
      <vt:lpstr>'INDICADORES FINANCIEROS'!Área_de_impresión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Emilse Vera Hincapie</cp:lastModifiedBy>
  <cp:lastPrinted>2018-02-27T18:50:42Z</cp:lastPrinted>
  <dcterms:created xsi:type="dcterms:W3CDTF">2018-01-18T23:14:08Z</dcterms:created>
  <dcterms:modified xsi:type="dcterms:W3CDTF">2018-11-07T21:41:25Z</dcterms:modified>
</cp:coreProperties>
</file>