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i unidad\MAESTRIA ECONOMIA\SEMINARIO INVESTIGACION\TESIS\"/>
    </mc:Choice>
  </mc:AlternateContent>
  <xr:revisionPtr revIDLastSave="0" documentId="13_ncr:1_{BC04887D-1F90-470E-B682-5EDCBF811F14}" xr6:coauthVersionLast="45" xr6:coauthVersionMax="45" xr10:uidLastSave="{00000000-0000-0000-0000-000000000000}"/>
  <bookViews>
    <workbookView xWindow="-110" yWindow="-110" windowWidth="22780" windowHeight="14660" xr2:uid="{6C0158CE-17CF-4AD0-855F-8096626E0AD5}"/>
  </bookViews>
  <sheets>
    <sheet name="FLUJO MPCL" sheetId="2" r:id="rId1"/>
    <sheet name="FLUJO EC" sheetId="4" r:id="rId2"/>
    <sheet name="FACTORES" sheetId="3" r:id="rId3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106" i="4" l="1"/>
  <c r="I101" i="4"/>
  <c r="I102" i="4"/>
  <c r="I103" i="4"/>
  <c r="I104" i="4"/>
  <c r="I105" i="4"/>
  <c r="I100" i="4"/>
  <c r="I99" i="4"/>
  <c r="I95" i="4"/>
  <c r="I96" i="4"/>
  <c r="I97" i="4"/>
  <c r="I98" i="4"/>
  <c r="I94" i="4"/>
  <c r="I93" i="4"/>
  <c r="I91" i="4"/>
  <c r="I92" i="4"/>
  <c r="I85" i="4"/>
  <c r="I86" i="4"/>
  <c r="I87" i="4"/>
  <c r="I88" i="4"/>
  <c r="G95" i="4"/>
  <c r="G94" i="4"/>
  <c r="G93" i="4"/>
  <c r="D98" i="4"/>
  <c r="D97" i="4"/>
  <c r="D96" i="4"/>
  <c r="D95" i="4"/>
  <c r="H55" i="2"/>
  <c r="H54" i="2"/>
  <c r="H53" i="2"/>
  <c r="H39" i="2"/>
  <c r="E37" i="4"/>
  <c r="E36" i="4"/>
  <c r="E15" i="3"/>
  <c r="E32" i="2"/>
  <c r="I7" i="4" l="1"/>
  <c r="C18" i="4"/>
  <c r="C19" i="4"/>
  <c r="C20" i="4"/>
  <c r="C21" i="4"/>
  <c r="C22" i="4"/>
  <c r="E22" i="4" s="1"/>
  <c r="C17" i="4"/>
  <c r="E19" i="4" l="1"/>
  <c r="H62" i="4" s="1"/>
  <c r="G96" i="4" s="1"/>
  <c r="H48" i="4"/>
  <c r="E18" i="4"/>
  <c r="H61" i="4" s="1"/>
  <c r="H47" i="4"/>
  <c r="E20" i="4"/>
  <c r="H63" i="4" s="1"/>
  <c r="G97" i="4" s="1"/>
  <c r="H49" i="4"/>
  <c r="E17" i="4"/>
  <c r="H68" i="4" s="1"/>
  <c r="H46" i="4"/>
  <c r="E21" i="4"/>
  <c r="H64" i="4" s="1"/>
  <c r="G98" i="4" s="1"/>
  <c r="H50" i="4"/>
  <c r="C23" i="4"/>
  <c r="H69" i="4" l="1"/>
  <c r="G101" i="4" s="1"/>
  <c r="E33" i="4"/>
  <c r="E34" i="4" s="1"/>
  <c r="E35" i="4" s="1"/>
  <c r="H60" i="4"/>
  <c r="G106" i="4" s="1"/>
  <c r="I83" i="4" s="1"/>
  <c r="E28" i="4"/>
  <c r="E29" i="4" s="1"/>
  <c r="E30" i="4" s="1"/>
  <c r="E23" i="4"/>
  <c r="E38" i="4" s="1"/>
  <c r="E39" i="4" s="1"/>
  <c r="E40" i="4" s="1"/>
  <c r="H45" i="4"/>
  <c r="G85" i="4"/>
  <c r="G87" i="4"/>
  <c r="G88" i="4"/>
  <c r="G86" i="4"/>
  <c r="H73" i="4" l="1"/>
  <c r="H70" i="4"/>
  <c r="G102" i="4" s="1"/>
  <c r="H71" i="4"/>
  <c r="G103" i="4" s="1"/>
  <c r="H56" i="4"/>
  <c r="G92" i="4" s="1"/>
  <c r="H72" i="4"/>
  <c r="G104" i="4" s="1"/>
  <c r="H55" i="4"/>
  <c r="G91" i="4" s="1"/>
  <c r="H54" i="4"/>
  <c r="G90" i="4" s="1"/>
  <c r="G100" i="4"/>
  <c r="G105" i="4"/>
  <c r="H51" i="4"/>
  <c r="G84" i="4"/>
  <c r="H65" i="4" l="1"/>
  <c r="H57" i="4"/>
  <c r="H74" i="4"/>
  <c r="G89" i="4"/>
  <c r="G99" i="4"/>
  <c r="G83" i="4"/>
  <c r="H77" i="4" l="1"/>
  <c r="I89" i="4" l="1"/>
  <c r="I90" i="4"/>
  <c r="I84" i="4"/>
  <c r="E16" i="2" l="1"/>
  <c r="E31" i="2" s="1"/>
  <c r="E33" i="2" s="1"/>
  <c r="H47" i="2" s="1"/>
  <c r="H49" i="2" l="1"/>
  <c r="G77" i="2" s="1"/>
  <c r="G75" i="2"/>
  <c r="H48" i="2"/>
  <c r="G76" i="2" s="1"/>
  <c r="H38" i="2"/>
  <c r="G69" i="2" s="1"/>
  <c r="D24" i="2"/>
  <c r="D25" i="2"/>
  <c r="D20" i="2"/>
  <c r="D23" i="2"/>
  <c r="D21" i="2"/>
  <c r="D22" i="2"/>
  <c r="G74" i="2" l="1"/>
  <c r="G79" i="2"/>
  <c r="G80" i="2"/>
  <c r="H50" i="2"/>
  <c r="H43" i="2"/>
  <c r="G73" i="2" s="1"/>
  <c r="H40" i="2"/>
  <c r="G70" i="2" s="1"/>
  <c r="H41" i="2"/>
  <c r="G71" i="2" s="1"/>
  <c r="D26" i="2"/>
  <c r="H42" i="2"/>
  <c r="G72" i="2" s="1"/>
  <c r="C26" i="2"/>
  <c r="G68" i="2" l="1"/>
  <c r="H58" i="2"/>
  <c r="G84" i="2" s="1"/>
  <c r="H57" i="2"/>
  <c r="G83" i="2" s="1"/>
  <c r="H56" i="2"/>
  <c r="G82" i="2" s="1"/>
  <c r="G81" i="2"/>
  <c r="H44" i="2"/>
  <c r="G78" i="2" l="1"/>
  <c r="G85" i="2" s="1"/>
  <c r="I84" i="2" s="1"/>
  <c r="H59" i="2"/>
  <c r="H62" i="2" s="1"/>
  <c r="I69" i="2" l="1"/>
  <c r="I76" i="2"/>
  <c r="I75" i="2"/>
  <c r="I77" i="2"/>
  <c r="I71" i="2"/>
  <c r="I70" i="2"/>
  <c r="I79" i="2"/>
  <c r="I72" i="2"/>
  <c r="I73" i="2"/>
  <c r="I80" i="2"/>
  <c r="I74" i="2"/>
  <c r="I78" i="2"/>
  <c r="I68" i="2"/>
  <c r="I83" i="2"/>
  <c r="I81" i="2"/>
  <c r="I82" i="2"/>
  <c r="I85" i="2" l="1"/>
</calcChain>
</file>

<file path=xl/sharedStrings.xml><?xml version="1.0" encoding="utf-8"?>
<sst xmlns="http://schemas.openxmlformats.org/spreadsheetml/2006/main" count="324" uniqueCount="192">
  <si>
    <t>Unidad funcional:</t>
  </si>
  <si>
    <t>Ton/Año</t>
  </si>
  <si>
    <t>Etapas</t>
  </si>
  <si>
    <t>Etapa de obtención de materias primas y producción de bienes de consumo para el sector residencial (de la cuna a la puerta)</t>
  </si>
  <si>
    <t>Etapa de uso (consumo) de productos en el sector residencial</t>
  </si>
  <si>
    <t>Etapa de recolección y transporte de RSUOR hasta su fin de vida</t>
  </si>
  <si>
    <t>Etapa de fin de vida de RSUOR no aprovechados (disposición final en relleno sanitario)</t>
  </si>
  <si>
    <t>Entrada</t>
  </si>
  <si>
    <t>Cantidad</t>
  </si>
  <si>
    <t>Unidad</t>
  </si>
  <si>
    <t>Etapa</t>
  </si>
  <si>
    <t>Salida</t>
  </si>
  <si>
    <t xml:space="preserve">Materias primas y recursos naturales </t>
  </si>
  <si>
    <t>Obtención de materias primas y producción de bienes de consumo obsolescentes que forman parte del flujo de RSUOR (de la cuna a la puerta)</t>
  </si>
  <si>
    <t>Material</t>
  </si>
  <si>
    <r>
      <t xml:space="preserve">GEI Producción </t>
    </r>
    <r>
      <rPr>
        <b/>
        <sz val="11"/>
        <color theme="1"/>
        <rFont val="Calibri"/>
        <family val="2"/>
        <scheme val="minor"/>
      </rPr>
      <t>alimentos</t>
    </r>
  </si>
  <si>
    <t>Ton. Eq. CO2/Año</t>
  </si>
  <si>
    <r>
      <t xml:space="preserve">GEI Producción </t>
    </r>
    <r>
      <rPr>
        <b/>
        <sz val="11"/>
        <color theme="1"/>
        <rFont val="Calibri"/>
        <family val="2"/>
        <scheme val="minor"/>
      </rPr>
      <t>papel</t>
    </r>
  </si>
  <si>
    <r>
      <t xml:space="preserve">GEI Producción </t>
    </r>
    <r>
      <rPr>
        <b/>
        <sz val="11"/>
        <color theme="1"/>
        <rFont val="Calibri"/>
        <family val="2"/>
        <scheme val="minor"/>
      </rPr>
      <t>plástico</t>
    </r>
  </si>
  <si>
    <r>
      <t xml:space="preserve">GEI Producción </t>
    </r>
    <r>
      <rPr>
        <b/>
        <sz val="11"/>
        <color theme="1"/>
        <rFont val="Calibri"/>
        <family val="2"/>
        <scheme val="minor"/>
      </rPr>
      <t>vidrio</t>
    </r>
  </si>
  <si>
    <r>
      <t xml:space="preserve">GEI Producción </t>
    </r>
    <r>
      <rPr>
        <b/>
        <sz val="11"/>
        <color theme="1"/>
        <rFont val="Calibri"/>
        <family val="2"/>
        <scheme val="minor"/>
      </rPr>
      <t>metales</t>
    </r>
  </si>
  <si>
    <t>Total materias primas y manufactura</t>
  </si>
  <si>
    <t>Biodegradables</t>
  </si>
  <si>
    <t>Papeles</t>
  </si>
  <si>
    <t>Plásticos</t>
  </si>
  <si>
    <t>Vidrios</t>
  </si>
  <si>
    <t>Metales</t>
  </si>
  <si>
    <t>Otros</t>
  </si>
  <si>
    <t>%</t>
  </si>
  <si>
    <t>Manejar los residuos sólidos urbanos ordinarios de orígen residencial (RSUOR) generados en el municipio de evaluación durante un año.</t>
  </si>
  <si>
    <t>1. Generación de RSUOR</t>
  </si>
  <si>
    <t>Generación RSUOR (Ton/Año)</t>
  </si>
  <si>
    <t>Año Base</t>
  </si>
  <si>
    <t>Generación residuos sólidos urbanos (Ton/Año)</t>
  </si>
  <si>
    <t>Participación de RSUOR en los residuos urbanos  (%)</t>
  </si>
  <si>
    <t>2. Composición RSUOR</t>
  </si>
  <si>
    <t>Total</t>
  </si>
  <si>
    <t>Producto</t>
  </si>
  <si>
    <t>Emisiones (de la cuna a la puerta)</t>
  </si>
  <si>
    <t xml:space="preserve">Fuente </t>
  </si>
  <si>
    <t>Alimentos</t>
  </si>
  <si>
    <t>Ton. eq. CO2 / Ton. de alimento</t>
  </si>
  <si>
    <t>Chardí, (2016). UNIVERSITAT POLITECNICA DE VALENCIA HUELLA DE CARBONO GENERADA POR EL CONSUMO DE FRUTAS Y VERDURAS EN ESPAÑA. (HC_Alimentos)</t>
  </si>
  <si>
    <t>Papel</t>
  </si>
  <si>
    <t>Ton. eq. CO2 / Ton. de papel virgen</t>
  </si>
  <si>
    <t>ANDI, (2016). Cámara de la Industria de Pulpa, Papel y Cartón. Informe de sostenibilidad periodo 2010 - 2015. (Hc_Papel2)</t>
  </si>
  <si>
    <t>Plástico virgen</t>
  </si>
  <si>
    <t>Ton. eq. CO2 / Ton. de plástico virgen</t>
  </si>
  <si>
    <t>ASIPLA, (2009). Análisis del Impacto de los Gases de Efecto Invernadero en el Ciclo de Vida de los Embalajes y Otros Productos Plásticos en Chile V1.0 (2009) (HC_Plástico)</t>
  </si>
  <si>
    <t>Vidrio</t>
  </si>
  <si>
    <t>Ton. eq. CO2 / Ton. de vidrio virgen</t>
  </si>
  <si>
    <t>Ashby, M. F. (2009). Materials and the Environment. Eco-Informed Material Choice. Oxford: Butterworth-Heinemann. (p. 339) (HC_Vidrio)</t>
  </si>
  <si>
    <t>Ton. eq. CO2 / Ton. de metal virgen</t>
  </si>
  <si>
    <t>US EPA, (2006). Solid Waste Management and Greenhouse Gases - A Life-Cycle Assessment of Emissions and Sinks 3rd Edition. United States Environmental Protection Agency, p22</t>
  </si>
  <si>
    <t>Q</t>
  </si>
  <si>
    <t>Emisiones de GEI por recolección y transporte de RSUOR hasta su fin de vida</t>
  </si>
  <si>
    <t>Total emisiones por recolección y transporte RSUOR</t>
  </si>
  <si>
    <t>Tiempo Ponderado de Llenado</t>
  </si>
  <si>
    <t>Velocidad Promedio en Recolección Domiciliaria</t>
  </si>
  <si>
    <t>Horas</t>
  </si>
  <si>
    <t>Km/Hora</t>
  </si>
  <si>
    <t>Capacidad Promedio de los Vehículos (Ton)</t>
  </si>
  <si>
    <t>Distancia al sitio de disposión final (Km)</t>
  </si>
  <si>
    <t>Número Promedio de Viajes al año</t>
  </si>
  <si>
    <t>Distancia Total recorrida en el año (Km)</t>
  </si>
  <si>
    <t>Km/Gal</t>
  </si>
  <si>
    <t>Recolección y transporte de RSUOR hasta su fin de vida (disposición final)</t>
  </si>
  <si>
    <t>Cantidad Promedio de Combustible Utilizado (Gal)</t>
  </si>
  <si>
    <t>3. Recolección y Transporte al Sitio D.F.</t>
  </si>
  <si>
    <t>Emisiones de CO2 vehículos</t>
  </si>
  <si>
    <t>FACTOR DE EMISION  (kgCO2/gal)</t>
  </si>
  <si>
    <t>FACTOR DE EMISION  (kgCH4/gal)</t>
  </si>
  <si>
    <t>FACTOR DE EMISION  (kgN2O/gal)</t>
  </si>
  <si>
    <t>Fuente</t>
  </si>
  <si>
    <t>Diesel B10</t>
  </si>
  <si>
    <t>Guía Técnica Orientada al Cálculo y Gestión de la Huella Asociada al Manejo y Disposición de Residuos (Fundación Natura, 2016)</t>
  </si>
  <si>
    <t>P.C.G</t>
  </si>
  <si>
    <t>FACTORES DE EMISION DIRECTA PARA EL DIESEL (B-10) (FUENTES MOVILES)</t>
  </si>
  <si>
    <t>Empaques y bienes de consumo obsolescentes del sector residencial (RSUOR potenciales)</t>
  </si>
  <si>
    <t>VARIABLES DE REC Y TTE</t>
  </si>
  <si>
    <t>VALORES</t>
  </si>
  <si>
    <t>UNIDADES</t>
  </si>
  <si>
    <t>FUENTE</t>
  </si>
  <si>
    <t>Documento de Trabajo de la Resolución CRA 720 de 2015 (CRA, 2015)</t>
  </si>
  <si>
    <t>Disposición Final de los Residuos Sólidos en un Relleno Sanitario Autorizado</t>
  </si>
  <si>
    <t>Impacto de los Residuos Sólidos dispuestos en el Relleno Sanitario</t>
  </si>
  <si>
    <t>Combustible (ACPM - Diesel) recolección y transporte RSUOR no aprovechados</t>
  </si>
  <si>
    <t>Emisiones de GEI por disposición final de RSUOR</t>
  </si>
  <si>
    <t>CH4 por Biogás de Biodegradables</t>
  </si>
  <si>
    <t>GEI del Tratamiento de Lixiviados</t>
  </si>
  <si>
    <t>Emisiones CO2 de Maquinaria</t>
  </si>
  <si>
    <t>Emisiones CH4 Maquinaria</t>
  </si>
  <si>
    <t>Emisiones de N2O Maquinaria</t>
  </si>
  <si>
    <t>Emisiones de CH4  vehículos</t>
  </si>
  <si>
    <t>Emisiones de N2O  vehículos</t>
  </si>
  <si>
    <t>GEI del Consumo Eléctrico</t>
  </si>
  <si>
    <t>Total emisiones por disposición final en R.S. de los RSUOR</t>
  </si>
  <si>
    <t>Aspecto</t>
  </si>
  <si>
    <t>Magnitud</t>
  </si>
  <si>
    <t>m3 de CH4/m3 lixiv. Tratado</t>
  </si>
  <si>
    <t>Peso del CH4</t>
  </si>
  <si>
    <t>kg/m3</t>
  </si>
  <si>
    <t>m3/Ton Biodegr. Dispuesta</t>
  </si>
  <si>
    <t>Índice de generación estimada de biogás a partir de materia orgánica</t>
  </si>
  <si>
    <t>m3/Ton</t>
  </si>
  <si>
    <t>Lacoste, 1997.</t>
  </si>
  <si>
    <t xml:space="preserve">Fracción de CH4 contenido en el biogás  </t>
  </si>
  <si>
    <t>Panesso, et al (2011); Robles, M. (2008)</t>
  </si>
  <si>
    <t>FACTORES DE EMISIÓN Y PESO DE GAS METANO (CH4), ASOCIADOS GASES Y LIXIVIADOS EN RELLENO SANITARIO</t>
  </si>
  <si>
    <t>Factores de emisión de GEI asociados a la Huella de Carbono (HC) de los procesos de obtención de materias primas y producción de bienes de consumo</t>
  </si>
  <si>
    <t>índice de generación de CH4 asociado al lixiviado</t>
  </si>
  <si>
    <t>Índice de generación de lixiviados</t>
  </si>
  <si>
    <t>Índice de consumo de combustible de maquinaria en el relleno sanitario</t>
  </si>
  <si>
    <t>Gal/Ton.Res.Dpta</t>
  </si>
  <si>
    <t>Kwh/Ton</t>
  </si>
  <si>
    <t>Índice de consumo de energía eléctrica por tonelada de residuos dispuesta</t>
  </si>
  <si>
    <t>Índice de emisión de CO2 asociado al consumo de energía eléctrica</t>
  </si>
  <si>
    <t>Ton CO2/Mwh</t>
  </si>
  <si>
    <t>Aspectos asociados a la generación de GEI, según etapas</t>
  </si>
  <si>
    <t>HC (Ton. eq. CO2/Año)</t>
  </si>
  <si>
    <t xml:space="preserve"> - GEI Producción alimentos</t>
  </si>
  <si>
    <t xml:space="preserve"> - GEI Producción papel</t>
  </si>
  <si>
    <t xml:space="preserve"> - GEI Producción plástico</t>
  </si>
  <si>
    <t xml:space="preserve"> - GEI Producción vidrio</t>
  </si>
  <si>
    <t xml:space="preserve"> - GEI Producción metales</t>
  </si>
  <si>
    <t>Recolección y transporte de RSUOR hasta su fin de vida</t>
  </si>
  <si>
    <t xml:space="preserve"> - Emisiones de CO2 vehículos recolectores</t>
  </si>
  <si>
    <t xml:space="preserve"> - Emisiones de CH4 vehículos recolectores</t>
  </si>
  <si>
    <t xml:space="preserve"> - Emisiones de N2O vehículos recolectores</t>
  </si>
  <si>
    <t xml:space="preserve"> - Emisiones de CH4 en biogás por descomposición de residuos biodegradables</t>
  </si>
  <si>
    <t xml:space="preserve"> - GEI del tratamiento de lixiviados (sistema anaeróbico)</t>
  </si>
  <si>
    <t xml:space="preserve"> - Emisiones de CO2 asociadas a la operación de maquinaria en el relleno sanitario</t>
  </si>
  <si>
    <t xml:space="preserve"> - Emisiones de CH4  asociadas a la operación de maquinaria</t>
  </si>
  <si>
    <t xml:space="preserve"> - Emisiones de N2O  asociadas a la operación de maquinaria</t>
  </si>
  <si>
    <t xml:space="preserve"> - GEI asociados al consumo de energía eléctrica (oficinas, PTARND y estación de lavado)</t>
  </si>
  <si>
    <t>HUELLA DE CARBONO TOTAL (Ton. Eq. CO2/Año)</t>
  </si>
  <si>
    <t>Obtención de materias primas y producción de bienes de consumo</t>
  </si>
  <si>
    <t>Fin de vida de RSUOR no aprovechados</t>
  </si>
  <si>
    <t>HUELLA DE CARBONO DE RESIDUOS SÓLIDOS BAJO EL MODELO DE PRODUCCIÓN Y CONSUMO LINEAL</t>
  </si>
  <si>
    <t>HUELLA DE CARBONO DE RESIDUOS SÓLIDOS BAJO EL MODELO DE ECONOMÍA CIRCULAR</t>
  </si>
  <si>
    <t>Etapa de recolección y transporte de RSUOR</t>
  </si>
  <si>
    <t>Etapa de Tratamiento de Residuos Orgánicos</t>
  </si>
  <si>
    <t>Etapa de Aprovechamiento de Residuos Inorgánicos Reciclables</t>
  </si>
  <si>
    <t>1. Metas de Aprovechamiento y de Tratamiento</t>
  </si>
  <si>
    <t>Meta (%)</t>
  </si>
  <si>
    <t>Q*</t>
  </si>
  <si>
    <t>2. Recolección y Transporte a las ECAS y PTO</t>
  </si>
  <si>
    <t>Capacidad Promedio de los Vehículos Aprov. (Ton)</t>
  </si>
  <si>
    <t>Distancia a la ECA (Km)</t>
  </si>
  <si>
    <t>Número Promedio de Viajes al año (Aprov)</t>
  </si>
  <si>
    <t>Rendimiento Promedio de Combustible Compactador</t>
  </si>
  <si>
    <t>Rendimiento Promedio de Combustible Camión Normal</t>
  </si>
  <si>
    <t>Capacidad Promedio de los Vehículos Tto. (Ton)</t>
  </si>
  <si>
    <t>Distancia a la Planta de Tratamiento (Km)</t>
  </si>
  <si>
    <t>Capacidad Promedio de los Vehículos Compactadores. (Ton)</t>
  </si>
  <si>
    <t>Distancia al Relleno Sanitario (Km)</t>
  </si>
  <si>
    <t>Combustible (ACPM - Diesel) recolección y transporte RSUOR aprovechads y no aprovechados</t>
  </si>
  <si>
    <t>Recolección y transporte de RSUOR hasta su fin de vida (aprovechamiento, tratamiento y disposición final)</t>
  </si>
  <si>
    <t>Etapa de Aprovechamiento de Residuos Reciclables y Tratamiento de Residuos Orgánicos</t>
  </si>
  <si>
    <t>Aprovechamiento y Tratamiento de Residuos</t>
  </si>
  <si>
    <t>Emisiones de GEI por aprovechamiento y tratamiento de residuos sólidos</t>
  </si>
  <si>
    <t>Emisiones GEI por tratamiento orgánicos</t>
  </si>
  <si>
    <r>
      <t xml:space="preserve">Emisiones GEI por reciclaje de </t>
    </r>
    <r>
      <rPr>
        <b/>
        <sz val="11"/>
        <color theme="1"/>
        <rFont val="Calibri"/>
        <family val="2"/>
        <scheme val="minor"/>
      </rPr>
      <t>papeles</t>
    </r>
  </si>
  <si>
    <r>
      <t xml:space="preserve">Emisiones GEI por reciclaje de </t>
    </r>
    <r>
      <rPr>
        <b/>
        <sz val="11"/>
        <color theme="1"/>
        <rFont val="Calibri"/>
        <family val="2"/>
        <scheme val="minor"/>
      </rPr>
      <t>plásticos</t>
    </r>
  </si>
  <si>
    <r>
      <t xml:space="preserve">Emisiones GEI por reciclaje de </t>
    </r>
    <r>
      <rPr>
        <b/>
        <sz val="11"/>
        <color theme="1"/>
        <rFont val="Calibri"/>
        <family val="2"/>
        <scheme val="minor"/>
      </rPr>
      <t>vidrios</t>
    </r>
  </si>
  <si>
    <r>
      <t xml:space="preserve">Emisiones GEI por reciclaje de </t>
    </r>
    <r>
      <rPr>
        <b/>
        <sz val="11"/>
        <color theme="1"/>
        <rFont val="Calibri"/>
        <family val="2"/>
        <scheme val="minor"/>
      </rPr>
      <t>metales</t>
    </r>
  </si>
  <si>
    <t>Total emisiones por aprovechamiento y tratamiento RSUOR</t>
  </si>
  <si>
    <t>11.1 FACTORES DE EMISIÓN DE GEI PARA LAS EMISIONES DE CH4 Y N2O PROCEDENTES DEL TRATAMIENTO BIOLÓGICO DE RSUORO.</t>
  </si>
  <si>
    <t>Tipo de tratamiento</t>
  </si>
  <si>
    <t xml:space="preserve">Factores de emisión de CH4
(Ton. de CH4/Ton. de RSUORO tratados) </t>
  </si>
  <si>
    <t xml:space="preserve">Factores de emisión de N2O
(Ton. de N2O/Ton. de RSUORO tratados) </t>
  </si>
  <si>
    <t>Base seca</t>
  </si>
  <si>
    <t>Base húmeda</t>
  </si>
  <si>
    <t>Aeróbico</t>
  </si>
  <si>
    <t>Arnold, M. (2005) comunicación personal; Beck-Friis (2002); Detzel et al. (2003); Petersen et al. 1998; Hellebrand 1998; Hogg, D. (2002); Vesterinen (1996).
Citado en: Directrices del IPCC de 2006 para los Inventarios Nacionales de GEI. Volumen 5 – Desechos. Cuadro 4.1 – Factores de Emisión por Defecto para las Emisiones de CH4 y N2O Procedentes del Tratamiento Biológico de los Desechos. Directrices del IPCC (2006).</t>
  </si>
  <si>
    <t>Anaeróbico</t>
  </si>
  <si>
    <t>Se supone insignificante</t>
  </si>
  <si>
    <t xml:space="preserve">12. Factores de reducción potencial de emisiones de GEI asociados a la HC de la actividad de tratamiento de RSUOR inorgánicos aprovechables (RSUORIA) </t>
  </si>
  <si>
    <t>Reducción potencial (Ton. Eq. CO2/Ton. Material)</t>
  </si>
  <si>
    <t>Mínimo</t>
  </si>
  <si>
    <t>Máximo</t>
  </si>
  <si>
    <t>Zaman, A., Lehman, S. (2013). The zero waste index: a performance measurement tool for waste management systems in a “zero waste city”. Journal of Cleaner Production. 50 (2013), 123-132.</t>
  </si>
  <si>
    <t>TOTAL HUELLA DE CARBONO EN EL MODELO DE PRODUCCIÓN Y CONSUMO LINEAL (TON. EQ. CO2/AÑO)</t>
  </si>
  <si>
    <t>TOTAL HUELLA DE CARBONO EN EL MODELO DE ECONOMÍA CIRCULAR (TON. EQ. CO2/AÑO)</t>
  </si>
  <si>
    <t>Fin de vida RSUOR aprovechados</t>
  </si>
  <si>
    <r>
      <t xml:space="preserve"> - Emisiones de GEI por reciclaje de </t>
    </r>
    <r>
      <rPr>
        <b/>
        <sz val="11"/>
        <color theme="1"/>
        <rFont val="Calibri"/>
        <family val="2"/>
        <scheme val="minor"/>
      </rPr>
      <t>biodegradables</t>
    </r>
  </si>
  <si>
    <r>
      <t xml:space="preserve"> - Reducción GEI por reciclaje de </t>
    </r>
    <r>
      <rPr>
        <b/>
        <sz val="11"/>
        <color theme="1"/>
        <rFont val="Calibri"/>
        <family val="2"/>
        <scheme val="minor"/>
      </rPr>
      <t>papeles</t>
    </r>
  </si>
  <si>
    <r>
      <t xml:space="preserve"> - Reducción GEI por reciclaje de </t>
    </r>
    <r>
      <rPr>
        <b/>
        <sz val="11"/>
        <color theme="1"/>
        <rFont val="Calibri"/>
        <family val="2"/>
        <scheme val="minor"/>
      </rPr>
      <t>plásticos</t>
    </r>
  </si>
  <si>
    <r>
      <t xml:space="preserve"> - Reducción GEI por reciclaje de </t>
    </r>
    <r>
      <rPr>
        <b/>
        <sz val="11"/>
        <color theme="1"/>
        <rFont val="Calibri"/>
        <family val="2"/>
        <scheme val="minor"/>
      </rPr>
      <t>vidrios</t>
    </r>
  </si>
  <si>
    <r>
      <t xml:space="preserve"> - Reducción GEI por reciclaje de </t>
    </r>
    <r>
      <rPr>
        <b/>
        <sz val="11"/>
        <color theme="1"/>
        <rFont val="Calibri"/>
        <family val="2"/>
        <scheme val="minor"/>
      </rPr>
      <t>metales</t>
    </r>
  </si>
  <si>
    <t>Recolección y transporte de RSUOR hasta su sitio D.F.</t>
  </si>
  <si>
    <t>Estimaciones propias a partir de información consultada del Relleno Sanitario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</si>
</sst>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43" formatCode="_-* #,##0.00_-;\-* #,##0.00_-;_-* &quot;-&quot;??_-;_-@_-"/>
    <numFmt numFmtId="164" formatCode="_-* #,##0.0\ _€_-;\-* #,##0.0\ _€_-;_-* &quot;-&quot;??\ _€_-;_-@_-"/>
    <numFmt numFmtId="165" formatCode="0.0"/>
    <numFmt numFmtId="166" formatCode="0.0000"/>
    <numFmt numFmtId="167" formatCode="0.000000"/>
    <numFmt numFmtId="168" formatCode="_-* #,##0\ _€_-;\-* #,##0\ _€_-;_-* &quot;-&quot;??\ _€_-;_-@_-"/>
    <numFmt numFmtId="169" formatCode="#,##0.0"/>
    <numFmt numFmtId="170" formatCode="_-* #,##0.0_-;\-* #,##0.0_-;_-* &quot;-&quot;?_-;_-@_-"/>
    <numFmt numFmtId="171" formatCode="_-* #,##0.00\ _€_-;\-* #,##0.00\ _€_-;_-* &quot;-&quot;??\ _€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double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0" fontId="1" fillId="0" borderId="0"/>
    <xf numFmtId="0" fontId="1" fillId="0" borderId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9">
    <xf numFmtId="0" fontId="0" fillId="0" borderId="0" xfId="0"/>
    <xf numFmtId="0" fontId="1" fillId="2" borderId="0" xfId="2" applyFill="1" applyAlignment="1">
      <alignment horizontal="center" vertical="center" wrapText="1"/>
    </xf>
    <xf numFmtId="164" fontId="3" fillId="2" borderId="0" xfId="1" applyNumberFormat="1" applyFont="1" applyFill="1" applyBorder="1" applyAlignment="1">
      <alignment horizontal="center" vertical="center" wrapText="1"/>
    </xf>
    <xf numFmtId="164" fontId="1" fillId="2" borderId="0" xfId="1" applyNumberFormat="1" applyFont="1" applyFill="1" applyBorder="1" applyAlignment="1">
      <alignment horizontal="center" vertical="center" wrapText="1"/>
    </xf>
    <xf numFmtId="0" fontId="0" fillId="2" borderId="0" xfId="0" applyFill="1"/>
    <xf numFmtId="0" fontId="3" fillId="2" borderId="9" xfId="2" applyFont="1" applyFill="1" applyBorder="1" applyAlignment="1">
      <alignment vertical="center" wrapText="1"/>
    </xf>
    <xf numFmtId="0" fontId="2" fillId="3" borderId="9" xfId="0" applyFont="1" applyFill="1" applyBorder="1" applyAlignment="1">
      <alignment horizontal="center"/>
    </xf>
    <xf numFmtId="4" fontId="0" fillId="2" borderId="9" xfId="0" applyNumberFormat="1" applyFill="1" applyBorder="1"/>
    <xf numFmtId="4" fontId="3" fillId="2" borderId="9" xfId="0" applyNumberFormat="1" applyFont="1" applyFill="1" applyBorder="1"/>
    <xf numFmtId="0" fontId="2" fillId="3" borderId="9" xfId="5" applyFont="1" applyFill="1" applyBorder="1" applyAlignment="1">
      <alignment horizontal="center" vertical="center" wrapText="1"/>
    </xf>
    <xf numFmtId="0" fontId="1" fillId="2" borderId="9" xfId="5" applyFill="1" applyBorder="1" applyAlignment="1">
      <alignment vertical="center" wrapText="1"/>
    </xf>
    <xf numFmtId="0" fontId="3" fillId="2" borderId="9" xfId="5" applyFont="1" applyFill="1" applyBorder="1" applyAlignment="1">
      <alignment vertical="center" wrapText="1"/>
    </xf>
    <xf numFmtId="10" fontId="3" fillId="2" borderId="9" xfId="5" applyNumberFormat="1" applyFont="1" applyFill="1" applyBorder="1" applyAlignment="1">
      <alignment vertical="center" wrapText="1"/>
    </xf>
    <xf numFmtId="164" fontId="1" fillId="2" borderId="9" xfId="1" applyNumberFormat="1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left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3" fillId="2" borderId="0" xfId="2" applyFont="1" applyFill="1" applyBorder="1" applyAlignment="1">
      <alignment horizontal="center" vertical="center" wrapText="1"/>
    </xf>
    <xf numFmtId="0" fontId="1" fillId="2" borderId="0" xfId="2" applyFill="1" applyBorder="1" applyAlignment="1">
      <alignment horizontal="center" vertical="center" wrapText="1"/>
    </xf>
    <xf numFmtId="0" fontId="2" fillId="3" borderId="0" xfId="2" applyFont="1" applyFill="1" applyBorder="1" applyAlignment="1">
      <alignment horizontal="center" vertical="center" wrapText="1"/>
    </xf>
    <xf numFmtId="164" fontId="2" fillId="3" borderId="0" xfId="1" applyNumberFormat="1" applyFont="1" applyFill="1" applyBorder="1" applyAlignment="1">
      <alignment horizontal="center" vertical="center" wrapText="1"/>
    </xf>
    <xf numFmtId="0" fontId="1" fillId="2" borderId="0" xfId="2" applyFill="1" applyBorder="1" applyAlignment="1">
      <alignment horizontal="center" vertical="center" wrapText="1"/>
    </xf>
    <xf numFmtId="0" fontId="3" fillId="2" borderId="0" xfId="2" applyFont="1" applyFill="1" applyBorder="1" applyAlignment="1">
      <alignment horizontal="center" vertical="center" wrapText="1"/>
    </xf>
    <xf numFmtId="0" fontId="2" fillId="3" borderId="0" xfId="2" applyFont="1" applyFill="1" applyBorder="1" applyAlignment="1">
      <alignment horizontal="center" vertical="center" wrapText="1"/>
    </xf>
    <xf numFmtId="0" fontId="3" fillId="2" borderId="0" xfId="5" applyFont="1" applyFill="1" applyBorder="1" applyAlignment="1">
      <alignment vertical="center" wrapText="1"/>
    </xf>
    <xf numFmtId="10" fontId="3" fillId="2" borderId="0" xfId="5" applyNumberFormat="1" applyFont="1" applyFill="1" applyBorder="1" applyAlignment="1">
      <alignment vertical="center" wrapText="1"/>
    </xf>
    <xf numFmtId="4" fontId="3" fillId="2" borderId="0" xfId="0" applyNumberFormat="1" applyFont="1" applyFill="1" applyBorder="1"/>
    <xf numFmtId="164" fontId="3" fillId="2" borderId="0" xfId="1" applyNumberFormat="1" applyFont="1" applyFill="1" applyBorder="1" applyAlignment="1">
      <alignment vertical="center" wrapText="1"/>
    </xf>
    <xf numFmtId="0" fontId="1" fillId="6" borderId="9" xfId="2" applyFill="1" applyBorder="1" applyAlignment="1">
      <alignment vertical="center" wrapText="1"/>
    </xf>
    <xf numFmtId="4" fontId="0" fillId="6" borderId="9" xfId="0" applyNumberFormat="1" applyFill="1" applyBorder="1"/>
    <xf numFmtId="10" fontId="0" fillId="6" borderId="9" xfId="0" applyNumberFormat="1" applyFill="1" applyBorder="1"/>
    <xf numFmtId="10" fontId="1" fillId="6" borderId="9" xfId="5" applyNumberFormat="1" applyFill="1" applyBorder="1" applyAlignment="1">
      <alignment vertical="center" wrapText="1"/>
    </xf>
    <xf numFmtId="0" fontId="0" fillId="2" borderId="9" xfId="0" applyFill="1" applyBorder="1"/>
    <xf numFmtId="2" fontId="0" fillId="6" borderId="9" xfId="0" applyNumberFormat="1" applyFill="1" applyBorder="1"/>
    <xf numFmtId="3" fontId="3" fillId="2" borderId="9" xfId="0" applyNumberFormat="1" applyFont="1" applyFill="1" applyBorder="1"/>
    <xf numFmtId="0" fontId="1" fillId="2" borderId="0" xfId="2" applyFill="1" applyAlignment="1">
      <alignment horizontal="center" vertical="center" wrapText="1"/>
    </xf>
    <xf numFmtId="165" fontId="0" fillId="2" borderId="0" xfId="0" applyNumberFormat="1" applyFill="1"/>
    <xf numFmtId="165" fontId="3" fillId="2" borderId="0" xfId="0" applyNumberFormat="1" applyFont="1" applyFill="1" applyAlignment="1">
      <alignment vertical="center"/>
    </xf>
    <xf numFmtId="0" fontId="2" fillId="3" borderId="0" xfId="0" applyFont="1" applyFill="1" applyAlignment="1">
      <alignment horizontal="center"/>
    </xf>
    <xf numFmtId="0" fontId="0" fillId="2" borderId="10" xfId="0" applyFill="1" applyBorder="1"/>
    <xf numFmtId="0" fontId="1" fillId="0" borderId="9" xfId="2" applyBorder="1" applyAlignment="1">
      <alignment vertical="center" wrapText="1"/>
    </xf>
    <xf numFmtId="168" fontId="1" fillId="2" borderId="9" xfId="1" applyNumberFormat="1" applyFont="1" applyFill="1" applyBorder="1" applyAlignment="1">
      <alignment vertical="center" wrapText="1"/>
    </xf>
    <xf numFmtId="43" fontId="1" fillId="2" borderId="9" xfId="1" applyFont="1" applyFill="1" applyBorder="1" applyAlignment="1">
      <alignment vertical="center" wrapText="1"/>
    </xf>
    <xf numFmtId="41" fontId="1" fillId="2" borderId="9" xfId="6" applyFont="1" applyFill="1" applyBorder="1" applyAlignment="1">
      <alignment vertical="center" wrapText="1"/>
    </xf>
    <xf numFmtId="169" fontId="0" fillId="2" borderId="0" xfId="0" applyNumberFormat="1" applyFill="1"/>
    <xf numFmtId="0" fontId="2" fillId="3" borderId="9" xfId="0" applyFont="1" applyFill="1" applyBorder="1" applyAlignment="1">
      <alignment horizontal="center" vertical="center"/>
    </xf>
    <xf numFmtId="0" fontId="2" fillId="3" borderId="9" xfId="2" applyFont="1" applyFill="1" applyBorder="1" applyAlignment="1">
      <alignment horizontal="center" vertical="center" wrapText="1"/>
    </xf>
    <xf numFmtId="168" fontId="2" fillId="3" borderId="9" xfId="1" applyNumberFormat="1" applyFont="1" applyFill="1" applyBorder="1" applyAlignment="1">
      <alignment horizontal="center" vertical="center" wrapText="1"/>
    </xf>
    <xf numFmtId="0" fontId="1" fillId="0" borderId="9" xfId="0" applyFont="1" applyBorder="1" applyAlignment="1">
      <alignment vertical="center" wrapText="1"/>
    </xf>
    <xf numFmtId="9" fontId="1" fillId="2" borderId="9" xfId="6" applyNumberFormat="1" applyFont="1" applyFill="1" applyBorder="1" applyAlignment="1">
      <alignment vertical="center" wrapText="1"/>
    </xf>
    <xf numFmtId="169" fontId="3" fillId="2" borderId="0" xfId="0" applyNumberFormat="1" applyFont="1" applyFill="1" applyAlignment="1">
      <alignment vertical="center"/>
    </xf>
    <xf numFmtId="166" fontId="1" fillId="2" borderId="9" xfId="0" applyNumberFormat="1" applyFont="1" applyFill="1" applyBorder="1" applyAlignment="1">
      <alignment horizontal="right" vertical="center" wrapText="1"/>
    </xf>
    <xf numFmtId="167" fontId="1" fillId="2" borderId="9" xfId="2" applyNumberFormat="1" applyFill="1" applyBorder="1" applyAlignment="1">
      <alignment horizontal="right" vertical="center" wrapText="1"/>
    </xf>
    <xf numFmtId="0" fontId="1" fillId="2" borderId="9" xfId="2" applyFill="1" applyBorder="1" applyAlignment="1">
      <alignment horizontal="right" vertical="center" wrapText="1"/>
    </xf>
    <xf numFmtId="0" fontId="1" fillId="2" borderId="9" xfId="0" applyFont="1" applyFill="1" applyBorder="1" applyAlignment="1">
      <alignment horizontal="right" vertical="center" wrapText="1"/>
    </xf>
    <xf numFmtId="0" fontId="2" fillId="3" borderId="9" xfId="2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169" fontId="0" fillId="2" borderId="9" xfId="0" applyNumberFormat="1" applyFill="1" applyBorder="1"/>
    <xf numFmtId="169" fontId="3" fillId="2" borderId="9" xfId="0" applyNumberFormat="1" applyFont="1" applyFill="1" applyBorder="1"/>
    <xf numFmtId="10" fontId="3" fillId="2" borderId="4" xfId="7" applyNumberFormat="1" applyFont="1" applyFill="1" applyBorder="1" applyAlignment="1">
      <alignment vertical="center" wrapText="1"/>
    </xf>
    <xf numFmtId="164" fontId="1" fillId="2" borderId="0" xfId="1" applyNumberFormat="1" applyFont="1" applyFill="1" applyBorder="1" applyAlignment="1">
      <alignment horizontal="center" vertical="center" wrapText="1"/>
    </xf>
    <xf numFmtId="10" fontId="1" fillId="2" borderId="8" xfId="7" applyNumberFormat="1" applyFont="1" applyFill="1" applyBorder="1" applyAlignment="1">
      <alignment vertical="center" wrapText="1"/>
    </xf>
    <xf numFmtId="10" fontId="3" fillId="2" borderId="8" xfId="7" applyNumberFormat="1" applyFont="1" applyFill="1" applyBorder="1" applyAlignment="1">
      <alignment vertical="center" wrapText="1"/>
    </xf>
    <xf numFmtId="10" fontId="1" fillId="2" borderId="6" xfId="7" applyNumberFormat="1" applyFont="1" applyFill="1" applyBorder="1" applyAlignment="1">
      <alignment vertical="center" wrapText="1"/>
    </xf>
    <xf numFmtId="0" fontId="3" fillId="8" borderId="4" xfId="2" applyFont="1" applyFill="1" applyBorder="1" applyAlignment="1">
      <alignment horizontal="center" vertical="center" wrapText="1"/>
    </xf>
    <xf numFmtId="9" fontId="3" fillId="2" borderId="13" xfId="7" applyFont="1" applyFill="1" applyBorder="1" applyAlignment="1">
      <alignment vertical="center" wrapText="1"/>
    </xf>
    <xf numFmtId="169" fontId="3" fillId="2" borderId="9" xfId="5" applyNumberFormat="1" applyFont="1" applyFill="1" applyBorder="1" applyAlignment="1">
      <alignment vertical="center" wrapText="1"/>
    </xf>
    <xf numFmtId="169" fontId="1" fillId="2" borderId="9" xfId="5" applyNumberFormat="1" applyFill="1" applyBorder="1" applyAlignment="1">
      <alignment vertical="center" wrapText="1"/>
    </xf>
    <xf numFmtId="0" fontId="1" fillId="2" borderId="9" xfId="2" applyFill="1" applyBorder="1" applyAlignment="1">
      <alignment vertical="center" wrapText="1"/>
    </xf>
    <xf numFmtId="10" fontId="3" fillId="2" borderId="0" xfId="0" applyNumberFormat="1" applyFont="1" applyFill="1" applyBorder="1"/>
    <xf numFmtId="169" fontId="1" fillId="2" borderId="10" xfId="5" applyNumberFormat="1" applyFill="1" applyBorder="1" applyAlignment="1">
      <alignment vertical="center" wrapText="1"/>
    </xf>
    <xf numFmtId="0" fontId="3" fillId="2" borderId="10" xfId="5" applyFont="1" applyFill="1" applyBorder="1" applyAlignment="1">
      <alignment vertical="center" wrapText="1"/>
    </xf>
    <xf numFmtId="0" fontId="3" fillId="2" borderId="0" xfId="5" applyFont="1" applyFill="1" applyBorder="1" applyAlignment="1">
      <alignment horizontal="left" vertical="center" wrapText="1"/>
    </xf>
    <xf numFmtId="3" fontId="3" fillId="2" borderId="0" xfId="0" applyNumberFormat="1" applyFont="1" applyFill="1" applyBorder="1"/>
    <xf numFmtId="2" fontId="0" fillId="2" borderId="9" xfId="0" applyNumberFormat="1" applyFill="1" applyBorder="1"/>
    <xf numFmtId="171" fontId="1" fillId="2" borderId="9" xfId="1" applyNumberFormat="1" applyFont="1" applyFill="1" applyBorder="1" applyAlignment="1">
      <alignment vertical="center" wrapText="1"/>
    </xf>
    <xf numFmtId="0" fontId="1" fillId="2" borderId="9" xfId="0" applyFont="1" applyFill="1" applyBorder="1" applyAlignment="1">
      <alignment horizontal="center" vertical="center" wrapText="1"/>
    </xf>
    <xf numFmtId="10" fontId="3" fillId="2" borderId="13" xfId="7" applyNumberFormat="1" applyFont="1" applyFill="1" applyBorder="1" applyAlignment="1">
      <alignment vertical="center" wrapText="1"/>
    </xf>
    <xf numFmtId="164" fontId="0" fillId="2" borderId="0" xfId="0" applyNumberFormat="1" applyFill="1"/>
    <xf numFmtId="0" fontId="3" fillId="2" borderId="10" xfId="2" applyFont="1" applyFill="1" applyBorder="1" applyAlignment="1">
      <alignment horizontal="left" vertical="center" wrapText="1"/>
    </xf>
    <xf numFmtId="0" fontId="3" fillId="2" borderId="12" xfId="2" applyFont="1" applyFill="1" applyBorder="1" applyAlignment="1">
      <alignment horizontal="left" vertical="center" wrapText="1"/>
    </xf>
    <xf numFmtId="164" fontId="3" fillId="2" borderId="12" xfId="1" applyNumberFormat="1" applyFont="1" applyFill="1" applyBorder="1" applyAlignment="1">
      <alignment horizontal="center" vertical="center" wrapText="1"/>
    </xf>
    <xf numFmtId="0" fontId="1" fillId="2" borderId="7" xfId="2" applyFill="1" applyBorder="1" applyAlignment="1">
      <alignment horizontal="left" vertical="center" wrapText="1"/>
    </xf>
    <xf numFmtId="0" fontId="1" fillId="2" borderId="0" xfId="2" applyFill="1" applyAlignment="1">
      <alignment horizontal="left" vertical="center" wrapText="1"/>
    </xf>
    <xf numFmtId="164" fontId="1" fillId="2" borderId="0" xfId="1" applyNumberFormat="1" applyFont="1" applyFill="1" applyBorder="1" applyAlignment="1">
      <alignment horizontal="center" vertical="center" wrapText="1"/>
    </xf>
    <xf numFmtId="0" fontId="1" fillId="2" borderId="0" xfId="2" applyFill="1" applyBorder="1" applyAlignment="1">
      <alignment horizontal="left" vertical="center" wrapText="1"/>
    </xf>
    <xf numFmtId="0" fontId="3" fillId="2" borderId="7" xfId="2" applyFont="1" applyFill="1" applyBorder="1" applyAlignment="1">
      <alignment horizontal="left" vertical="center" wrapText="1"/>
    </xf>
    <xf numFmtId="0" fontId="3" fillId="2" borderId="0" xfId="2" applyFont="1" applyFill="1" applyBorder="1" applyAlignment="1">
      <alignment horizontal="left" vertical="center" wrapText="1"/>
    </xf>
    <xf numFmtId="164" fontId="3" fillId="2" borderId="0" xfId="1" applyNumberFormat="1" applyFont="1" applyFill="1" applyBorder="1" applyAlignment="1">
      <alignment horizontal="center" vertical="center" wrapText="1"/>
    </xf>
    <xf numFmtId="0" fontId="1" fillId="2" borderId="5" xfId="2" applyFill="1" applyBorder="1" applyAlignment="1">
      <alignment horizontal="left" vertical="center" wrapText="1"/>
    </xf>
    <xf numFmtId="0" fontId="1" fillId="2" borderId="1" xfId="2" applyFill="1" applyBorder="1" applyAlignment="1">
      <alignment horizontal="left" vertical="center" wrapText="1"/>
    </xf>
    <xf numFmtId="164" fontId="1" fillId="2" borderId="1" xfId="1" applyNumberFormat="1" applyFont="1" applyFill="1" applyBorder="1" applyAlignment="1">
      <alignment horizontal="center" vertical="center" wrapText="1"/>
    </xf>
    <xf numFmtId="0" fontId="3" fillId="2" borderId="2" xfId="2" applyFont="1" applyFill="1" applyBorder="1" applyAlignment="1">
      <alignment horizontal="left" vertical="center" wrapText="1"/>
    </xf>
    <xf numFmtId="0" fontId="3" fillId="2" borderId="3" xfId="2" applyFont="1" applyFill="1" applyBorder="1" applyAlignment="1">
      <alignment horizontal="left" vertical="center" wrapText="1"/>
    </xf>
    <xf numFmtId="164" fontId="3" fillId="2" borderId="3" xfId="1" applyNumberFormat="1" applyFont="1" applyFill="1" applyBorder="1" applyAlignment="1">
      <alignment horizontal="center" vertical="center" wrapText="1"/>
    </xf>
    <xf numFmtId="0" fontId="3" fillId="8" borderId="2" xfId="2" applyFont="1" applyFill="1" applyBorder="1" applyAlignment="1">
      <alignment horizontal="center" vertical="center" wrapText="1"/>
    </xf>
    <xf numFmtId="0" fontId="3" fillId="8" borderId="3" xfId="2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right" vertical="center"/>
    </xf>
    <xf numFmtId="0" fontId="3" fillId="2" borderId="0" xfId="0" applyFont="1" applyFill="1" applyBorder="1" applyAlignment="1">
      <alignment horizontal="right" vertical="center"/>
    </xf>
    <xf numFmtId="0" fontId="3" fillId="2" borderId="11" xfId="2" applyFont="1" applyFill="1" applyBorder="1" applyAlignment="1">
      <alignment horizontal="center" vertical="center" wrapText="1"/>
    </xf>
    <xf numFmtId="0" fontId="3" fillId="2" borderId="0" xfId="2" applyFont="1" applyFill="1" applyBorder="1" applyAlignment="1">
      <alignment horizontal="center" vertical="center" wrapText="1"/>
    </xf>
    <xf numFmtId="170" fontId="3" fillId="2" borderId="11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1" fillId="2" borderId="0" xfId="2" applyFill="1" applyBorder="1" applyAlignment="1">
      <alignment horizontal="center" vertical="center" wrapText="1"/>
    </xf>
    <xf numFmtId="0" fontId="3" fillId="5" borderId="9" xfId="2" applyFont="1" applyFill="1" applyBorder="1" applyAlignment="1">
      <alignment horizontal="center" vertical="center" wrapText="1"/>
    </xf>
    <xf numFmtId="0" fontId="5" fillId="2" borderId="0" xfId="2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7" borderId="9" xfId="2" applyFont="1" applyFill="1" applyBorder="1" applyAlignment="1">
      <alignment horizontal="center" vertical="center" wrapText="1"/>
    </xf>
    <xf numFmtId="0" fontId="3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1" fillId="2" borderId="7" xfId="2" applyFill="1" applyBorder="1" applyAlignment="1">
      <alignment horizontal="center" vertical="center" wrapText="1"/>
    </xf>
    <xf numFmtId="0" fontId="1" fillId="2" borderId="0" xfId="2" applyFill="1" applyAlignment="1">
      <alignment horizontal="center" vertical="center" wrapText="1"/>
    </xf>
    <xf numFmtId="0" fontId="5" fillId="2" borderId="7" xfId="2" applyFont="1" applyFill="1" applyBorder="1" applyAlignment="1">
      <alignment horizontal="center" vertical="center" wrapText="1"/>
    </xf>
    <xf numFmtId="0" fontId="1" fillId="2" borderId="9" xfId="5" applyFont="1" applyFill="1" applyBorder="1" applyAlignment="1">
      <alignment horizontal="left" vertical="center" wrapText="1"/>
    </xf>
    <xf numFmtId="0" fontId="3" fillId="2" borderId="9" xfId="5" applyFont="1" applyFill="1" applyBorder="1" applyAlignment="1">
      <alignment horizontal="left" vertical="center" wrapText="1"/>
    </xf>
    <xf numFmtId="0" fontId="1" fillId="0" borderId="9" xfId="4" applyBorder="1" applyAlignment="1">
      <alignment horizontal="left" vertical="center" wrapText="1"/>
    </xf>
    <xf numFmtId="0" fontId="2" fillId="3" borderId="0" xfId="2" applyFont="1" applyFill="1" applyBorder="1" applyAlignment="1">
      <alignment horizontal="center" vertical="center" wrapText="1"/>
    </xf>
    <xf numFmtId="0" fontId="2" fillId="3" borderId="1" xfId="5" applyFont="1" applyFill="1" applyBorder="1" applyAlignment="1">
      <alignment horizontal="center" vertical="center" wrapText="1"/>
    </xf>
    <xf numFmtId="0" fontId="2" fillId="3" borderId="0" xfId="2" applyFont="1" applyFill="1" applyAlignment="1">
      <alignment horizontal="center" vertical="center" wrapText="1"/>
    </xf>
    <xf numFmtId="0" fontId="1" fillId="2" borderId="1" xfId="2" applyFill="1" applyBorder="1" applyAlignment="1">
      <alignment horizontal="center" vertical="center" wrapText="1"/>
    </xf>
    <xf numFmtId="0" fontId="4" fillId="2" borderId="2" xfId="2" applyFont="1" applyFill="1" applyBorder="1" applyAlignment="1">
      <alignment horizontal="left" vertical="center" wrapText="1"/>
    </xf>
    <xf numFmtId="0" fontId="4" fillId="2" borderId="3" xfId="2" applyFont="1" applyFill="1" applyBorder="1" applyAlignment="1">
      <alignment horizontal="left" vertical="center" wrapText="1"/>
    </xf>
    <xf numFmtId="0" fontId="4" fillId="2" borderId="4" xfId="2" applyFont="1" applyFill="1" applyBorder="1" applyAlignment="1">
      <alignment horizontal="left" vertical="center" wrapText="1"/>
    </xf>
    <xf numFmtId="0" fontId="2" fillId="3" borderId="7" xfId="4" applyFont="1" applyFill="1" applyBorder="1" applyAlignment="1">
      <alignment horizontal="center" vertical="center" wrapText="1"/>
    </xf>
    <xf numFmtId="0" fontId="2" fillId="3" borderId="0" xfId="4" applyFont="1" applyFill="1" applyBorder="1" applyAlignment="1">
      <alignment horizontal="center" vertical="center" wrapText="1"/>
    </xf>
    <xf numFmtId="0" fontId="3" fillId="4" borderId="9" xfId="2" applyFont="1" applyFill="1" applyBorder="1" applyAlignment="1">
      <alignment horizontal="center" vertical="center" wrapText="1"/>
    </xf>
    <xf numFmtId="0" fontId="3" fillId="0" borderId="9" xfId="4" applyFont="1" applyBorder="1" applyAlignment="1">
      <alignment horizontal="left" vertical="center" wrapText="1"/>
    </xf>
    <xf numFmtId="0" fontId="1" fillId="2" borderId="6" xfId="2" applyFill="1" applyBorder="1" applyAlignment="1">
      <alignment horizontal="left" vertical="center" wrapText="1"/>
    </xf>
    <xf numFmtId="0" fontId="3" fillId="2" borderId="2" xfId="2" applyFont="1" applyFill="1" applyBorder="1" applyAlignment="1">
      <alignment horizontal="center" vertical="center" wrapText="1"/>
    </xf>
    <xf numFmtId="0" fontId="3" fillId="2" borderId="3" xfId="2" applyFont="1" applyFill="1" applyBorder="1" applyAlignment="1">
      <alignment horizontal="center" vertical="center" wrapText="1"/>
    </xf>
    <xf numFmtId="0" fontId="3" fillId="2" borderId="4" xfId="2" applyFont="1" applyFill="1" applyBorder="1" applyAlignment="1">
      <alignment horizontal="center" vertical="center" wrapText="1"/>
    </xf>
    <xf numFmtId="0" fontId="1" fillId="2" borderId="8" xfId="2" applyFill="1" applyBorder="1" applyAlignment="1">
      <alignment horizontal="left" vertical="center" wrapText="1"/>
    </xf>
    <xf numFmtId="0" fontId="2" fillId="3" borderId="9" xfId="4" applyFont="1" applyFill="1" applyBorder="1" applyAlignment="1">
      <alignment horizontal="center" vertical="center" wrapText="1"/>
    </xf>
    <xf numFmtId="0" fontId="2" fillId="3" borderId="5" xfId="4" applyFont="1" applyFill="1" applyBorder="1" applyAlignment="1">
      <alignment horizontal="center" vertical="center" wrapText="1"/>
    </xf>
    <xf numFmtId="0" fontId="2" fillId="3" borderId="1" xfId="4" applyFont="1" applyFill="1" applyBorder="1" applyAlignment="1">
      <alignment horizontal="center" vertical="center" wrapText="1"/>
    </xf>
    <xf numFmtId="0" fontId="3" fillId="9" borderId="9" xfId="2" applyFont="1" applyFill="1" applyBorder="1" applyAlignment="1">
      <alignment horizontal="center" vertical="center" wrapText="1"/>
    </xf>
    <xf numFmtId="0" fontId="0" fillId="2" borderId="0" xfId="2" applyFont="1" applyFill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left" vertical="center" wrapText="1"/>
    </xf>
    <xf numFmtId="0" fontId="0" fillId="2" borderId="9" xfId="0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2" fillId="3" borderId="9" xfId="2" applyFont="1" applyFill="1" applyBorder="1" applyAlignment="1">
      <alignment horizontal="center" vertical="center" wrapText="1"/>
    </xf>
    <xf numFmtId="168" fontId="2" fillId="3" borderId="9" xfId="1" applyNumberFormat="1" applyFont="1" applyFill="1" applyBorder="1" applyAlignment="1">
      <alignment horizontal="center" vertical="center" wrapText="1"/>
    </xf>
    <xf numFmtId="0" fontId="1" fillId="0" borderId="9" xfId="2" applyBorder="1" applyAlignment="1">
      <alignment horizontal="left" vertical="center" wrapText="1"/>
    </xf>
    <xf numFmtId="0" fontId="0" fillId="2" borderId="9" xfId="0" applyFill="1" applyBorder="1" applyAlignment="1">
      <alignment horizontal="center" vertical="center" wrapText="1"/>
    </xf>
    <xf numFmtId="0" fontId="1" fillId="0" borderId="2" xfId="2" applyBorder="1" applyAlignment="1">
      <alignment horizontal="center" vertical="center" wrapText="1"/>
    </xf>
    <xf numFmtId="0" fontId="1" fillId="0" borderId="3" xfId="2" applyBorder="1" applyAlignment="1">
      <alignment horizontal="center" vertical="center" wrapText="1"/>
    </xf>
    <xf numFmtId="0" fontId="1" fillId="0" borderId="4" xfId="2" applyBorder="1" applyAlignment="1">
      <alignment horizontal="center" vertical="center" wrapText="1"/>
    </xf>
    <xf numFmtId="0" fontId="1" fillId="0" borderId="7" xfId="2" applyBorder="1" applyAlignment="1">
      <alignment horizontal="center" vertical="center" wrapText="1"/>
    </xf>
    <xf numFmtId="0" fontId="1" fillId="0" borderId="0" xfId="2" applyBorder="1" applyAlignment="1">
      <alignment horizontal="center" vertical="center" wrapText="1"/>
    </xf>
    <xf numFmtId="0" fontId="1" fillId="0" borderId="8" xfId="2" applyBorder="1" applyAlignment="1">
      <alignment horizontal="center" vertical="center" wrapText="1"/>
    </xf>
    <xf numFmtId="0" fontId="1" fillId="0" borderId="5" xfId="2" applyBorder="1" applyAlignment="1">
      <alignment horizontal="center" vertical="center" wrapText="1"/>
    </xf>
    <xf numFmtId="0" fontId="1" fillId="0" borderId="1" xfId="2" applyBorder="1" applyAlignment="1">
      <alignment horizontal="center" vertical="center" wrapText="1"/>
    </xf>
    <xf numFmtId="0" fontId="1" fillId="0" borderId="6" xfId="2" applyBorder="1" applyAlignment="1">
      <alignment horizontal="center" vertical="center" wrapText="1"/>
    </xf>
    <xf numFmtId="0" fontId="1" fillId="0" borderId="9" xfId="0" applyFont="1" applyBorder="1" applyAlignment="1">
      <alignment horizontal="left" vertical="center" wrapText="1"/>
    </xf>
    <xf numFmtId="0" fontId="1" fillId="0" borderId="9" xfId="2" applyBorder="1" applyAlignment="1">
      <alignment horizontal="left" vertical="top" wrapText="1"/>
    </xf>
    <xf numFmtId="0" fontId="2" fillId="3" borderId="9" xfId="2" applyFont="1" applyFill="1" applyBorder="1" applyAlignment="1">
      <alignment horizontal="left" vertical="center" wrapText="1"/>
    </xf>
  </cellXfs>
  <cellStyles count="8">
    <cellStyle name="Millares" xfId="1" builtinId="3"/>
    <cellStyle name="Millares [0]" xfId="6" builtinId="6"/>
    <cellStyle name="Millares 6" xfId="3" xr:uid="{3E66DEA2-B148-4E4D-B0D0-61008AC38341}"/>
    <cellStyle name="Normal" xfId="0" builtinId="0"/>
    <cellStyle name="Normal 2" xfId="4" xr:uid="{286DBA0C-3B2F-440F-8188-0BA3B09D7E23}"/>
    <cellStyle name="Normal 3" xfId="5" xr:uid="{06BF81E8-7E11-4D3B-9BE1-BDA8DE5A4666}"/>
    <cellStyle name="Normal 5" xfId="2" xr:uid="{F9967221-10C6-4C1E-A95E-86F8B23BECD5}"/>
    <cellStyle name="Porcentaje" xfId="7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 b="1"/>
              <a:t>HC</a:t>
            </a:r>
            <a:r>
              <a:rPr lang="es-CO" sz="1200" b="1" baseline="0"/>
              <a:t> del Proceso de Producción y Consumo Lineal</a:t>
            </a:r>
            <a:endParaRPr lang="es-CO" sz="12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ndard"/>
        <c:varyColors val="0"/>
        <c:ser>
          <c:idx val="4"/>
          <c:order val="4"/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6-C8DD-4F51-B027-6D4A6D2D4F78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C8DD-4F51-B027-6D4A6D2D4F7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8-C8DD-4F51-B027-6D4A6D2D4F78}"/>
              </c:ext>
            </c:extLst>
          </c:dPt>
          <c:dLbls>
            <c:dLbl>
              <c:idx val="0"/>
              <c:layout>
                <c:manualLayout>
                  <c:x val="1.5577669880418492E-2"/>
                  <c:y val="-3.7209302325581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8DD-4F51-B027-6D4A6D2D4F78}"/>
                </c:ext>
              </c:extLst>
            </c:dLbl>
            <c:dLbl>
              <c:idx val="1"/>
              <c:layout>
                <c:manualLayout>
                  <c:x val="1.7308522089353951E-2"/>
                  <c:y val="-5.27131782945736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8DD-4F51-B027-6D4A6D2D4F78}"/>
                </c:ext>
              </c:extLst>
            </c:dLbl>
            <c:dLbl>
              <c:idx val="2"/>
              <c:layout>
                <c:manualLayout>
                  <c:x val="2.0770226507224741E-2"/>
                  <c:y val="-3.7209302325581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8DD-4F51-B027-6D4A6D2D4F7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('FLUJO MPCL'!$B$68,'FLUJO MPCL'!$B$74,'FLUJO MPCL'!$B$78)</c:f>
              <c:strCache>
                <c:ptCount val="3"/>
                <c:pt idx="0">
                  <c:v>Obtención de materias primas y producción de bienes de consumo</c:v>
                </c:pt>
                <c:pt idx="1">
                  <c:v>Recolección y transporte de RSUOR hasta su fin de vida</c:v>
                </c:pt>
                <c:pt idx="2">
                  <c:v>Fin de vida de RSUOR no aprovechados</c:v>
                </c:pt>
              </c:strCache>
            </c:strRef>
          </c:cat>
          <c:val>
            <c:numRef>
              <c:f>('FLUJO MPCL'!$G$68,'FLUJO MPCL'!$G$74,'FLUJO MPCL'!$G$78)</c:f>
              <c:numCache>
                <c:formatCode>_-* #,##0.0\ _€_-;\-* #,##0.0\ _€_-;_-* "-"??\ _€_-;_-@_-</c:formatCode>
                <c:ptCount val="3"/>
                <c:pt idx="0">
                  <c:v>299778.91618922271</c:v>
                </c:pt>
                <c:pt idx="1">
                  <c:v>934.79852585065885</c:v>
                </c:pt>
                <c:pt idx="2">
                  <c:v>190588.02699245155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8DD-4F51-B027-6D4A6D2D4F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35195832"/>
        <c:axId val="635199992"/>
        <c:axId val="51997933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solidFill>
                    <a:schemeClr val="accent1"/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('FLUJO MPCL'!$B$68,'FLUJO MPCL'!$B$74,'FLUJO MPCL'!$B$78)</c15:sqref>
                        </c15:formulaRef>
                      </c:ext>
                    </c:extLst>
                    <c:strCache>
                      <c:ptCount val="3"/>
                      <c:pt idx="0">
                        <c:v>Obtención de materias primas y producción de bienes de consumo</c:v>
                      </c:pt>
                      <c:pt idx="1">
                        <c:v>Recolección y transporte de RSUOR hasta su fin de vida</c:v>
                      </c:pt>
                      <c:pt idx="2">
                        <c:v>Fin de vida de RSUOR no aprovechados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('FLUJO MPCL'!$C$68,'FLUJO MPCL'!$C$74,'FLUJO MPCL'!$C$78)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C8DD-4F51-B027-6D4A6D2D4F78}"/>
                  </c:ext>
                </c:extLst>
              </c15:ser>
            </c15:filteredBarSeries>
            <c15:filteredBarSeries>
              <c15:ser>
                <c:idx val="1"/>
                <c:order val="1"/>
                <c:spPr>
                  <a:solidFill>
                    <a:schemeClr val="accent2"/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('FLUJO MPCL'!$B$68,'FLUJO MPCL'!$B$74,'FLUJO MPCL'!$B$78)</c15:sqref>
                        </c15:formulaRef>
                      </c:ext>
                    </c:extLst>
                    <c:strCache>
                      <c:ptCount val="3"/>
                      <c:pt idx="0">
                        <c:v>Obtención de materias primas y producción de bienes de consumo</c:v>
                      </c:pt>
                      <c:pt idx="1">
                        <c:v>Recolección y transporte de RSUOR hasta su fin de vida</c:v>
                      </c:pt>
                      <c:pt idx="2">
                        <c:v>Fin de vida de RSUOR no aprovechados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('FLUJO MPCL'!$D$68,'FLUJO MPCL'!$D$74,'FLUJO MPCL'!$D$78)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C8DD-4F51-B027-6D4A6D2D4F78}"/>
                  </c:ext>
                </c:extLst>
              </c15:ser>
            </c15:filteredBarSeries>
            <c15:filteredBarSeries>
              <c15:ser>
                <c:idx val="2"/>
                <c:order val="2"/>
                <c:spPr>
                  <a:solidFill>
                    <a:schemeClr val="accent3"/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('FLUJO MPCL'!$B$68,'FLUJO MPCL'!$B$74,'FLUJO MPCL'!$B$78)</c15:sqref>
                        </c15:formulaRef>
                      </c:ext>
                    </c:extLst>
                    <c:strCache>
                      <c:ptCount val="3"/>
                      <c:pt idx="0">
                        <c:v>Obtención de materias primas y producción de bienes de consumo</c:v>
                      </c:pt>
                      <c:pt idx="1">
                        <c:v>Recolección y transporte de RSUOR hasta su fin de vida</c:v>
                      </c:pt>
                      <c:pt idx="2">
                        <c:v>Fin de vida de RSUOR no aprovechados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('FLUJO MPCL'!$E$68,'FLUJO MPCL'!$E$74,'FLUJO MPCL'!$E$78)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C8DD-4F51-B027-6D4A6D2D4F78}"/>
                  </c:ext>
                </c:extLst>
              </c15:ser>
            </c15:filteredBarSeries>
            <c15:filteredBarSeries>
              <c15:ser>
                <c:idx val="3"/>
                <c:order val="3"/>
                <c:spPr>
                  <a:solidFill>
                    <a:schemeClr val="accent4"/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('FLUJO MPCL'!$B$68,'FLUJO MPCL'!$B$74,'FLUJO MPCL'!$B$78)</c15:sqref>
                        </c15:formulaRef>
                      </c:ext>
                    </c:extLst>
                    <c:strCache>
                      <c:ptCount val="3"/>
                      <c:pt idx="0">
                        <c:v>Obtención de materias primas y producción de bienes de consumo</c:v>
                      </c:pt>
                      <c:pt idx="1">
                        <c:v>Recolección y transporte de RSUOR hasta su fin de vida</c:v>
                      </c:pt>
                      <c:pt idx="2">
                        <c:v>Fin de vida de RSUOR no aprovechados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('FLUJO MPCL'!$F$68,'FLUJO MPCL'!$F$74,'FLUJO MPCL'!$F$78)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C8DD-4F51-B027-6D4A6D2D4F78}"/>
                  </c:ext>
                </c:extLst>
              </c15:ser>
            </c15:filteredBarSeries>
            <c15:filteredBarSeries>
              <c15:ser>
                <c:idx val="5"/>
                <c:order val="5"/>
                <c:spPr>
                  <a:solidFill>
                    <a:schemeClr val="accent6"/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('FLUJO MPCL'!$B$68,'FLUJO MPCL'!$B$74,'FLUJO MPCL'!$B$78)</c15:sqref>
                        </c15:formulaRef>
                      </c:ext>
                    </c:extLst>
                    <c:strCache>
                      <c:ptCount val="3"/>
                      <c:pt idx="0">
                        <c:v>Obtención de materias primas y producción de bienes de consumo</c:v>
                      </c:pt>
                      <c:pt idx="1">
                        <c:v>Recolección y transporte de RSUOR hasta su fin de vida</c:v>
                      </c:pt>
                      <c:pt idx="2">
                        <c:v>Fin de vida de RSUOR no aprovechados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('FLUJO MPCL'!$H$68,'FLUJO MPCL'!$H$74,'FLUJO MPCL'!$H$78)</c15:sqref>
                        </c15:formulaRef>
                      </c:ext>
                    </c:extLst>
                    <c:numCache>
                      <c:formatCode>_-* #,##0.0\ _€_-;\-* #,##0.0\ _€_-;_-* "-"??\ _€_-;_-@_-</c:formatCode>
                      <c:ptCount val="3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C8DD-4F51-B027-6D4A6D2D4F78}"/>
                  </c:ext>
                </c:extLst>
              </c15:ser>
            </c15:filteredBarSeries>
          </c:ext>
        </c:extLst>
      </c:bar3DChart>
      <c:catAx>
        <c:axId val="635195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35199992"/>
        <c:crosses val="autoZero"/>
        <c:auto val="1"/>
        <c:lblAlgn val="ctr"/>
        <c:lblOffset val="100"/>
        <c:noMultiLvlLbl val="0"/>
      </c:catAx>
      <c:valAx>
        <c:axId val="635199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.0\ _€_-;\-* #,##0.0\ _€_-;_-* &quot;-&quot;??\ _€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35195832"/>
        <c:crosses val="autoZero"/>
        <c:crossBetween val="between"/>
      </c:valAx>
      <c:serAx>
        <c:axId val="519979336"/>
        <c:scaling>
          <c:orientation val="minMax"/>
        </c:scaling>
        <c:delete val="1"/>
        <c:axPos val="b"/>
        <c:majorTickMark val="none"/>
        <c:minorTickMark val="none"/>
        <c:tickLblPos val="nextTo"/>
        <c:crossAx val="635199992"/>
        <c:crosses val="autoZero"/>
      </c:ser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 b="1"/>
              <a:t>HC del Proceso</a:t>
            </a:r>
            <a:r>
              <a:rPr lang="es-CO" sz="1200" b="1" baseline="0"/>
              <a:t> de Economía Circular</a:t>
            </a:r>
            <a:endParaRPr lang="es-CO" sz="12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ndard"/>
        <c:varyColors val="0"/>
        <c:ser>
          <c:idx val="4"/>
          <c:order val="4"/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6-ED21-4126-9630-D5A2DAC533BA}"/>
              </c:ext>
            </c:extLst>
          </c:dPt>
          <c:dPt>
            <c:idx val="1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ED21-4126-9630-D5A2DAC533BA}"/>
              </c:ext>
            </c:extLst>
          </c:dPt>
          <c:dPt>
            <c:idx val="2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9-ED21-4126-9630-D5A2DAC533B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8-ED21-4126-9630-D5A2DAC533BA}"/>
              </c:ext>
            </c:extLst>
          </c:dPt>
          <c:dLbls>
            <c:dLbl>
              <c:idx val="0"/>
              <c:layout>
                <c:manualLayout>
                  <c:x val="9.5465381834591561E-3"/>
                  <c:y val="-2.30769230769230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D21-4126-9630-D5A2DAC533BA}"/>
                </c:ext>
              </c:extLst>
            </c:dLbl>
            <c:dLbl>
              <c:idx val="1"/>
              <c:layout>
                <c:manualLayout>
                  <c:x val="1.4319807275188676E-2"/>
                  <c:y val="-2.82051282051282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D21-4126-9630-D5A2DAC533BA}"/>
                </c:ext>
              </c:extLst>
            </c:dLbl>
            <c:dLbl>
              <c:idx val="3"/>
              <c:layout>
                <c:manualLayout>
                  <c:x val="1.9093076366918312E-2"/>
                  <c:y val="-3.33333333333333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D21-4126-9630-D5A2DAC533B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('FLUJO EC'!$B$83,'FLUJO EC'!$B$89,'FLUJO EC'!$B$93,'FLUJO EC'!$B$99)</c:f>
              <c:strCache>
                <c:ptCount val="4"/>
                <c:pt idx="0">
                  <c:v>Obtención de materias primas y producción de bienes de consumo</c:v>
                </c:pt>
                <c:pt idx="1">
                  <c:v>Recolección y transporte de RSUOR hasta su sitio D.F.</c:v>
                </c:pt>
                <c:pt idx="2">
                  <c:v>Fin de vida RSUOR aprovechados</c:v>
                </c:pt>
                <c:pt idx="3">
                  <c:v>Fin de vida de RSUOR no aprovechados</c:v>
                </c:pt>
              </c:strCache>
            </c:strRef>
          </c:cat>
          <c:val>
            <c:numRef>
              <c:f>('FLUJO EC'!$G$83,'FLUJO EC'!$G$89,'FLUJO EC'!$G$93,'FLUJO EC'!$G$99)</c:f>
              <c:numCache>
                <c:formatCode>_-* #,##0.0\ _€_-;\-* #,##0.0\ _€_-;_-* "-"??\ _€_-;_-@_-</c:formatCode>
                <c:ptCount val="4"/>
                <c:pt idx="0">
                  <c:v>299778.91618922271</c:v>
                </c:pt>
                <c:pt idx="1">
                  <c:v>660.2075593851464</c:v>
                </c:pt>
                <c:pt idx="2">
                  <c:v>-51145.589935440003</c:v>
                </c:pt>
                <c:pt idx="3">
                  <c:v>95272.877841456066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D21-4126-9630-D5A2DAC533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33242424"/>
        <c:axId val="533244344"/>
        <c:axId val="56201282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solidFill>
                    <a:schemeClr val="accent1"/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('FLUJO EC'!$B$83,'FLUJO EC'!$B$89,'FLUJO EC'!$B$93,'FLUJO EC'!$B$99)</c15:sqref>
                        </c15:formulaRef>
                      </c:ext>
                    </c:extLst>
                    <c:strCache>
                      <c:ptCount val="4"/>
                      <c:pt idx="0">
                        <c:v>Obtención de materias primas y producción de bienes de consumo</c:v>
                      </c:pt>
                      <c:pt idx="1">
                        <c:v>Recolección y transporte de RSUOR hasta su sitio D.F.</c:v>
                      </c:pt>
                      <c:pt idx="2">
                        <c:v>Fin de vida RSUOR aprovechados</c:v>
                      </c:pt>
                      <c:pt idx="3">
                        <c:v>Fin de vida de RSUOR no aprovechados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('FLUJO EC'!$C$83,'FLUJO EC'!$C$89,'FLUJO EC'!$C$93,'FLUJO EC'!$C$99)</c15:sqref>
                        </c15:formulaRef>
                      </c:ext>
                    </c:extLst>
                    <c:numCache>
                      <c:formatCode>General</c:formatCode>
                      <c:ptCount val="4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ED21-4126-9630-D5A2DAC533BA}"/>
                  </c:ext>
                </c:extLst>
              </c15:ser>
            </c15:filteredBarSeries>
            <c15:filteredBarSeries>
              <c15:ser>
                <c:idx val="1"/>
                <c:order val="1"/>
                <c:spPr>
                  <a:solidFill>
                    <a:schemeClr val="accent2"/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('FLUJO EC'!$B$83,'FLUJO EC'!$B$89,'FLUJO EC'!$B$93,'FLUJO EC'!$B$99)</c15:sqref>
                        </c15:formulaRef>
                      </c:ext>
                    </c:extLst>
                    <c:strCache>
                      <c:ptCount val="4"/>
                      <c:pt idx="0">
                        <c:v>Obtención de materias primas y producción de bienes de consumo</c:v>
                      </c:pt>
                      <c:pt idx="1">
                        <c:v>Recolección y transporte de RSUOR hasta su sitio D.F.</c:v>
                      </c:pt>
                      <c:pt idx="2">
                        <c:v>Fin de vida RSUOR aprovechados</c:v>
                      </c:pt>
                      <c:pt idx="3">
                        <c:v>Fin de vida de RSUOR no aprovechados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('FLUJO EC'!$D$83,'FLUJO EC'!$D$89,'FLUJO EC'!$D$93,'FLUJO EC'!$D$99)</c15:sqref>
                        </c15:formulaRef>
                      </c:ext>
                    </c:extLst>
                    <c:numCache>
                      <c:formatCode>General</c:formatCode>
                      <c:ptCount val="4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ED21-4126-9630-D5A2DAC533BA}"/>
                  </c:ext>
                </c:extLst>
              </c15:ser>
            </c15:filteredBarSeries>
            <c15:filteredBarSeries>
              <c15:ser>
                <c:idx val="2"/>
                <c:order val="2"/>
                <c:spPr>
                  <a:solidFill>
                    <a:schemeClr val="accent3"/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('FLUJO EC'!$B$83,'FLUJO EC'!$B$89,'FLUJO EC'!$B$93,'FLUJO EC'!$B$99)</c15:sqref>
                        </c15:formulaRef>
                      </c:ext>
                    </c:extLst>
                    <c:strCache>
                      <c:ptCount val="4"/>
                      <c:pt idx="0">
                        <c:v>Obtención de materias primas y producción de bienes de consumo</c:v>
                      </c:pt>
                      <c:pt idx="1">
                        <c:v>Recolección y transporte de RSUOR hasta su sitio D.F.</c:v>
                      </c:pt>
                      <c:pt idx="2">
                        <c:v>Fin de vida RSUOR aprovechados</c:v>
                      </c:pt>
                      <c:pt idx="3">
                        <c:v>Fin de vida de RSUOR no aprovechados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('FLUJO EC'!$E$83,'FLUJO EC'!$E$89,'FLUJO EC'!$E$93,'FLUJO EC'!$E$99)</c15:sqref>
                        </c15:formulaRef>
                      </c:ext>
                    </c:extLst>
                    <c:numCache>
                      <c:formatCode>General</c:formatCode>
                      <c:ptCount val="4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ED21-4126-9630-D5A2DAC533BA}"/>
                  </c:ext>
                </c:extLst>
              </c15:ser>
            </c15:filteredBarSeries>
            <c15:filteredBarSeries>
              <c15:ser>
                <c:idx val="3"/>
                <c:order val="3"/>
                <c:spPr>
                  <a:solidFill>
                    <a:schemeClr val="accent4"/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('FLUJO EC'!$B$83,'FLUJO EC'!$B$89,'FLUJO EC'!$B$93,'FLUJO EC'!$B$99)</c15:sqref>
                        </c15:formulaRef>
                      </c:ext>
                    </c:extLst>
                    <c:strCache>
                      <c:ptCount val="4"/>
                      <c:pt idx="0">
                        <c:v>Obtención de materias primas y producción de bienes de consumo</c:v>
                      </c:pt>
                      <c:pt idx="1">
                        <c:v>Recolección y transporte de RSUOR hasta su sitio D.F.</c:v>
                      </c:pt>
                      <c:pt idx="2">
                        <c:v>Fin de vida RSUOR aprovechados</c:v>
                      </c:pt>
                      <c:pt idx="3">
                        <c:v>Fin de vida de RSUOR no aprovechados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('FLUJO EC'!$F$83,'FLUJO EC'!$F$89,'FLUJO EC'!$F$93,'FLUJO EC'!$F$99)</c15:sqref>
                        </c15:formulaRef>
                      </c:ext>
                    </c:extLst>
                    <c:numCache>
                      <c:formatCode>General</c:formatCode>
                      <c:ptCount val="4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ED21-4126-9630-D5A2DAC533BA}"/>
                  </c:ext>
                </c:extLst>
              </c15:ser>
            </c15:filteredBarSeries>
            <c15:filteredBarSeries>
              <c15:ser>
                <c:idx val="5"/>
                <c:order val="5"/>
                <c:spPr>
                  <a:solidFill>
                    <a:schemeClr val="accent6"/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('FLUJO EC'!$B$83,'FLUJO EC'!$B$89,'FLUJO EC'!$B$93,'FLUJO EC'!$B$99)</c15:sqref>
                        </c15:formulaRef>
                      </c:ext>
                    </c:extLst>
                    <c:strCache>
                      <c:ptCount val="4"/>
                      <c:pt idx="0">
                        <c:v>Obtención de materias primas y producción de bienes de consumo</c:v>
                      </c:pt>
                      <c:pt idx="1">
                        <c:v>Recolección y transporte de RSUOR hasta su sitio D.F.</c:v>
                      </c:pt>
                      <c:pt idx="2">
                        <c:v>Fin de vida RSUOR aprovechados</c:v>
                      </c:pt>
                      <c:pt idx="3">
                        <c:v>Fin de vida de RSUOR no aprovechados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('FLUJO EC'!$H$83,'FLUJO EC'!$H$89,'FLUJO EC'!$H$93,'FLUJO EC'!$H$99)</c15:sqref>
                        </c15:formulaRef>
                      </c:ext>
                    </c:extLst>
                    <c:numCache>
                      <c:formatCode>_-* #,##0.0\ _€_-;\-* #,##0.0\ _€_-;_-* "-"??\ _€_-;_-@_-</c:formatCode>
                      <c:ptCount val="4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ED21-4126-9630-D5A2DAC533BA}"/>
                  </c:ext>
                </c:extLst>
              </c15:ser>
            </c15:filteredBarSeries>
          </c:ext>
        </c:extLst>
      </c:bar3DChart>
      <c:catAx>
        <c:axId val="533242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33244344"/>
        <c:crosses val="autoZero"/>
        <c:auto val="1"/>
        <c:lblAlgn val="ctr"/>
        <c:lblOffset val="100"/>
        <c:noMultiLvlLbl val="0"/>
      </c:catAx>
      <c:valAx>
        <c:axId val="533244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.0\ _€_-;\-* #,##0.0\ _€_-;_-* &quot;-&quot;??\ _€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33242424"/>
        <c:crosses val="autoZero"/>
        <c:crossBetween val="between"/>
      </c:valAx>
      <c:serAx>
        <c:axId val="562012824"/>
        <c:scaling>
          <c:orientation val="minMax"/>
        </c:scaling>
        <c:delete val="1"/>
        <c:axPos val="b"/>
        <c:majorTickMark val="none"/>
        <c:minorTickMark val="none"/>
        <c:tickLblPos val="nextTo"/>
        <c:crossAx val="533244344"/>
        <c:crosses val="autoZero"/>
      </c:ser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3175</xdr:colOff>
      <xdr:row>39</xdr:row>
      <xdr:rowOff>12700</xdr:rowOff>
    </xdr:from>
    <xdr:to>
      <xdr:col>3</xdr:col>
      <xdr:colOff>6350</xdr:colOff>
      <xdr:row>39</xdr:row>
      <xdr:rowOff>14288</xdr:rowOff>
    </xdr:to>
    <xdr:cxnSp macro="">
      <xdr:nvCxnSpPr>
        <xdr:cNvPr id="2" name="24 Conector recto de flecha">
          <a:extLst>
            <a:ext uri="{FF2B5EF4-FFF2-40B4-BE49-F238E27FC236}">
              <a16:creationId xmlns:a16="http://schemas.microsoft.com/office/drawing/2014/main" id="{0EC2CA66-A25F-45EF-8065-78173A1F8E72}"/>
            </a:ext>
          </a:extLst>
        </xdr:cNvPr>
        <xdr:cNvCxnSpPr/>
      </xdr:nvCxnSpPr>
      <xdr:spPr>
        <a:xfrm>
          <a:off x="765175" y="8470900"/>
          <a:ext cx="2187575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9525</xdr:colOff>
      <xdr:row>39</xdr:row>
      <xdr:rowOff>0</xdr:rowOff>
    </xdr:from>
    <xdr:to>
      <xdr:col>10</xdr:col>
      <xdr:colOff>0</xdr:colOff>
      <xdr:row>39</xdr:row>
      <xdr:rowOff>1588</xdr:rowOff>
    </xdr:to>
    <xdr:cxnSp macro="">
      <xdr:nvCxnSpPr>
        <xdr:cNvPr id="3" name="25 Conector recto de flecha">
          <a:extLst>
            <a:ext uri="{FF2B5EF4-FFF2-40B4-BE49-F238E27FC236}">
              <a16:creationId xmlns:a16="http://schemas.microsoft.com/office/drawing/2014/main" id="{C4AE65ED-3D2F-4BEB-8BDF-E9223FEB0612}"/>
            </a:ext>
          </a:extLst>
        </xdr:cNvPr>
        <xdr:cNvCxnSpPr/>
      </xdr:nvCxnSpPr>
      <xdr:spPr>
        <a:xfrm>
          <a:off x="7324725" y="7366000"/>
          <a:ext cx="4460875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9525</xdr:colOff>
      <xdr:row>40</xdr:row>
      <xdr:rowOff>0</xdr:rowOff>
    </xdr:from>
    <xdr:to>
      <xdr:col>10</xdr:col>
      <xdr:colOff>0</xdr:colOff>
      <xdr:row>40</xdr:row>
      <xdr:rowOff>1588</xdr:rowOff>
    </xdr:to>
    <xdr:cxnSp macro="">
      <xdr:nvCxnSpPr>
        <xdr:cNvPr id="4" name="26 Conector recto de flecha">
          <a:extLst>
            <a:ext uri="{FF2B5EF4-FFF2-40B4-BE49-F238E27FC236}">
              <a16:creationId xmlns:a16="http://schemas.microsoft.com/office/drawing/2014/main" id="{C1CE4499-3E3F-470E-A51A-13345889B863}"/>
            </a:ext>
          </a:extLst>
        </xdr:cNvPr>
        <xdr:cNvCxnSpPr/>
      </xdr:nvCxnSpPr>
      <xdr:spPr>
        <a:xfrm>
          <a:off x="6791325" y="4845050"/>
          <a:ext cx="6365875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41</xdr:row>
      <xdr:rowOff>12887</xdr:rowOff>
    </xdr:from>
    <xdr:to>
      <xdr:col>9</xdr:col>
      <xdr:colOff>1390650</xdr:colOff>
      <xdr:row>41</xdr:row>
      <xdr:rowOff>14475</xdr:rowOff>
    </xdr:to>
    <xdr:cxnSp macro="">
      <xdr:nvCxnSpPr>
        <xdr:cNvPr id="5" name="27 Conector recto de flecha">
          <a:extLst>
            <a:ext uri="{FF2B5EF4-FFF2-40B4-BE49-F238E27FC236}">
              <a16:creationId xmlns:a16="http://schemas.microsoft.com/office/drawing/2014/main" id="{A3A332B1-42FC-4A6D-9CDD-A4DD43FDDE24}"/>
            </a:ext>
          </a:extLst>
        </xdr:cNvPr>
        <xdr:cNvCxnSpPr/>
      </xdr:nvCxnSpPr>
      <xdr:spPr>
        <a:xfrm>
          <a:off x="6781800" y="5048437"/>
          <a:ext cx="6369050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9525</xdr:colOff>
      <xdr:row>42</xdr:row>
      <xdr:rowOff>0</xdr:rowOff>
    </xdr:from>
    <xdr:to>
      <xdr:col>10</xdr:col>
      <xdr:colOff>0</xdr:colOff>
      <xdr:row>42</xdr:row>
      <xdr:rowOff>1588</xdr:rowOff>
    </xdr:to>
    <xdr:cxnSp macro="">
      <xdr:nvCxnSpPr>
        <xdr:cNvPr id="6" name="28 Conector recto de flecha">
          <a:extLst>
            <a:ext uri="{FF2B5EF4-FFF2-40B4-BE49-F238E27FC236}">
              <a16:creationId xmlns:a16="http://schemas.microsoft.com/office/drawing/2014/main" id="{5D1CDA96-91D1-45DD-97A0-DE0B55E191ED}"/>
            </a:ext>
          </a:extLst>
        </xdr:cNvPr>
        <xdr:cNvCxnSpPr/>
      </xdr:nvCxnSpPr>
      <xdr:spPr>
        <a:xfrm>
          <a:off x="6791325" y="5226050"/>
          <a:ext cx="6365875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9525</xdr:colOff>
      <xdr:row>43</xdr:row>
      <xdr:rowOff>4058</xdr:rowOff>
    </xdr:from>
    <xdr:to>
      <xdr:col>10</xdr:col>
      <xdr:colOff>0</xdr:colOff>
      <xdr:row>43</xdr:row>
      <xdr:rowOff>5646</xdr:rowOff>
    </xdr:to>
    <xdr:cxnSp macro="">
      <xdr:nvCxnSpPr>
        <xdr:cNvPr id="7" name="36 Conector recto de flecha">
          <a:extLst>
            <a:ext uri="{FF2B5EF4-FFF2-40B4-BE49-F238E27FC236}">
              <a16:creationId xmlns:a16="http://schemas.microsoft.com/office/drawing/2014/main" id="{4A7D3136-F72B-4DE9-86B8-C8378D0742C7}"/>
            </a:ext>
          </a:extLst>
        </xdr:cNvPr>
        <xdr:cNvCxnSpPr/>
      </xdr:nvCxnSpPr>
      <xdr:spPr>
        <a:xfrm>
          <a:off x="6791325" y="5420608"/>
          <a:ext cx="6365875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6350</xdr:colOff>
      <xdr:row>47</xdr:row>
      <xdr:rowOff>0</xdr:rowOff>
    </xdr:from>
    <xdr:to>
      <xdr:col>3</xdr:col>
      <xdr:colOff>0</xdr:colOff>
      <xdr:row>47</xdr:row>
      <xdr:rowOff>1588</xdr:rowOff>
    </xdr:to>
    <xdr:cxnSp macro="">
      <xdr:nvCxnSpPr>
        <xdr:cNvPr id="11" name="24 Conector recto de flecha">
          <a:extLst>
            <a:ext uri="{FF2B5EF4-FFF2-40B4-BE49-F238E27FC236}">
              <a16:creationId xmlns:a16="http://schemas.microsoft.com/office/drawing/2014/main" id="{651A3C83-246F-4B5F-A97E-CBAE257E2CFC}"/>
            </a:ext>
          </a:extLst>
        </xdr:cNvPr>
        <xdr:cNvCxnSpPr/>
      </xdr:nvCxnSpPr>
      <xdr:spPr>
        <a:xfrm>
          <a:off x="768350" y="10445750"/>
          <a:ext cx="2178050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46</xdr:row>
      <xdr:rowOff>165100</xdr:rowOff>
    </xdr:from>
    <xdr:to>
      <xdr:col>9</xdr:col>
      <xdr:colOff>752475</xdr:colOff>
      <xdr:row>46</xdr:row>
      <xdr:rowOff>166688</xdr:rowOff>
    </xdr:to>
    <xdr:cxnSp macro="">
      <xdr:nvCxnSpPr>
        <xdr:cNvPr id="14" name="25 Conector recto de flecha">
          <a:extLst>
            <a:ext uri="{FF2B5EF4-FFF2-40B4-BE49-F238E27FC236}">
              <a16:creationId xmlns:a16="http://schemas.microsoft.com/office/drawing/2014/main" id="{E03ED9B4-251C-47A5-B85D-B36200013109}"/>
            </a:ext>
          </a:extLst>
        </xdr:cNvPr>
        <xdr:cNvCxnSpPr/>
      </xdr:nvCxnSpPr>
      <xdr:spPr>
        <a:xfrm>
          <a:off x="5130800" y="9918700"/>
          <a:ext cx="5121275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47</xdr:row>
      <xdr:rowOff>171450</xdr:rowOff>
    </xdr:from>
    <xdr:to>
      <xdr:col>9</xdr:col>
      <xdr:colOff>752475</xdr:colOff>
      <xdr:row>47</xdr:row>
      <xdr:rowOff>173038</xdr:rowOff>
    </xdr:to>
    <xdr:cxnSp macro="">
      <xdr:nvCxnSpPr>
        <xdr:cNvPr id="15" name="25 Conector recto de flecha">
          <a:extLst>
            <a:ext uri="{FF2B5EF4-FFF2-40B4-BE49-F238E27FC236}">
              <a16:creationId xmlns:a16="http://schemas.microsoft.com/office/drawing/2014/main" id="{AF34B3A9-9488-4B7E-BF0A-FFDEECE11A3E}"/>
            </a:ext>
          </a:extLst>
        </xdr:cNvPr>
        <xdr:cNvCxnSpPr/>
      </xdr:nvCxnSpPr>
      <xdr:spPr>
        <a:xfrm>
          <a:off x="5130800" y="10109200"/>
          <a:ext cx="5121275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48</xdr:row>
      <xdr:rowOff>165100</xdr:rowOff>
    </xdr:from>
    <xdr:to>
      <xdr:col>9</xdr:col>
      <xdr:colOff>752475</xdr:colOff>
      <xdr:row>48</xdr:row>
      <xdr:rowOff>166688</xdr:rowOff>
    </xdr:to>
    <xdr:cxnSp macro="">
      <xdr:nvCxnSpPr>
        <xdr:cNvPr id="16" name="25 Conector recto de flecha">
          <a:extLst>
            <a:ext uri="{FF2B5EF4-FFF2-40B4-BE49-F238E27FC236}">
              <a16:creationId xmlns:a16="http://schemas.microsoft.com/office/drawing/2014/main" id="{495EAED0-4ED5-404E-8763-FC483413C695}"/>
            </a:ext>
          </a:extLst>
        </xdr:cNvPr>
        <xdr:cNvCxnSpPr/>
      </xdr:nvCxnSpPr>
      <xdr:spPr>
        <a:xfrm>
          <a:off x="5130800" y="10287000"/>
          <a:ext cx="5121275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6350</xdr:colOff>
      <xdr:row>55</xdr:row>
      <xdr:rowOff>19050</xdr:rowOff>
    </xdr:from>
    <xdr:to>
      <xdr:col>3</xdr:col>
      <xdr:colOff>0</xdr:colOff>
      <xdr:row>55</xdr:row>
      <xdr:rowOff>20638</xdr:rowOff>
    </xdr:to>
    <xdr:cxnSp macro="">
      <xdr:nvCxnSpPr>
        <xdr:cNvPr id="17" name="24 Conector recto de flecha">
          <a:extLst>
            <a:ext uri="{FF2B5EF4-FFF2-40B4-BE49-F238E27FC236}">
              <a16:creationId xmlns:a16="http://schemas.microsoft.com/office/drawing/2014/main" id="{2D66FA24-0820-43BB-967F-79B6AB555CCA}"/>
            </a:ext>
          </a:extLst>
        </xdr:cNvPr>
        <xdr:cNvCxnSpPr/>
      </xdr:nvCxnSpPr>
      <xdr:spPr>
        <a:xfrm>
          <a:off x="768350" y="12636500"/>
          <a:ext cx="2178050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52</xdr:row>
      <xdr:rowOff>165100</xdr:rowOff>
    </xdr:from>
    <xdr:to>
      <xdr:col>9</xdr:col>
      <xdr:colOff>752475</xdr:colOff>
      <xdr:row>52</xdr:row>
      <xdr:rowOff>166688</xdr:rowOff>
    </xdr:to>
    <xdr:cxnSp macro="">
      <xdr:nvCxnSpPr>
        <xdr:cNvPr id="18" name="25 Conector recto de flecha">
          <a:extLst>
            <a:ext uri="{FF2B5EF4-FFF2-40B4-BE49-F238E27FC236}">
              <a16:creationId xmlns:a16="http://schemas.microsoft.com/office/drawing/2014/main" id="{023B7EAC-5EC5-4581-ACC7-02B0CA002F57}"/>
            </a:ext>
          </a:extLst>
        </xdr:cNvPr>
        <xdr:cNvCxnSpPr/>
      </xdr:nvCxnSpPr>
      <xdr:spPr>
        <a:xfrm>
          <a:off x="5130800" y="10426700"/>
          <a:ext cx="5121275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56</xdr:row>
      <xdr:rowOff>171450</xdr:rowOff>
    </xdr:from>
    <xdr:to>
      <xdr:col>9</xdr:col>
      <xdr:colOff>752475</xdr:colOff>
      <xdr:row>56</xdr:row>
      <xdr:rowOff>173038</xdr:rowOff>
    </xdr:to>
    <xdr:cxnSp macro="">
      <xdr:nvCxnSpPr>
        <xdr:cNvPr id="19" name="25 Conector recto de flecha">
          <a:extLst>
            <a:ext uri="{FF2B5EF4-FFF2-40B4-BE49-F238E27FC236}">
              <a16:creationId xmlns:a16="http://schemas.microsoft.com/office/drawing/2014/main" id="{C54191B4-567A-4E72-BE90-E9AF948E31AB}"/>
            </a:ext>
          </a:extLst>
        </xdr:cNvPr>
        <xdr:cNvCxnSpPr/>
      </xdr:nvCxnSpPr>
      <xdr:spPr>
        <a:xfrm>
          <a:off x="5130800" y="10617200"/>
          <a:ext cx="5121275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57</xdr:row>
      <xdr:rowOff>165100</xdr:rowOff>
    </xdr:from>
    <xdr:to>
      <xdr:col>9</xdr:col>
      <xdr:colOff>752475</xdr:colOff>
      <xdr:row>57</xdr:row>
      <xdr:rowOff>166688</xdr:rowOff>
    </xdr:to>
    <xdr:cxnSp macro="">
      <xdr:nvCxnSpPr>
        <xdr:cNvPr id="20" name="25 Conector recto de flecha">
          <a:extLst>
            <a:ext uri="{FF2B5EF4-FFF2-40B4-BE49-F238E27FC236}">
              <a16:creationId xmlns:a16="http://schemas.microsoft.com/office/drawing/2014/main" id="{A1E94511-1EE4-4F56-8159-D0436E73959C}"/>
            </a:ext>
          </a:extLst>
        </xdr:cNvPr>
        <xdr:cNvCxnSpPr/>
      </xdr:nvCxnSpPr>
      <xdr:spPr>
        <a:xfrm>
          <a:off x="5130800" y="10795000"/>
          <a:ext cx="5121275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53</xdr:row>
      <xdr:rowOff>165100</xdr:rowOff>
    </xdr:from>
    <xdr:to>
      <xdr:col>9</xdr:col>
      <xdr:colOff>752475</xdr:colOff>
      <xdr:row>53</xdr:row>
      <xdr:rowOff>166688</xdr:rowOff>
    </xdr:to>
    <xdr:cxnSp macro="">
      <xdr:nvCxnSpPr>
        <xdr:cNvPr id="21" name="25 Conector recto de flecha">
          <a:extLst>
            <a:ext uri="{FF2B5EF4-FFF2-40B4-BE49-F238E27FC236}">
              <a16:creationId xmlns:a16="http://schemas.microsoft.com/office/drawing/2014/main" id="{5CE057EB-AF38-4069-9A48-52D48ED01F97}"/>
            </a:ext>
          </a:extLst>
        </xdr:cNvPr>
        <xdr:cNvCxnSpPr/>
      </xdr:nvCxnSpPr>
      <xdr:spPr>
        <a:xfrm>
          <a:off x="5130800" y="12414250"/>
          <a:ext cx="5121275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54</xdr:row>
      <xdr:rowOff>165100</xdr:rowOff>
    </xdr:from>
    <xdr:to>
      <xdr:col>9</xdr:col>
      <xdr:colOff>752475</xdr:colOff>
      <xdr:row>54</xdr:row>
      <xdr:rowOff>166688</xdr:rowOff>
    </xdr:to>
    <xdr:cxnSp macro="">
      <xdr:nvCxnSpPr>
        <xdr:cNvPr id="22" name="25 Conector recto de flecha">
          <a:extLst>
            <a:ext uri="{FF2B5EF4-FFF2-40B4-BE49-F238E27FC236}">
              <a16:creationId xmlns:a16="http://schemas.microsoft.com/office/drawing/2014/main" id="{706D4365-ABBA-414C-9B0E-30C32BD39D72}"/>
            </a:ext>
          </a:extLst>
        </xdr:cNvPr>
        <xdr:cNvCxnSpPr/>
      </xdr:nvCxnSpPr>
      <xdr:spPr>
        <a:xfrm>
          <a:off x="5130800" y="12598400"/>
          <a:ext cx="5121275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55</xdr:row>
      <xdr:rowOff>165100</xdr:rowOff>
    </xdr:from>
    <xdr:to>
      <xdr:col>9</xdr:col>
      <xdr:colOff>752475</xdr:colOff>
      <xdr:row>55</xdr:row>
      <xdr:rowOff>166688</xdr:rowOff>
    </xdr:to>
    <xdr:cxnSp macro="">
      <xdr:nvCxnSpPr>
        <xdr:cNvPr id="23" name="25 Conector recto de flecha">
          <a:extLst>
            <a:ext uri="{FF2B5EF4-FFF2-40B4-BE49-F238E27FC236}">
              <a16:creationId xmlns:a16="http://schemas.microsoft.com/office/drawing/2014/main" id="{BEA9842B-AB4C-4837-B702-3FD669314AAD}"/>
            </a:ext>
          </a:extLst>
        </xdr:cNvPr>
        <xdr:cNvCxnSpPr/>
      </xdr:nvCxnSpPr>
      <xdr:spPr>
        <a:xfrm>
          <a:off x="5130800" y="12782550"/>
          <a:ext cx="5121275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777874</xdr:colOff>
      <xdr:row>87</xdr:row>
      <xdr:rowOff>63500</xdr:rowOff>
    </xdr:from>
    <xdr:to>
      <xdr:col>8</xdr:col>
      <xdr:colOff>469900</xdr:colOff>
      <xdr:row>109</xdr:row>
      <xdr:rowOff>107950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9AA25B4A-EE40-4B66-AF5A-CA94BDB35DF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3175</xdr:colOff>
      <xdr:row>46</xdr:row>
      <xdr:rowOff>12700</xdr:rowOff>
    </xdr:from>
    <xdr:to>
      <xdr:col>3</xdr:col>
      <xdr:colOff>6350</xdr:colOff>
      <xdr:row>46</xdr:row>
      <xdr:rowOff>14288</xdr:rowOff>
    </xdr:to>
    <xdr:cxnSp macro="">
      <xdr:nvCxnSpPr>
        <xdr:cNvPr id="2" name="24 Conector recto de flecha">
          <a:extLst>
            <a:ext uri="{FF2B5EF4-FFF2-40B4-BE49-F238E27FC236}">
              <a16:creationId xmlns:a16="http://schemas.microsoft.com/office/drawing/2014/main" id="{95EFE7C1-D420-4913-9E78-D6F54706E75D}"/>
            </a:ext>
          </a:extLst>
        </xdr:cNvPr>
        <xdr:cNvCxnSpPr/>
      </xdr:nvCxnSpPr>
      <xdr:spPr>
        <a:xfrm>
          <a:off x="619125" y="7550150"/>
          <a:ext cx="2187575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9525</xdr:colOff>
      <xdr:row>46</xdr:row>
      <xdr:rowOff>0</xdr:rowOff>
    </xdr:from>
    <xdr:to>
      <xdr:col>10</xdr:col>
      <xdr:colOff>0</xdr:colOff>
      <xdr:row>46</xdr:row>
      <xdr:rowOff>1588</xdr:rowOff>
    </xdr:to>
    <xdr:cxnSp macro="">
      <xdr:nvCxnSpPr>
        <xdr:cNvPr id="3" name="25 Conector recto de flecha">
          <a:extLst>
            <a:ext uri="{FF2B5EF4-FFF2-40B4-BE49-F238E27FC236}">
              <a16:creationId xmlns:a16="http://schemas.microsoft.com/office/drawing/2014/main" id="{3E23B8E1-5D42-4874-B9E5-9C32B4359BA6}"/>
            </a:ext>
          </a:extLst>
        </xdr:cNvPr>
        <xdr:cNvCxnSpPr/>
      </xdr:nvCxnSpPr>
      <xdr:spPr>
        <a:xfrm>
          <a:off x="4994275" y="7537450"/>
          <a:ext cx="5121275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9525</xdr:colOff>
      <xdr:row>47</xdr:row>
      <xdr:rowOff>0</xdr:rowOff>
    </xdr:from>
    <xdr:to>
      <xdr:col>10</xdr:col>
      <xdr:colOff>0</xdr:colOff>
      <xdr:row>47</xdr:row>
      <xdr:rowOff>1588</xdr:rowOff>
    </xdr:to>
    <xdr:cxnSp macro="">
      <xdr:nvCxnSpPr>
        <xdr:cNvPr id="4" name="26 Conector recto de flecha">
          <a:extLst>
            <a:ext uri="{FF2B5EF4-FFF2-40B4-BE49-F238E27FC236}">
              <a16:creationId xmlns:a16="http://schemas.microsoft.com/office/drawing/2014/main" id="{42416B5C-CE59-4CCE-ACB1-F7847A5E4BF3}"/>
            </a:ext>
          </a:extLst>
        </xdr:cNvPr>
        <xdr:cNvCxnSpPr/>
      </xdr:nvCxnSpPr>
      <xdr:spPr>
        <a:xfrm>
          <a:off x="4994275" y="7721600"/>
          <a:ext cx="5121275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48</xdr:row>
      <xdr:rowOff>12887</xdr:rowOff>
    </xdr:from>
    <xdr:to>
      <xdr:col>9</xdr:col>
      <xdr:colOff>1390650</xdr:colOff>
      <xdr:row>48</xdr:row>
      <xdr:rowOff>14475</xdr:rowOff>
    </xdr:to>
    <xdr:cxnSp macro="">
      <xdr:nvCxnSpPr>
        <xdr:cNvPr id="5" name="27 Conector recto de flecha">
          <a:extLst>
            <a:ext uri="{FF2B5EF4-FFF2-40B4-BE49-F238E27FC236}">
              <a16:creationId xmlns:a16="http://schemas.microsoft.com/office/drawing/2014/main" id="{1345FA82-700D-4720-92B1-F430C2A83E39}"/>
            </a:ext>
          </a:extLst>
        </xdr:cNvPr>
        <xdr:cNvCxnSpPr/>
      </xdr:nvCxnSpPr>
      <xdr:spPr>
        <a:xfrm>
          <a:off x="4984750" y="7918637"/>
          <a:ext cx="5130800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9525</xdr:colOff>
      <xdr:row>49</xdr:row>
      <xdr:rowOff>0</xdr:rowOff>
    </xdr:from>
    <xdr:to>
      <xdr:col>10</xdr:col>
      <xdr:colOff>0</xdr:colOff>
      <xdr:row>49</xdr:row>
      <xdr:rowOff>1588</xdr:rowOff>
    </xdr:to>
    <xdr:cxnSp macro="">
      <xdr:nvCxnSpPr>
        <xdr:cNvPr id="6" name="28 Conector recto de flecha">
          <a:extLst>
            <a:ext uri="{FF2B5EF4-FFF2-40B4-BE49-F238E27FC236}">
              <a16:creationId xmlns:a16="http://schemas.microsoft.com/office/drawing/2014/main" id="{234E5C10-EA60-4EB6-A18E-BE985CF06821}"/>
            </a:ext>
          </a:extLst>
        </xdr:cNvPr>
        <xdr:cNvCxnSpPr/>
      </xdr:nvCxnSpPr>
      <xdr:spPr>
        <a:xfrm>
          <a:off x="4994275" y="8089900"/>
          <a:ext cx="5121275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9525</xdr:colOff>
      <xdr:row>50</xdr:row>
      <xdr:rowOff>4058</xdr:rowOff>
    </xdr:from>
    <xdr:to>
      <xdr:col>10</xdr:col>
      <xdr:colOff>0</xdr:colOff>
      <xdr:row>50</xdr:row>
      <xdr:rowOff>5646</xdr:rowOff>
    </xdr:to>
    <xdr:cxnSp macro="">
      <xdr:nvCxnSpPr>
        <xdr:cNvPr id="7" name="36 Conector recto de flecha">
          <a:extLst>
            <a:ext uri="{FF2B5EF4-FFF2-40B4-BE49-F238E27FC236}">
              <a16:creationId xmlns:a16="http://schemas.microsoft.com/office/drawing/2014/main" id="{B7CBB93A-7D50-4395-B28D-AC659D422D34}"/>
            </a:ext>
          </a:extLst>
        </xdr:cNvPr>
        <xdr:cNvCxnSpPr/>
      </xdr:nvCxnSpPr>
      <xdr:spPr>
        <a:xfrm>
          <a:off x="4994275" y="8278108"/>
          <a:ext cx="5121275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6350</xdr:colOff>
      <xdr:row>54</xdr:row>
      <xdr:rowOff>0</xdr:rowOff>
    </xdr:from>
    <xdr:to>
      <xdr:col>3</xdr:col>
      <xdr:colOff>0</xdr:colOff>
      <xdr:row>54</xdr:row>
      <xdr:rowOff>1588</xdr:rowOff>
    </xdr:to>
    <xdr:cxnSp macro="">
      <xdr:nvCxnSpPr>
        <xdr:cNvPr id="8" name="24 Conector recto de flecha">
          <a:extLst>
            <a:ext uri="{FF2B5EF4-FFF2-40B4-BE49-F238E27FC236}">
              <a16:creationId xmlns:a16="http://schemas.microsoft.com/office/drawing/2014/main" id="{FD93AD16-9A04-4751-BF32-3E0B0C51A91D}"/>
            </a:ext>
          </a:extLst>
        </xdr:cNvPr>
        <xdr:cNvCxnSpPr/>
      </xdr:nvCxnSpPr>
      <xdr:spPr>
        <a:xfrm>
          <a:off x="622300" y="9709150"/>
          <a:ext cx="2178050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53</xdr:row>
      <xdr:rowOff>165100</xdr:rowOff>
    </xdr:from>
    <xdr:to>
      <xdr:col>9</xdr:col>
      <xdr:colOff>752475</xdr:colOff>
      <xdr:row>53</xdr:row>
      <xdr:rowOff>166688</xdr:rowOff>
    </xdr:to>
    <xdr:cxnSp macro="">
      <xdr:nvCxnSpPr>
        <xdr:cNvPr id="9" name="25 Conector recto de flecha">
          <a:extLst>
            <a:ext uri="{FF2B5EF4-FFF2-40B4-BE49-F238E27FC236}">
              <a16:creationId xmlns:a16="http://schemas.microsoft.com/office/drawing/2014/main" id="{930AE488-6820-434B-AA76-197648AAD6F8}"/>
            </a:ext>
          </a:extLst>
        </xdr:cNvPr>
        <xdr:cNvCxnSpPr/>
      </xdr:nvCxnSpPr>
      <xdr:spPr>
        <a:xfrm>
          <a:off x="4984750" y="9690100"/>
          <a:ext cx="5121275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54</xdr:row>
      <xdr:rowOff>171450</xdr:rowOff>
    </xdr:from>
    <xdr:to>
      <xdr:col>9</xdr:col>
      <xdr:colOff>752475</xdr:colOff>
      <xdr:row>54</xdr:row>
      <xdr:rowOff>173038</xdr:rowOff>
    </xdr:to>
    <xdr:cxnSp macro="">
      <xdr:nvCxnSpPr>
        <xdr:cNvPr id="10" name="25 Conector recto de flecha">
          <a:extLst>
            <a:ext uri="{FF2B5EF4-FFF2-40B4-BE49-F238E27FC236}">
              <a16:creationId xmlns:a16="http://schemas.microsoft.com/office/drawing/2014/main" id="{9DA86B37-4867-431C-BC1B-03D868DFF4D2}"/>
            </a:ext>
          </a:extLst>
        </xdr:cNvPr>
        <xdr:cNvCxnSpPr/>
      </xdr:nvCxnSpPr>
      <xdr:spPr>
        <a:xfrm>
          <a:off x="4984750" y="9880600"/>
          <a:ext cx="5121275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55</xdr:row>
      <xdr:rowOff>165100</xdr:rowOff>
    </xdr:from>
    <xdr:to>
      <xdr:col>9</xdr:col>
      <xdr:colOff>752475</xdr:colOff>
      <xdr:row>55</xdr:row>
      <xdr:rowOff>166688</xdr:rowOff>
    </xdr:to>
    <xdr:cxnSp macro="">
      <xdr:nvCxnSpPr>
        <xdr:cNvPr id="11" name="25 Conector recto de flecha">
          <a:extLst>
            <a:ext uri="{FF2B5EF4-FFF2-40B4-BE49-F238E27FC236}">
              <a16:creationId xmlns:a16="http://schemas.microsoft.com/office/drawing/2014/main" id="{BD6CDAE8-4185-458B-8F0C-C1F28F02E4CC}"/>
            </a:ext>
          </a:extLst>
        </xdr:cNvPr>
        <xdr:cNvCxnSpPr/>
      </xdr:nvCxnSpPr>
      <xdr:spPr>
        <a:xfrm>
          <a:off x="4984750" y="10058400"/>
          <a:ext cx="5121275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6350</xdr:colOff>
      <xdr:row>70</xdr:row>
      <xdr:rowOff>19050</xdr:rowOff>
    </xdr:from>
    <xdr:to>
      <xdr:col>3</xdr:col>
      <xdr:colOff>0</xdr:colOff>
      <xdr:row>70</xdr:row>
      <xdr:rowOff>20638</xdr:rowOff>
    </xdr:to>
    <xdr:cxnSp macro="">
      <xdr:nvCxnSpPr>
        <xdr:cNvPr id="12" name="24 Conector recto de flecha">
          <a:extLst>
            <a:ext uri="{FF2B5EF4-FFF2-40B4-BE49-F238E27FC236}">
              <a16:creationId xmlns:a16="http://schemas.microsoft.com/office/drawing/2014/main" id="{C2D08D98-B391-4423-8521-24156C64EF9E}"/>
            </a:ext>
          </a:extLst>
        </xdr:cNvPr>
        <xdr:cNvCxnSpPr/>
      </xdr:nvCxnSpPr>
      <xdr:spPr>
        <a:xfrm>
          <a:off x="622300" y="11899900"/>
          <a:ext cx="2178050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67</xdr:row>
      <xdr:rowOff>165100</xdr:rowOff>
    </xdr:from>
    <xdr:to>
      <xdr:col>9</xdr:col>
      <xdr:colOff>752475</xdr:colOff>
      <xdr:row>67</xdr:row>
      <xdr:rowOff>166688</xdr:rowOff>
    </xdr:to>
    <xdr:cxnSp macro="">
      <xdr:nvCxnSpPr>
        <xdr:cNvPr id="13" name="25 Conector recto de flecha">
          <a:extLst>
            <a:ext uri="{FF2B5EF4-FFF2-40B4-BE49-F238E27FC236}">
              <a16:creationId xmlns:a16="http://schemas.microsoft.com/office/drawing/2014/main" id="{B298D4B3-BF12-4296-90C3-7359BFB83DE1}"/>
            </a:ext>
          </a:extLst>
        </xdr:cNvPr>
        <xdr:cNvCxnSpPr/>
      </xdr:nvCxnSpPr>
      <xdr:spPr>
        <a:xfrm>
          <a:off x="4984750" y="11493500"/>
          <a:ext cx="5121275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71</xdr:row>
      <xdr:rowOff>171450</xdr:rowOff>
    </xdr:from>
    <xdr:to>
      <xdr:col>9</xdr:col>
      <xdr:colOff>752475</xdr:colOff>
      <xdr:row>71</xdr:row>
      <xdr:rowOff>173038</xdr:rowOff>
    </xdr:to>
    <xdr:cxnSp macro="">
      <xdr:nvCxnSpPr>
        <xdr:cNvPr id="14" name="25 Conector recto de flecha">
          <a:extLst>
            <a:ext uri="{FF2B5EF4-FFF2-40B4-BE49-F238E27FC236}">
              <a16:creationId xmlns:a16="http://schemas.microsoft.com/office/drawing/2014/main" id="{35C14A1A-94FD-4211-84DD-B5747A592768}"/>
            </a:ext>
          </a:extLst>
        </xdr:cNvPr>
        <xdr:cNvCxnSpPr/>
      </xdr:nvCxnSpPr>
      <xdr:spPr>
        <a:xfrm>
          <a:off x="4984750" y="12236450"/>
          <a:ext cx="5121275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72</xdr:row>
      <xdr:rowOff>165100</xdr:rowOff>
    </xdr:from>
    <xdr:to>
      <xdr:col>9</xdr:col>
      <xdr:colOff>752475</xdr:colOff>
      <xdr:row>72</xdr:row>
      <xdr:rowOff>166688</xdr:rowOff>
    </xdr:to>
    <xdr:cxnSp macro="">
      <xdr:nvCxnSpPr>
        <xdr:cNvPr id="15" name="25 Conector recto de flecha">
          <a:extLst>
            <a:ext uri="{FF2B5EF4-FFF2-40B4-BE49-F238E27FC236}">
              <a16:creationId xmlns:a16="http://schemas.microsoft.com/office/drawing/2014/main" id="{8B81DAE2-A572-4807-AE59-71FC0B632B74}"/>
            </a:ext>
          </a:extLst>
        </xdr:cNvPr>
        <xdr:cNvCxnSpPr/>
      </xdr:nvCxnSpPr>
      <xdr:spPr>
        <a:xfrm>
          <a:off x="4984750" y="12414250"/>
          <a:ext cx="5121275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68</xdr:row>
      <xdr:rowOff>165100</xdr:rowOff>
    </xdr:from>
    <xdr:to>
      <xdr:col>9</xdr:col>
      <xdr:colOff>752475</xdr:colOff>
      <xdr:row>68</xdr:row>
      <xdr:rowOff>166688</xdr:rowOff>
    </xdr:to>
    <xdr:cxnSp macro="">
      <xdr:nvCxnSpPr>
        <xdr:cNvPr id="16" name="25 Conector recto de flecha">
          <a:extLst>
            <a:ext uri="{FF2B5EF4-FFF2-40B4-BE49-F238E27FC236}">
              <a16:creationId xmlns:a16="http://schemas.microsoft.com/office/drawing/2014/main" id="{8A20C1FD-A5A8-45DD-9728-AD476B771198}"/>
            </a:ext>
          </a:extLst>
        </xdr:cNvPr>
        <xdr:cNvCxnSpPr/>
      </xdr:nvCxnSpPr>
      <xdr:spPr>
        <a:xfrm>
          <a:off x="4984750" y="11677650"/>
          <a:ext cx="5121275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69</xdr:row>
      <xdr:rowOff>165100</xdr:rowOff>
    </xdr:from>
    <xdr:to>
      <xdr:col>9</xdr:col>
      <xdr:colOff>752475</xdr:colOff>
      <xdr:row>69</xdr:row>
      <xdr:rowOff>166688</xdr:rowOff>
    </xdr:to>
    <xdr:cxnSp macro="">
      <xdr:nvCxnSpPr>
        <xdr:cNvPr id="17" name="25 Conector recto de flecha">
          <a:extLst>
            <a:ext uri="{FF2B5EF4-FFF2-40B4-BE49-F238E27FC236}">
              <a16:creationId xmlns:a16="http://schemas.microsoft.com/office/drawing/2014/main" id="{CD539405-CFDC-4D20-8752-48BEF69672B7}"/>
            </a:ext>
          </a:extLst>
        </xdr:cNvPr>
        <xdr:cNvCxnSpPr/>
      </xdr:nvCxnSpPr>
      <xdr:spPr>
        <a:xfrm>
          <a:off x="4984750" y="11861800"/>
          <a:ext cx="5121275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70</xdr:row>
      <xdr:rowOff>165100</xdr:rowOff>
    </xdr:from>
    <xdr:to>
      <xdr:col>9</xdr:col>
      <xdr:colOff>752475</xdr:colOff>
      <xdr:row>70</xdr:row>
      <xdr:rowOff>166688</xdr:rowOff>
    </xdr:to>
    <xdr:cxnSp macro="">
      <xdr:nvCxnSpPr>
        <xdr:cNvPr id="18" name="25 Conector recto de flecha">
          <a:extLst>
            <a:ext uri="{FF2B5EF4-FFF2-40B4-BE49-F238E27FC236}">
              <a16:creationId xmlns:a16="http://schemas.microsoft.com/office/drawing/2014/main" id="{5A24AB48-9111-4F3F-AD5F-8720B10F64DC}"/>
            </a:ext>
          </a:extLst>
        </xdr:cNvPr>
        <xdr:cNvCxnSpPr/>
      </xdr:nvCxnSpPr>
      <xdr:spPr>
        <a:xfrm>
          <a:off x="4984750" y="12045950"/>
          <a:ext cx="5121275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6350</xdr:colOff>
      <xdr:row>59</xdr:row>
      <xdr:rowOff>88900</xdr:rowOff>
    </xdr:from>
    <xdr:to>
      <xdr:col>3</xdr:col>
      <xdr:colOff>0</xdr:colOff>
      <xdr:row>59</xdr:row>
      <xdr:rowOff>90488</xdr:rowOff>
    </xdr:to>
    <xdr:cxnSp macro="">
      <xdr:nvCxnSpPr>
        <xdr:cNvPr id="20" name="24 Conector recto de flecha">
          <a:extLst>
            <a:ext uri="{FF2B5EF4-FFF2-40B4-BE49-F238E27FC236}">
              <a16:creationId xmlns:a16="http://schemas.microsoft.com/office/drawing/2014/main" id="{249D26A9-84B4-4495-B966-C3DD9D4E991B}"/>
            </a:ext>
          </a:extLst>
        </xdr:cNvPr>
        <xdr:cNvCxnSpPr/>
      </xdr:nvCxnSpPr>
      <xdr:spPr>
        <a:xfrm>
          <a:off x="622300" y="12706350"/>
          <a:ext cx="2178050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59</xdr:row>
      <xdr:rowOff>165100</xdr:rowOff>
    </xdr:from>
    <xdr:to>
      <xdr:col>9</xdr:col>
      <xdr:colOff>752475</xdr:colOff>
      <xdr:row>59</xdr:row>
      <xdr:rowOff>166688</xdr:rowOff>
    </xdr:to>
    <xdr:cxnSp macro="">
      <xdr:nvCxnSpPr>
        <xdr:cNvPr id="21" name="25 Conector recto de flecha">
          <a:extLst>
            <a:ext uri="{FF2B5EF4-FFF2-40B4-BE49-F238E27FC236}">
              <a16:creationId xmlns:a16="http://schemas.microsoft.com/office/drawing/2014/main" id="{3513A5E4-37AF-4217-9CFC-F940E0C34454}"/>
            </a:ext>
          </a:extLst>
        </xdr:cNvPr>
        <xdr:cNvCxnSpPr/>
      </xdr:nvCxnSpPr>
      <xdr:spPr>
        <a:xfrm>
          <a:off x="4984750" y="10979150"/>
          <a:ext cx="5121275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60</xdr:row>
      <xdr:rowOff>171450</xdr:rowOff>
    </xdr:from>
    <xdr:to>
      <xdr:col>9</xdr:col>
      <xdr:colOff>752475</xdr:colOff>
      <xdr:row>60</xdr:row>
      <xdr:rowOff>173038</xdr:rowOff>
    </xdr:to>
    <xdr:cxnSp macro="">
      <xdr:nvCxnSpPr>
        <xdr:cNvPr id="22" name="25 Conector recto de flecha">
          <a:extLst>
            <a:ext uri="{FF2B5EF4-FFF2-40B4-BE49-F238E27FC236}">
              <a16:creationId xmlns:a16="http://schemas.microsoft.com/office/drawing/2014/main" id="{A94E09A4-1107-48A9-8A20-4B7D4FF60F3E}"/>
            </a:ext>
          </a:extLst>
        </xdr:cNvPr>
        <xdr:cNvCxnSpPr/>
      </xdr:nvCxnSpPr>
      <xdr:spPr>
        <a:xfrm>
          <a:off x="4984750" y="11169650"/>
          <a:ext cx="5121275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63</xdr:row>
      <xdr:rowOff>165100</xdr:rowOff>
    </xdr:from>
    <xdr:to>
      <xdr:col>9</xdr:col>
      <xdr:colOff>752475</xdr:colOff>
      <xdr:row>63</xdr:row>
      <xdr:rowOff>166688</xdr:rowOff>
    </xdr:to>
    <xdr:cxnSp macro="">
      <xdr:nvCxnSpPr>
        <xdr:cNvPr id="23" name="25 Conector recto de flecha">
          <a:extLst>
            <a:ext uri="{FF2B5EF4-FFF2-40B4-BE49-F238E27FC236}">
              <a16:creationId xmlns:a16="http://schemas.microsoft.com/office/drawing/2014/main" id="{66E04AA2-1308-4566-98DF-7F61ADB3B1A9}"/>
            </a:ext>
          </a:extLst>
        </xdr:cNvPr>
        <xdr:cNvCxnSpPr/>
      </xdr:nvCxnSpPr>
      <xdr:spPr>
        <a:xfrm>
          <a:off x="4984750" y="11347450"/>
          <a:ext cx="5121275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62</xdr:row>
      <xdr:rowOff>0</xdr:rowOff>
    </xdr:from>
    <xdr:to>
      <xdr:col>9</xdr:col>
      <xdr:colOff>752475</xdr:colOff>
      <xdr:row>62</xdr:row>
      <xdr:rowOff>1588</xdr:rowOff>
    </xdr:to>
    <xdr:cxnSp macro="">
      <xdr:nvCxnSpPr>
        <xdr:cNvPr id="24" name="25 Conector recto de flecha">
          <a:extLst>
            <a:ext uri="{FF2B5EF4-FFF2-40B4-BE49-F238E27FC236}">
              <a16:creationId xmlns:a16="http://schemas.microsoft.com/office/drawing/2014/main" id="{7F42CDAB-32CC-4628-BB1D-E080C3A211AE}"/>
            </a:ext>
          </a:extLst>
        </xdr:cNvPr>
        <xdr:cNvCxnSpPr/>
      </xdr:nvCxnSpPr>
      <xdr:spPr>
        <a:xfrm>
          <a:off x="4984750" y="13169900"/>
          <a:ext cx="5419725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63</xdr:row>
      <xdr:rowOff>0</xdr:rowOff>
    </xdr:from>
    <xdr:to>
      <xdr:col>9</xdr:col>
      <xdr:colOff>752475</xdr:colOff>
      <xdr:row>63</xdr:row>
      <xdr:rowOff>1588</xdr:rowOff>
    </xdr:to>
    <xdr:cxnSp macro="">
      <xdr:nvCxnSpPr>
        <xdr:cNvPr id="25" name="25 Conector recto de flecha">
          <a:extLst>
            <a:ext uri="{FF2B5EF4-FFF2-40B4-BE49-F238E27FC236}">
              <a16:creationId xmlns:a16="http://schemas.microsoft.com/office/drawing/2014/main" id="{2A866749-288C-4199-B81F-52DAE5FEFFF5}"/>
            </a:ext>
          </a:extLst>
        </xdr:cNvPr>
        <xdr:cNvCxnSpPr/>
      </xdr:nvCxnSpPr>
      <xdr:spPr>
        <a:xfrm>
          <a:off x="4984750" y="13354050"/>
          <a:ext cx="5419725" cy="1588"/>
        </a:xfrm>
        <a:prstGeom prst="straightConnector1">
          <a:avLst/>
        </a:prstGeom>
        <a:ln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819149</xdr:colOff>
      <xdr:row>107</xdr:row>
      <xdr:rowOff>152400</xdr:rowOff>
    </xdr:from>
    <xdr:to>
      <xdr:col>7</xdr:col>
      <xdr:colOff>1079500</xdr:colOff>
      <xdr:row>132</xdr:row>
      <xdr:rowOff>107950</xdr:rowOff>
    </xdr:to>
    <xdr:graphicFrame macro="">
      <xdr:nvGraphicFramePr>
        <xdr:cNvPr id="27" name="Gráfico 26">
          <a:extLst>
            <a:ext uri="{FF2B5EF4-FFF2-40B4-BE49-F238E27FC236}">
              <a16:creationId xmlns:a16="http://schemas.microsoft.com/office/drawing/2014/main" id="{18139A93-FB30-49C5-9D20-B3BEDEA10D2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E4A524-C0EC-4E63-8665-493F32D69B4B}">
  <dimension ref="B2:K85"/>
  <sheetViews>
    <sheetView tabSelected="1" workbookViewId="0">
      <selection activeCell="B28" sqref="B28:E28"/>
    </sheetView>
  </sheetViews>
  <sheetFormatPr baseColWidth="10" defaultRowHeight="14.5" x14ac:dyDescent="0.35"/>
  <cols>
    <col min="1" max="1" width="8.81640625" style="4" customWidth="1"/>
    <col min="2" max="9" width="15.6328125" style="4" customWidth="1"/>
    <col min="10" max="16384" width="10.90625" style="4"/>
  </cols>
  <sheetData>
    <row r="2" spans="2:9" x14ac:dyDescent="0.35">
      <c r="B2" s="118" t="s">
        <v>138</v>
      </c>
      <c r="C2" s="118"/>
      <c r="D2" s="118"/>
      <c r="E2" s="118"/>
      <c r="F2" s="118"/>
      <c r="G2" s="118"/>
      <c r="H2" s="118"/>
      <c r="I2" s="118"/>
    </row>
    <row r="3" spans="2:9" x14ac:dyDescent="0.35">
      <c r="B3" s="119"/>
      <c r="C3" s="119"/>
      <c r="D3" s="119"/>
      <c r="E3" s="119"/>
      <c r="F3" s="119"/>
      <c r="G3" s="119"/>
      <c r="H3" s="119"/>
      <c r="I3" s="119"/>
    </row>
    <row r="4" spans="2:9" x14ac:dyDescent="0.35">
      <c r="B4" s="120" t="s">
        <v>0</v>
      </c>
      <c r="C4" s="121"/>
      <c r="D4" s="121"/>
      <c r="E4" s="121"/>
      <c r="F4" s="121"/>
      <c r="G4" s="121"/>
      <c r="H4" s="121"/>
      <c r="I4" s="122"/>
    </row>
    <row r="5" spans="2:9" x14ac:dyDescent="0.35">
      <c r="B5" s="88" t="s">
        <v>29</v>
      </c>
      <c r="C5" s="89"/>
      <c r="D5" s="89"/>
      <c r="E5" s="89"/>
      <c r="F5" s="89"/>
      <c r="G5" s="89"/>
      <c r="H5" s="89"/>
      <c r="I5" s="127"/>
    </row>
    <row r="7" spans="2:9" x14ac:dyDescent="0.35">
      <c r="B7" s="128" t="s">
        <v>2</v>
      </c>
      <c r="C7" s="129"/>
      <c r="D7" s="129"/>
      <c r="E7" s="129"/>
      <c r="F7" s="130"/>
      <c r="H7" s="5" t="s">
        <v>32</v>
      </c>
      <c r="I7" s="27">
        <v>2017</v>
      </c>
    </row>
    <row r="8" spans="2:9" x14ac:dyDescent="0.35">
      <c r="B8" s="81" t="s">
        <v>3</v>
      </c>
      <c r="C8" s="82"/>
      <c r="D8" s="82"/>
      <c r="E8" s="82"/>
      <c r="F8" s="131"/>
    </row>
    <row r="9" spans="2:9" x14ac:dyDescent="0.35">
      <c r="B9" s="81" t="s">
        <v>4</v>
      </c>
      <c r="C9" s="82"/>
      <c r="D9" s="82"/>
      <c r="E9" s="82"/>
      <c r="F9" s="131"/>
    </row>
    <row r="10" spans="2:9" x14ac:dyDescent="0.35">
      <c r="B10" s="81" t="s">
        <v>5</v>
      </c>
      <c r="C10" s="82"/>
      <c r="D10" s="82"/>
      <c r="E10" s="82"/>
      <c r="F10" s="131"/>
    </row>
    <row r="11" spans="2:9" x14ac:dyDescent="0.35">
      <c r="B11" s="88" t="s">
        <v>6</v>
      </c>
      <c r="C11" s="89"/>
      <c r="D11" s="89"/>
      <c r="E11" s="89"/>
      <c r="F11" s="127"/>
    </row>
    <row r="13" spans="2:9" x14ac:dyDescent="0.35">
      <c r="B13" s="132" t="s">
        <v>30</v>
      </c>
      <c r="C13" s="132"/>
      <c r="D13" s="132"/>
      <c r="E13" s="6" t="s">
        <v>32</v>
      </c>
    </row>
    <row r="14" spans="2:9" x14ac:dyDescent="0.35">
      <c r="B14" s="115" t="s">
        <v>33</v>
      </c>
      <c r="C14" s="115"/>
      <c r="D14" s="115"/>
      <c r="E14" s="28">
        <v>155826</v>
      </c>
    </row>
    <row r="15" spans="2:9" x14ac:dyDescent="0.35">
      <c r="B15" s="115" t="s">
        <v>34</v>
      </c>
      <c r="C15" s="115"/>
      <c r="D15" s="115"/>
      <c r="E15" s="29">
        <v>0.65</v>
      </c>
    </row>
    <row r="16" spans="2:9" x14ac:dyDescent="0.35">
      <c r="B16" s="126" t="s">
        <v>31</v>
      </c>
      <c r="C16" s="126"/>
      <c r="D16" s="126"/>
      <c r="E16" s="8">
        <f>E14*E15</f>
        <v>101286.90000000001</v>
      </c>
    </row>
    <row r="18" spans="2:5" ht="14.5" customHeight="1" x14ac:dyDescent="0.35">
      <c r="B18" s="123" t="s">
        <v>35</v>
      </c>
      <c r="C18" s="124"/>
      <c r="D18" s="124"/>
    </row>
    <row r="19" spans="2:5" x14ac:dyDescent="0.35">
      <c r="B19" s="9" t="s">
        <v>14</v>
      </c>
      <c r="C19" s="9" t="s">
        <v>28</v>
      </c>
      <c r="D19" s="9" t="s">
        <v>54</v>
      </c>
    </row>
    <row r="20" spans="2:5" x14ac:dyDescent="0.35">
      <c r="B20" s="10" t="s">
        <v>22</v>
      </c>
      <c r="C20" s="30">
        <v>0.70550000000000002</v>
      </c>
      <c r="D20" s="7">
        <f>$E$16*C20</f>
        <v>71457.907950000008</v>
      </c>
    </row>
    <row r="21" spans="2:5" x14ac:dyDescent="0.35">
      <c r="B21" s="10" t="s">
        <v>23</v>
      </c>
      <c r="C21" s="30">
        <v>0.1118</v>
      </c>
      <c r="D21" s="7">
        <f t="shared" ref="D21:D25" si="0">$E$16*C21</f>
        <v>11323.87542</v>
      </c>
    </row>
    <row r="22" spans="2:5" x14ac:dyDescent="0.35">
      <c r="B22" s="10" t="s">
        <v>24</v>
      </c>
      <c r="C22" s="30">
        <v>0.1012</v>
      </c>
      <c r="D22" s="7">
        <f t="shared" si="0"/>
        <v>10250.234280000001</v>
      </c>
    </row>
    <row r="23" spans="2:5" x14ac:dyDescent="0.35">
      <c r="B23" s="10" t="s">
        <v>25</v>
      </c>
      <c r="C23" s="30">
        <v>3.7600000000000001E-2</v>
      </c>
      <c r="D23" s="7">
        <f t="shared" si="0"/>
        <v>3808.3874400000004</v>
      </c>
    </row>
    <row r="24" spans="2:5" x14ac:dyDescent="0.35">
      <c r="B24" s="10" t="s">
        <v>26</v>
      </c>
      <c r="C24" s="30">
        <v>1.1599999999999999E-2</v>
      </c>
      <c r="D24" s="7">
        <f t="shared" si="0"/>
        <v>1174.92804</v>
      </c>
    </row>
    <row r="25" spans="2:5" x14ac:dyDescent="0.35">
      <c r="B25" s="10" t="s">
        <v>27</v>
      </c>
      <c r="C25" s="30">
        <v>3.2300000000000002E-2</v>
      </c>
      <c r="D25" s="7">
        <f t="shared" si="0"/>
        <v>3271.5668700000006</v>
      </c>
    </row>
    <row r="26" spans="2:5" x14ac:dyDescent="0.35">
      <c r="B26" s="11" t="s">
        <v>36</v>
      </c>
      <c r="C26" s="12">
        <f>SUM(C20:C25)</f>
        <v>1</v>
      </c>
      <c r="D26" s="8">
        <f>SUM(D20:D25)</f>
        <v>101286.90000000001</v>
      </c>
    </row>
    <row r="27" spans="2:5" x14ac:dyDescent="0.35">
      <c r="B27" s="23"/>
      <c r="C27" s="24"/>
      <c r="D27" s="25"/>
    </row>
    <row r="28" spans="2:5" x14ac:dyDescent="0.35">
      <c r="B28" s="117" t="s">
        <v>68</v>
      </c>
      <c r="C28" s="117"/>
      <c r="D28" s="117"/>
      <c r="E28" s="117"/>
    </row>
    <row r="29" spans="2:5" x14ac:dyDescent="0.35">
      <c r="B29" s="113" t="s">
        <v>61</v>
      </c>
      <c r="C29" s="113"/>
      <c r="D29" s="113"/>
      <c r="E29" s="32">
        <v>14</v>
      </c>
    </row>
    <row r="30" spans="2:5" x14ac:dyDescent="0.35">
      <c r="B30" s="113" t="s">
        <v>62</v>
      </c>
      <c r="C30" s="113"/>
      <c r="D30" s="113"/>
      <c r="E30" s="32">
        <v>21</v>
      </c>
    </row>
    <row r="31" spans="2:5" x14ac:dyDescent="0.35">
      <c r="B31" s="114" t="s">
        <v>63</v>
      </c>
      <c r="C31" s="114"/>
      <c r="D31" s="114"/>
      <c r="E31" s="33">
        <f>E16/E29</f>
        <v>7234.7785714285719</v>
      </c>
    </row>
    <row r="32" spans="2:5" x14ac:dyDescent="0.35">
      <c r="B32" s="114" t="s">
        <v>64</v>
      </c>
      <c r="C32" s="114"/>
      <c r="D32" s="114"/>
      <c r="E32" s="33">
        <f>((E31*FACTORES!E12*FACTORES!E13)+(E31*E30))*2</f>
        <v>545212.91314285714</v>
      </c>
    </row>
    <row r="33" spans="2:11" x14ac:dyDescent="0.35">
      <c r="B33" s="114" t="s">
        <v>67</v>
      </c>
      <c r="C33" s="114"/>
      <c r="D33" s="114"/>
      <c r="E33" s="33">
        <f>E32/FACTORES!E14</f>
        <v>90868.818857142862</v>
      </c>
    </row>
    <row r="34" spans="2:11" x14ac:dyDescent="0.35">
      <c r="B34" s="23"/>
      <c r="C34" s="24"/>
      <c r="D34" s="25"/>
    </row>
    <row r="35" spans="2:11" x14ac:dyDescent="0.35">
      <c r="B35" s="23"/>
      <c r="C35" s="24"/>
      <c r="D35" s="25"/>
    </row>
    <row r="36" spans="2:11" x14ac:dyDescent="0.35">
      <c r="B36" s="116" t="s">
        <v>7</v>
      </c>
      <c r="C36" s="116"/>
      <c r="D36" s="116" t="s">
        <v>10</v>
      </c>
      <c r="E36" s="116"/>
      <c r="F36" s="116" t="s">
        <v>11</v>
      </c>
      <c r="G36" s="116"/>
      <c r="H36" s="19" t="s">
        <v>8</v>
      </c>
      <c r="I36" s="18" t="s">
        <v>9</v>
      </c>
      <c r="J36" s="18"/>
      <c r="K36" s="1"/>
    </row>
    <row r="37" spans="2:11" x14ac:dyDescent="0.35">
      <c r="B37" s="16"/>
      <c r="C37" s="16"/>
      <c r="D37" s="99"/>
      <c r="E37" s="99"/>
      <c r="F37" s="16"/>
      <c r="G37" s="16"/>
      <c r="H37" s="2"/>
      <c r="I37" s="17"/>
      <c r="J37" s="17"/>
      <c r="K37" s="1"/>
    </row>
    <row r="38" spans="2:11" ht="42.5" customHeight="1" x14ac:dyDescent="0.35">
      <c r="B38" s="99" t="s">
        <v>12</v>
      </c>
      <c r="C38" s="102"/>
      <c r="D38" s="103" t="s">
        <v>13</v>
      </c>
      <c r="E38" s="103"/>
      <c r="F38" s="99" t="s">
        <v>78</v>
      </c>
      <c r="G38" s="99"/>
      <c r="H38" s="26">
        <f>E16</f>
        <v>101286.90000000001</v>
      </c>
      <c r="I38" s="17" t="s">
        <v>1</v>
      </c>
      <c r="J38" s="17"/>
      <c r="K38" s="1"/>
    </row>
    <row r="39" spans="2:11" ht="14.5" customHeight="1" x14ac:dyDescent="0.35">
      <c r="B39" s="102"/>
      <c r="C39" s="102"/>
      <c r="D39" s="103"/>
      <c r="E39" s="103"/>
      <c r="F39" s="102" t="s">
        <v>15</v>
      </c>
      <c r="G39" s="102"/>
      <c r="H39" s="3">
        <f>$H$38*C20*FACTORES!C4</f>
        <v>58186.268899473027</v>
      </c>
      <c r="I39" s="84" t="s">
        <v>16</v>
      </c>
      <c r="J39" s="84"/>
      <c r="K39" s="1"/>
    </row>
    <row r="40" spans="2:11" ht="14.5" customHeight="1" x14ac:dyDescent="0.35">
      <c r="B40" s="102"/>
      <c r="C40" s="102"/>
      <c r="D40" s="103"/>
      <c r="E40" s="103"/>
      <c r="F40" s="102" t="s">
        <v>17</v>
      </c>
      <c r="G40" s="102"/>
      <c r="H40" s="3">
        <f>$H$38*C21*FACTORES!C5</f>
        <v>199980.1398675497</v>
      </c>
      <c r="I40" s="84" t="s">
        <v>16</v>
      </c>
      <c r="J40" s="84"/>
      <c r="K40" s="1"/>
    </row>
    <row r="41" spans="2:11" ht="14.5" customHeight="1" x14ac:dyDescent="0.35">
      <c r="B41" s="102"/>
      <c r="C41" s="102"/>
      <c r="D41" s="103"/>
      <c r="E41" s="103"/>
      <c r="F41" s="102" t="s">
        <v>18</v>
      </c>
      <c r="G41" s="102"/>
      <c r="H41" s="3">
        <f>$H$38*C22*FACTORES!C6</f>
        <v>27880.637241600005</v>
      </c>
      <c r="I41" s="84" t="s">
        <v>16</v>
      </c>
      <c r="J41" s="84"/>
      <c r="K41" s="1"/>
    </row>
    <row r="42" spans="2:11" ht="14.5" customHeight="1" x14ac:dyDescent="0.35">
      <c r="B42" s="102"/>
      <c r="C42" s="102"/>
      <c r="D42" s="103"/>
      <c r="E42" s="103"/>
      <c r="F42" s="102" t="s">
        <v>19</v>
      </c>
      <c r="G42" s="102"/>
      <c r="H42" s="3">
        <f>$H$38*C23*FACTORES!C7</f>
        <v>6664.6780200000012</v>
      </c>
      <c r="I42" s="84" t="s">
        <v>16</v>
      </c>
      <c r="J42" s="84"/>
      <c r="K42" s="1"/>
    </row>
    <row r="43" spans="2:11" ht="14.5" customHeight="1" x14ac:dyDescent="0.35">
      <c r="B43" s="102"/>
      <c r="C43" s="102"/>
      <c r="D43" s="103"/>
      <c r="E43" s="103"/>
      <c r="F43" s="102" t="s">
        <v>20</v>
      </c>
      <c r="G43" s="102"/>
      <c r="H43" s="3">
        <f>$H$38*C24*FACTORES!C8</f>
        <v>7067.1921606000005</v>
      </c>
      <c r="I43" s="84" t="s">
        <v>16</v>
      </c>
      <c r="J43" s="84"/>
      <c r="K43" s="1"/>
    </row>
    <row r="44" spans="2:11" ht="29.5" customHeight="1" x14ac:dyDescent="0.35">
      <c r="B44" s="102"/>
      <c r="C44" s="102"/>
      <c r="D44" s="103"/>
      <c r="E44" s="103"/>
      <c r="F44" s="104" t="s">
        <v>21</v>
      </c>
      <c r="G44" s="104"/>
      <c r="H44" s="2">
        <f>SUM(H39:H43)</f>
        <v>299778.91618922271</v>
      </c>
      <c r="I44" s="86" t="s">
        <v>16</v>
      </c>
      <c r="J44" s="86"/>
      <c r="K44" s="1"/>
    </row>
    <row r="45" spans="2:11" ht="24" customHeight="1" x14ac:dyDescent="0.35"/>
    <row r="46" spans="2:11" ht="45" customHeight="1" x14ac:dyDescent="0.35">
      <c r="D46" s="125" t="s">
        <v>66</v>
      </c>
      <c r="E46" s="125"/>
      <c r="F46" s="105" t="s">
        <v>55</v>
      </c>
      <c r="G46" s="106"/>
    </row>
    <row r="47" spans="2:11" ht="14.5" customHeight="1" x14ac:dyDescent="0.35">
      <c r="B47" s="108" t="s">
        <v>86</v>
      </c>
      <c r="C47" s="108"/>
      <c r="D47" s="125"/>
      <c r="E47" s="125"/>
      <c r="F47" s="111" t="s">
        <v>69</v>
      </c>
      <c r="G47" s="111"/>
      <c r="H47" s="35">
        <f>($E$33*FACTORES!C20*FACTORES!C21)/1000</f>
        <v>933.8134169854286</v>
      </c>
      <c r="I47" s="84" t="s">
        <v>16</v>
      </c>
      <c r="J47" s="84"/>
    </row>
    <row r="48" spans="2:11" ht="14.5" customHeight="1" x14ac:dyDescent="0.35">
      <c r="B48" s="108"/>
      <c r="C48" s="108"/>
      <c r="D48" s="125"/>
      <c r="E48" s="125"/>
      <c r="F48" s="111" t="s">
        <v>93</v>
      </c>
      <c r="G48" s="111"/>
      <c r="H48" s="35">
        <f>($E$33*FACTORES!D20*FACTORES!D21)/1000</f>
        <v>9.4140096335999998E-2</v>
      </c>
      <c r="I48" s="84" t="s">
        <v>16</v>
      </c>
      <c r="J48" s="84"/>
    </row>
    <row r="49" spans="2:10" ht="14.5" customHeight="1" x14ac:dyDescent="0.35">
      <c r="B49" s="108"/>
      <c r="C49" s="108"/>
      <c r="D49" s="125"/>
      <c r="E49" s="125"/>
      <c r="F49" s="111" t="s">
        <v>94</v>
      </c>
      <c r="G49" s="111"/>
      <c r="H49" s="35">
        <f>($E$33*FACTORES!E20*FACTORES!E21)/1000</f>
        <v>0.89096876889428578</v>
      </c>
      <c r="I49" s="84" t="s">
        <v>16</v>
      </c>
      <c r="J49" s="84"/>
    </row>
    <row r="50" spans="2:10" ht="29.5" customHeight="1" x14ac:dyDescent="0.35">
      <c r="B50" s="108"/>
      <c r="C50" s="108"/>
      <c r="D50" s="125"/>
      <c r="E50" s="125"/>
      <c r="F50" s="104" t="s">
        <v>56</v>
      </c>
      <c r="G50" s="104"/>
      <c r="H50" s="36">
        <f>SUM(H47:H49)</f>
        <v>934.79852585065885</v>
      </c>
      <c r="I50" s="86" t="s">
        <v>16</v>
      </c>
      <c r="J50" s="86"/>
    </row>
    <row r="51" spans="2:10" ht="24" customHeight="1" x14ac:dyDescent="0.35"/>
    <row r="52" spans="2:10" ht="45" customHeight="1" x14ac:dyDescent="0.35">
      <c r="D52" s="107" t="s">
        <v>84</v>
      </c>
      <c r="E52" s="107"/>
      <c r="F52" s="105" t="s">
        <v>87</v>
      </c>
      <c r="G52" s="106"/>
    </row>
    <row r="53" spans="2:10" ht="14.5" customHeight="1" x14ac:dyDescent="0.35">
      <c r="B53" s="108" t="s">
        <v>85</v>
      </c>
      <c r="C53" s="109"/>
      <c r="D53" s="107"/>
      <c r="E53" s="107"/>
      <c r="F53" s="110" t="s">
        <v>88</v>
      </c>
      <c r="G53" s="111"/>
      <c r="H53" s="43">
        <f>(D20*FACTORES!E32*FACTORES!E33*FACTORES!E26*FACTORES!D21)/1000</f>
        <v>149661.44241048006</v>
      </c>
      <c r="I53" s="84" t="s">
        <v>16</v>
      </c>
      <c r="J53" s="84"/>
    </row>
    <row r="54" spans="2:10" x14ac:dyDescent="0.35">
      <c r="B54" s="108"/>
      <c r="C54" s="109"/>
      <c r="D54" s="107"/>
      <c r="E54" s="107"/>
      <c r="F54" s="110" t="s">
        <v>89</v>
      </c>
      <c r="G54" s="102"/>
      <c r="H54" s="43">
        <f>(D20*FACTORES!E28*FACTORES!E26*FACTORES!E27*FACTORES!D21)/1000</f>
        <v>40344.174695784968</v>
      </c>
      <c r="I54" s="84" t="s">
        <v>16</v>
      </c>
      <c r="J54" s="84"/>
    </row>
    <row r="55" spans="2:10" x14ac:dyDescent="0.35">
      <c r="B55" s="108"/>
      <c r="C55" s="109"/>
      <c r="D55" s="107"/>
      <c r="E55" s="107"/>
      <c r="F55" s="110" t="s">
        <v>90</v>
      </c>
      <c r="G55" s="102"/>
      <c r="H55" s="35">
        <f>(D26*FACTORES!E29*FACTORES!C20*FACTORES!C21)/1000</f>
        <v>567.64781896429542</v>
      </c>
      <c r="I55" s="84" t="s">
        <v>16</v>
      </c>
      <c r="J55" s="84"/>
    </row>
    <row r="56" spans="2:10" ht="14.5" customHeight="1" x14ac:dyDescent="0.35">
      <c r="B56" s="108"/>
      <c r="C56" s="109"/>
      <c r="D56" s="107"/>
      <c r="E56" s="107"/>
      <c r="F56" s="110" t="s">
        <v>91</v>
      </c>
      <c r="G56" s="102"/>
      <c r="H56" s="35">
        <f>(D26*FACTORES!E29*FACTORES!D20*FACTORES!D21)/1000</f>
        <v>5.722601473721696E-2</v>
      </c>
      <c r="I56" s="84" t="s">
        <v>16</v>
      </c>
      <c r="J56" s="84"/>
    </row>
    <row r="57" spans="2:10" ht="14.5" customHeight="1" x14ac:dyDescent="0.35">
      <c r="B57" s="109"/>
      <c r="C57" s="109"/>
      <c r="D57" s="107"/>
      <c r="E57" s="107"/>
      <c r="F57" s="110" t="s">
        <v>92</v>
      </c>
      <c r="G57" s="111"/>
      <c r="H57" s="35">
        <f>(D26*FACTORES!E29*FACTORES!E20*FACTORES!E21)/1000</f>
        <v>0.54160335376294622</v>
      </c>
      <c r="I57" s="84" t="s">
        <v>16</v>
      </c>
      <c r="J57" s="84"/>
    </row>
    <row r="58" spans="2:10" ht="14.5" customHeight="1" x14ac:dyDescent="0.35">
      <c r="B58" s="109"/>
      <c r="C58" s="109"/>
      <c r="D58" s="107"/>
      <c r="E58" s="107"/>
      <c r="F58" s="110" t="s">
        <v>95</v>
      </c>
      <c r="G58" s="111"/>
      <c r="H58" s="35">
        <f>(D26*FACTORES!E30*FACTORES!E31)/1000</f>
        <v>14.163237853698579</v>
      </c>
      <c r="I58" s="84" t="s">
        <v>16</v>
      </c>
      <c r="J58" s="84"/>
    </row>
    <row r="59" spans="2:10" ht="29.5" customHeight="1" x14ac:dyDescent="0.35">
      <c r="B59" s="109"/>
      <c r="C59" s="109"/>
      <c r="D59" s="107"/>
      <c r="E59" s="107"/>
      <c r="F59" s="112" t="s">
        <v>96</v>
      </c>
      <c r="G59" s="104"/>
      <c r="H59" s="49">
        <f>SUM(H53:H58)</f>
        <v>190588.02699245155</v>
      </c>
      <c r="I59" s="86" t="s">
        <v>16</v>
      </c>
      <c r="J59" s="86"/>
    </row>
    <row r="61" spans="2:10" ht="15" thickBot="1" x14ac:dyDescent="0.4"/>
    <row r="62" spans="2:10" ht="15" customHeight="1" thickTop="1" x14ac:dyDescent="0.35">
      <c r="B62" s="96" t="s">
        <v>182</v>
      </c>
      <c r="C62" s="96"/>
      <c r="D62" s="96"/>
      <c r="E62" s="96"/>
      <c r="F62" s="96"/>
      <c r="G62" s="96"/>
      <c r="H62" s="100">
        <f>H44+H50+H59</f>
        <v>491301.74170752487</v>
      </c>
      <c r="I62" s="98" t="s">
        <v>16</v>
      </c>
      <c r="J62" s="98"/>
    </row>
    <row r="63" spans="2:10" x14ac:dyDescent="0.35">
      <c r="B63" s="97"/>
      <c r="C63" s="97"/>
      <c r="D63" s="97"/>
      <c r="E63" s="97"/>
      <c r="F63" s="97"/>
      <c r="G63" s="97"/>
      <c r="H63" s="101"/>
      <c r="I63" s="99"/>
      <c r="J63" s="99"/>
    </row>
    <row r="67" spans="2:9" x14ac:dyDescent="0.35">
      <c r="B67" s="94" t="s">
        <v>118</v>
      </c>
      <c r="C67" s="95"/>
      <c r="D67" s="95"/>
      <c r="E67" s="95"/>
      <c r="F67" s="95"/>
      <c r="G67" s="95" t="s">
        <v>119</v>
      </c>
      <c r="H67" s="95"/>
      <c r="I67" s="63" t="s">
        <v>28</v>
      </c>
    </row>
    <row r="68" spans="2:9" x14ac:dyDescent="0.35">
      <c r="B68" s="91" t="s">
        <v>136</v>
      </c>
      <c r="C68" s="92"/>
      <c r="D68" s="92"/>
      <c r="E68" s="92"/>
      <c r="F68" s="92"/>
      <c r="G68" s="93">
        <f>SUM(G69:H73)</f>
        <v>299778.91618922271</v>
      </c>
      <c r="H68" s="93"/>
      <c r="I68" s="58">
        <f>G68/$G$85</f>
        <v>0.61017271208389701</v>
      </c>
    </row>
    <row r="69" spans="2:9" x14ac:dyDescent="0.35">
      <c r="B69" s="81" t="s">
        <v>120</v>
      </c>
      <c r="C69" s="84"/>
      <c r="D69" s="84"/>
      <c r="E69" s="84"/>
      <c r="F69" s="84"/>
      <c r="G69" s="83">
        <f>H39</f>
        <v>58186.268899473027</v>
      </c>
      <c r="H69" s="83"/>
      <c r="I69" s="60">
        <f t="shared" ref="I69:I73" si="1">G69/$G$85</f>
        <v>0.11843285695924052</v>
      </c>
    </row>
    <row r="70" spans="2:9" x14ac:dyDescent="0.35">
      <c r="B70" s="81" t="s">
        <v>121</v>
      </c>
      <c r="C70" s="84"/>
      <c r="D70" s="84"/>
      <c r="E70" s="84"/>
      <c r="F70" s="84"/>
      <c r="G70" s="83">
        <f t="shared" ref="G70:G73" si="2">H40</f>
        <v>199980.1398675497</v>
      </c>
      <c r="H70" s="83"/>
      <c r="I70" s="60">
        <f t="shared" si="1"/>
        <v>0.40704138188583744</v>
      </c>
    </row>
    <row r="71" spans="2:9" x14ac:dyDescent="0.35">
      <c r="B71" s="81" t="s">
        <v>122</v>
      </c>
      <c r="C71" s="84"/>
      <c r="D71" s="84"/>
      <c r="E71" s="84"/>
      <c r="F71" s="84"/>
      <c r="G71" s="83">
        <f t="shared" si="2"/>
        <v>27880.637241600005</v>
      </c>
      <c r="H71" s="83"/>
      <c r="I71" s="60">
        <f t="shared" si="1"/>
        <v>5.6748500717096036E-2</v>
      </c>
    </row>
    <row r="72" spans="2:9" x14ac:dyDescent="0.35">
      <c r="B72" s="81" t="s">
        <v>123</v>
      </c>
      <c r="C72" s="84"/>
      <c r="D72" s="84"/>
      <c r="E72" s="84"/>
      <c r="F72" s="84"/>
      <c r="G72" s="83">
        <f t="shared" si="2"/>
        <v>6664.6780200000012</v>
      </c>
      <c r="H72" s="83"/>
      <c r="I72" s="60">
        <f t="shared" si="1"/>
        <v>1.3565345803246771E-2</v>
      </c>
    </row>
    <row r="73" spans="2:9" x14ac:dyDescent="0.35">
      <c r="B73" s="81" t="s">
        <v>124</v>
      </c>
      <c r="C73" s="84"/>
      <c r="D73" s="84"/>
      <c r="E73" s="84"/>
      <c r="F73" s="84"/>
      <c r="G73" s="83">
        <f t="shared" si="2"/>
        <v>7067.1921606000005</v>
      </c>
      <c r="H73" s="83"/>
      <c r="I73" s="60">
        <f t="shared" si="1"/>
        <v>1.4384626718476293E-2</v>
      </c>
    </row>
    <row r="74" spans="2:9" x14ac:dyDescent="0.35">
      <c r="B74" s="91" t="s">
        <v>125</v>
      </c>
      <c r="C74" s="92"/>
      <c r="D74" s="92"/>
      <c r="E74" s="92"/>
      <c r="F74" s="92"/>
      <c r="G74" s="93">
        <f>SUM(G75:H77)</f>
        <v>934.79852585065885</v>
      </c>
      <c r="H74" s="93"/>
      <c r="I74" s="58">
        <f>G74/$G$85</f>
        <v>1.9026973578431777E-3</v>
      </c>
    </row>
    <row r="75" spans="2:9" x14ac:dyDescent="0.35">
      <c r="B75" s="81" t="s">
        <v>126</v>
      </c>
      <c r="C75" s="84"/>
      <c r="D75" s="84"/>
      <c r="E75" s="84"/>
      <c r="F75" s="84"/>
      <c r="G75" s="83">
        <f>H47</f>
        <v>933.8134169854286</v>
      </c>
      <c r="H75" s="83"/>
      <c r="I75" s="60">
        <f t="shared" ref="I75:I77" si="3">G75/$G$85</f>
        <v>1.9006922583664151E-3</v>
      </c>
    </row>
    <row r="76" spans="2:9" x14ac:dyDescent="0.35">
      <c r="B76" s="81" t="s">
        <v>127</v>
      </c>
      <c r="C76" s="84"/>
      <c r="D76" s="84"/>
      <c r="E76" s="84"/>
      <c r="F76" s="84"/>
      <c r="G76" s="83">
        <f t="shared" ref="G76:G77" si="4">H48</f>
        <v>9.4140096335999998E-2</v>
      </c>
      <c r="H76" s="83"/>
      <c r="I76" s="60">
        <f t="shared" si="3"/>
        <v>1.9161360187491909E-7</v>
      </c>
    </row>
    <row r="77" spans="2:9" x14ac:dyDescent="0.35">
      <c r="B77" s="88" t="s">
        <v>128</v>
      </c>
      <c r="C77" s="89"/>
      <c r="D77" s="89"/>
      <c r="E77" s="89"/>
      <c r="F77" s="89"/>
      <c r="G77" s="90">
        <f t="shared" si="4"/>
        <v>0.89096876889428578</v>
      </c>
      <c r="H77" s="90"/>
      <c r="I77" s="62">
        <f t="shared" si="3"/>
        <v>1.8134858748876273E-6</v>
      </c>
    </row>
    <row r="78" spans="2:9" x14ac:dyDescent="0.35">
      <c r="B78" s="85" t="s">
        <v>137</v>
      </c>
      <c r="C78" s="86"/>
      <c r="D78" s="86"/>
      <c r="E78" s="86"/>
      <c r="F78" s="86"/>
      <c r="G78" s="87">
        <f>SUM(G79:H84)</f>
        <v>190588.02699245155</v>
      </c>
      <c r="H78" s="87"/>
      <c r="I78" s="61">
        <f>G78/$G$85</f>
        <v>0.3879245905582599</v>
      </c>
    </row>
    <row r="79" spans="2:9" x14ac:dyDescent="0.35">
      <c r="B79" s="81" t="s">
        <v>129</v>
      </c>
      <c r="C79" s="82"/>
      <c r="D79" s="82"/>
      <c r="E79" s="82"/>
      <c r="F79" s="82"/>
      <c r="G79" s="83">
        <f>H53</f>
        <v>149661.44241048006</v>
      </c>
      <c r="H79" s="83"/>
      <c r="I79" s="60">
        <f t="shared" ref="I79:I84" si="5">G79/$G$85</f>
        <v>0.30462225086019434</v>
      </c>
    </row>
    <row r="80" spans="2:9" x14ac:dyDescent="0.35">
      <c r="B80" s="81" t="s">
        <v>130</v>
      </c>
      <c r="C80" s="82"/>
      <c r="D80" s="82"/>
      <c r="E80" s="82"/>
      <c r="F80" s="82"/>
      <c r="G80" s="83">
        <f t="shared" ref="G80:G84" si="6">H54</f>
        <v>40344.174695784968</v>
      </c>
      <c r="H80" s="83"/>
      <c r="I80" s="60">
        <f t="shared" si="5"/>
        <v>8.2116897358369467E-2</v>
      </c>
    </row>
    <row r="81" spans="2:9" x14ac:dyDescent="0.35">
      <c r="B81" s="81" t="s">
        <v>131</v>
      </c>
      <c r="C81" s="82"/>
      <c r="D81" s="82"/>
      <c r="E81" s="82"/>
      <c r="F81" s="82"/>
      <c r="G81" s="83">
        <f t="shared" si="6"/>
        <v>567.64781896429542</v>
      </c>
      <c r="H81" s="83"/>
      <c r="I81" s="60">
        <f t="shared" si="5"/>
        <v>1.1553954948163401E-3</v>
      </c>
    </row>
    <row r="82" spans="2:9" x14ac:dyDescent="0.35">
      <c r="B82" s="81" t="s">
        <v>132</v>
      </c>
      <c r="C82" s="82"/>
      <c r="D82" s="82"/>
      <c r="E82" s="82"/>
      <c r="F82" s="82"/>
      <c r="G82" s="83">
        <f t="shared" si="6"/>
        <v>5.722601473721696E-2</v>
      </c>
      <c r="H82" s="83"/>
      <c r="I82" s="60">
        <f t="shared" si="5"/>
        <v>1.1647834696927246E-7</v>
      </c>
    </row>
    <row r="83" spans="2:9" x14ac:dyDescent="0.35">
      <c r="B83" s="81" t="s">
        <v>133</v>
      </c>
      <c r="C83" s="82"/>
      <c r="D83" s="82"/>
      <c r="E83" s="82"/>
      <c r="F83" s="82"/>
      <c r="G83" s="83">
        <f t="shared" si="6"/>
        <v>0.54160335376294622</v>
      </c>
      <c r="H83" s="83"/>
      <c r="I83" s="60">
        <f t="shared" si="5"/>
        <v>1.1023843552449E-6</v>
      </c>
    </row>
    <row r="84" spans="2:9" x14ac:dyDescent="0.35">
      <c r="B84" s="81" t="s">
        <v>134</v>
      </c>
      <c r="C84" s="84"/>
      <c r="D84" s="84"/>
      <c r="E84" s="84"/>
      <c r="F84" s="84"/>
      <c r="G84" s="83">
        <f t="shared" si="6"/>
        <v>14.163237853698579</v>
      </c>
      <c r="H84" s="83"/>
      <c r="I84" s="60">
        <f t="shared" si="5"/>
        <v>2.8827982177457956E-5</v>
      </c>
    </row>
    <row r="85" spans="2:9" x14ac:dyDescent="0.35">
      <c r="B85" s="78" t="s">
        <v>135</v>
      </c>
      <c r="C85" s="79"/>
      <c r="D85" s="79"/>
      <c r="E85" s="79"/>
      <c r="F85" s="79"/>
      <c r="G85" s="80">
        <f>G68+G74+G78</f>
        <v>491301.74170752487</v>
      </c>
      <c r="H85" s="80"/>
      <c r="I85" s="64">
        <f>I68+I74+I78</f>
        <v>1</v>
      </c>
    </row>
  </sheetData>
  <mergeCells count="108">
    <mergeCell ref="I53:J53"/>
    <mergeCell ref="F57:G57"/>
    <mergeCell ref="I57:J57"/>
    <mergeCell ref="F58:G58"/>
    <mergeCell ref="I58:J58"/>
    <mergeCell ref="I54:J54"/>
    <mergeCell ref="I55:J55"/>
    <mergeCell ref="I56:J56"/>
    <mergeCell ref="I59:J59"/>
    <mergeCell ref="F54:G54"/>
    <mergeCell ref="F55:G55"/>
    <mergeCell ref="F56:G56"/>
    <mergeCell ref="F36:G36"/>
    <mergeCell ref="B28:E28"/>
    <mergeCell ref="B2:I2"/>
    <mergeCell ref="B3:I3"/>
    <mergeCell ref="B4:I4"/>
    <mergeCell ref="B18:D18"/>
    <mergeCell ref="B47:C50"/>
    <mergeCell ref="D46:E50"/>
    <mergeCell ref="B16:D16"/>
    <mergeCell ref="B5:I5"/>
    <mergeCell ref="B7:F7"/>
    <mergeCell ref="B8:F8"/>
    <mergeCell ref="B9:F9"/>
    <mergeCell ref="B10:F10"/>
    <mergeCell ref="B11:F11"/>
    <mergeCell ref="B13:D13"/>
    <mergeCell ref="I47:J47"/>
    <mergeCell ref="I48:J48"/>
    <mergeCell ref="I49:J49"/>
    <mergeCell ref="I50:J50"/>
    <mergeCell ref="I39:J39"/>
    <mergeCell ref="I44:J44"/>
    <mergeCell ref="I43:J43"/>
    <mergeCell ref="I42:J42"/>
    <mergeCell ref="D37:E37"/>
    <mergeCell ref="B29:D29"/>
    <mergeCell ref="B30:D30"/>
    <mergeCell ref="B31:D31"/>
    <mergeCell ref="B32:D32"/>
    <mergeCell ref="B33:D33"/>
    <mergeCell ref="B14:D14"/>
    <mergeCell ref="B15:D15"/>
    <mergeCell ref="B36:C36"/>
    <mergeCell ref="D36:E36"/>
    <mergeCell ref="B62:G63"/>
    <mergeCell ref="I62:J63"/>
    <mergeCell ref="H62:H63"/>
    <mergeCell ref="B38:C44"/>
    <mergeCell ref="D38:E44"/>
    <mergeCell ref="F38:G38"/>
    <mergeCell ref="F39:G39"/>
    <mergeCell ref="F40:G40"/>
    <mergeCell ref="F41:G41"/>
    <mergeCell ref="F42:G42"/>
    <mergeCell ref="F43:G43"/>
    <mergeCell ref="F44:G44"/>
    <mergeCell ref="I41:J41"/>
    <mergeCell ref="I40:J40"/>
    <mergeCell ref="F46:G46"/>
    <mergeCell ref="D52:E59"/>
    <mergeCell ref="F52:G52"/>
    <mergeCell ref="B53:C59"/>
    <mergeCell ref="F53:G53"/>
    <mergeCell ref="F59:G59"/>
    <mergeCell ref="F47:G47"/>
    <mergeCell ref="F48:G48"/>
    <mergeCell ref="F49:G49"/>
    <mergeCell ref="F50:G50"/>
    <mergeCell ref="B71:F71"/>
    <mergeCell ref="G71:H71"/>
    <mergeCell ref="B72:F72"/>
    <mergeCell ref="G72:H72"/>
    <mergeCell ref="B73:F73"/>
    <mergeCell ref="G73:H73"/>
    <mergeCell ref="B67:F67"/>
    <mergeCell ref="G67:H67"/>
    <mergeCell ref="B68:F68"/>
    <mergeCell ref="G68:H68"/>
    <mergeCell ref="B69:F69"/>
    <mergeCell ref="G69:H69"/>
    <mergeCell ref="B70:F70"/>
    <mergeCell ref="G70:H70"/>
    <mergeCell ref="B78:F78"/>
    <mergeCell ref="G78:H78"/>
    <mergeCell ref="B76:F76"/>
    <mergeCell ref="G76:H76"/>
    <mergeCell ref="B77:F77"/>
    <mergeCell ref="G77:H77"/>
    <mergeCell ref="B74:F74"/>
    <mergeCell ref="G74:H74"/>
    <mergeCell ref="B75:F75"/>
    <mergeCell ref="G75:H75"/>
    <mergeCell ref="B85:F85"/>
    <mergeCell ref="G85:H85"/>
    <mergeCell ref="B82:F82"/>
    <mergeCell ref="G82:H82"/>
    <mergeCell ref="B83:F83"/>
    <mergeCell ref="G83:H83"/>
    <mergeCell ref="B84:F84"/>
    <mergeCell ref="G84:H84"/>
    <mergeCell ref="B79:F79"/>
    <mergeCell ref="G79:H79"/>
    <mergeCell ref="B80:F80"/>
    <mergeCell ref="G80:H80"/>
    <mergeCell ref="B81:F81"/>
    <mergeCell ref="G81:H81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75656B-C03E-4C7A-A1D1-61AEAB7360F9}">
  <dimension ref="B2:K138"/>
  <sheetViews>
    <sheetView topLeftCell="A58" workbookViewId="0">
      <selection activeCell="C148" sqref="C148"/>
    </sheetView>
  </sheetViews>
  <sheetFormatPr baseColWidth="10" defaultRowHeight="14.5" x14ac:dyDescent="0.35"/>
  <cols>
    <col min="1" max="1" width="8.81640625" style="4" customWidth="1"/>
    <col min="2" max="5" width="15.6328125" style="4" customWidth="1"/>
    <col min="6" max="6" width="17.81640625" style="4" customWidth="1"/>
    <col min="7" max="7" width="17.7265625" style="4" customWidth="1"/>
    <col min="8" max="9" width="15.6328125" style="4" customWidth="1"/>
    <col min="10" max="16384" width="10.90625" style="4"/>
  </cols>
  <sheetData>
    <row r="2" spans="2:9" x14ac:dyDescent="0.35">
      <c r="B2" s="118" t="s">
        <v>139</v>
      </c>
      <c r="C2" s="118"/>
      <c r="D2" s="118"/>
      <c r="E2" s="118"/>
      <c r="F2" s="118"/>
      <c r="G2" s="118"/>
      <c r="H2" s="118"/>
      <c r="I2" s="118"/>
    </row>
    <row r="3" spans="2:9" x14ac:dyDescent="0.35">
      <c r="B3" s="119"/>
      <c r="C3" s="119"/>
      <c r="D3" s="119"/>
      <c r="E3" s="119"/>
      <c r="F3" s="119"/>
      <c r="G3" s="119"/>
      <c r="H3" s="119"/>
      <c r="I3" s="119"/>
    </row>
    <row r="4" spans="2:9" x14ac:dyDescent="0.35">
      <c r="B4" s="120" t="s">
        <v>0</v>
      </c>
      <c r="C4" s="121"/>
      <c r="D4" s="121"/>
      <c r="E4" s="121"/>
      <c r="F4" s="121"/>
      <c r="G4" s="121"/>
      <c r="H4" s="121"/>
      <c r="I4" s="122"/>
    </row>
    <row r="5" spans="2:9" x14ac:dyDescent="0.35">
      <c r="B5" s="88" t="s">
        <v>29</v>
      </c>
      <c r="C5" s="89"/>
      <c r="D5" s="89"/>
      <c r="E5" s="89"/>
      <c r="F5" s="89"/>
      <c r="G5" s="89"/>
      <c r="H5" s="89"/>
      <c r="I5" s="127"/>
    </row>
    <row r="7" spans="2:9" x14ac:dyDescent="0.35">
      <c r="B7" s="128" t="s">
        <v>2</v>
      </c>
      <c r="C7" s="129"/>
      <c r="D7" s="129"/>
      <c r="E7" s="129"/>
      <c r="F7" s="130"/>
      <c r="H7" s="5" t="s">
        <v>32</v>
      </c>
      <c r="I7" s="67">
        <f>'FLUJO MPCL'!I7</f>
        <v>2017</v>
      </c>
    </row>
    <row r="8" spans="2:9" x14ac:dyDescent="0.35">
      <c r="B8" s="81" t="s">
        <v>3</v>
      </c>
      <c r="C8" s="82"/>
      <c r="D8" s="82"/>
      <c r="E8" s="82"/>
      <c r="F8" s="131"/>
    </row>
    <row r="9" spans="2:9" x14ac:dyDescent="0.35">
      <c r="B9" s="81" t="s">
        <v>4</v>
      </c>
      <c r="C9" s="82"/>
      <c r="D9" s="82"/>
      <c r="E9" s="82"/>
      <c r="F9" s="131"/>
    </row>
    <row r="10" spans="2:9" x14ac:dyDescent="0.35">
      <c r="B10" s="81" t="s">
        <v>140</v>
      </c>
      <c r="C10" s="82"/>
      <c r="D10" s="82"/>
      <c r="E10" s="82"/>
      <c r="F10" s="131"/>
    </row>
    <row r="11" spans="2:9" x14ac:dyDescent="0.35">
      <c r="B11" s="81" t="s">
        <v>142</v>
      </c>
      <c r="C11" s="84"/>
      <c r="D11" s="84"/>
      <c r="E11" s="84"/>
      <c r="F11" s="131"/>
    </row>
    <row r="12" spans="2:9" x14ac:dyDescent="0.35">
      <c r="B12" s="81" t="s">
        <v>141</v>
      </c>
      <c r="C12" s="84"/>
      <c r="D12" s="84"/>
      <c r="E12" s="84"/>
      <c r="F12" s="131"/>
    </row>
    <row r="13" spans="2:9" x14ac:dyDescent="0.35">
      <c r="B13" s="88" t="s">
        <v>6</v>
      </c>
      <c r="C13" s="89"/>
      <c r="D13" s="89"/>
      <c r="E13" s="89"/>
      <c r="F13" s="127"/>
    </row>
    <row r="15" spans="2:9" ht="14.5" customHeight="1" x14ac:dyDescent="0.35">
      <c r="B15" s="133" t="s">
        <v>143</v>
      </c>
      <c r="C15" s="134"/>
      <c r="D15" s="134"/>
      <c r="E15" s="134"/>
    </row>
    <row r="16" spans="2:9" x14ac:dyDescent="0.35">
      <c r="B16" s="9" t="s">
        <v>14</v>
      </c>
      <c r="C16" s="9" t="s">
        <v>54</v>
      </c>
      <c r="D16" s="9" t="s">
        <v>144</v>
      </c>
      <c r="E16" s="44" t="s">
        <v>145</v>
      </c>
    </row>
    <row r="17" spans="2:5" x14ac:dyDescent="0.35">
      <c r="B17" s="10" t="s">
        <v>22</v>
      </c>
      <c r="C17" s="66">
        <f>'FLUJO MPCL'!D20</f>
        <v>71457.907950000008</v>
      </c>
      <c r="D17" s="29">
        <v>0.5</v>
      </c>
      <c r="E17" s="56">
        <f>C17*D17</f>
        <v>35728.953975000004</v>
      </c>
    </row>
    <row r="18" spans="2:5" x14ac:dyDescent="0.35">
      <c r="B18" s="10" t="s">
        <v>23</v>
      </c>
      <c r="C18" s="66">
        <f>'FLUJO MPCL'!D21</f>
        <v>11323.87542</v>
      </c>
      <c r="D18" s="29">
        <v>0.7</v>
      </c>
      <c r="E18" s="56">
        <f t="shared" ref="E18:E22" si="0">C18*D18</f>
        <v>7926.712794</v>
      </c>
    </row>
    <row r="19" spans="2:5" x14ac:dyDescent="0.35">
      <c r="B19" s="10" t="s">
        <v>24</v>
      </c>
      <c r="C19" s="66">
        <f>'FLUJO MPCL'!D22</f>
        <v>10250.234280000001</v>
      </c>
      <c r="D19" s="29">
        <v>0.7</v>
      </c>
      <c r="E19" s="56">
        <f t="shared" si="0"/>
        <v>7175.1639960000002</v>
      </c>
    </row>
    <row r="20" spans="2:5" x14ac:dyDescent="0.35">
      <c r="B20" s="10" t="s">
        <v>25</v>
      </c>
      <c r="C20" s="66">
        <f>'FLUJO MPCL'!D23</f>
        <v>3808.3874400000004</v>
      </c>
      <c r="D20" s="29">
        <v>0.7</v>
      </c>
      <c r="E20" s="56">
        <f t="shared" si="0"/>
        <v>2665.871208</v>
      </c>
    </row>
    <row r="21" spans="2:5" x14ac:dyDescent="0.35">
      <c r="B21" s="10" t="s">
        <v>26</v>
      </c>
      <c r="C21" s="66">
        <f>'FLUJO MPCL'!D24</f>
        <v>1174.92804</v>
      </c>
      <c r="D21" s="29">
        <v>0.7</v>
      </c>
      <c r="E21" s="56">
        <f t="shared" si="0"/>
        <v>822.44962799999996</v>
      </c>
    </row>
    <row r="22" spans="2:5" x14ac:dyDescent="0.35">
      <c r="B22" s="10" t="s">
        <v>27</v>
      </c>
      <c r="C22" s="69">
        <f>'FLUJO MPCL'!D25</f>
        <v>3271.5668700000006</v>
      </c>
      <c r="D22" s="29">
        <v>0</v>
      </c>
      <c r="E22" s="56">
        <f t="shared" si="0"/>
        <v>0</v>
      </c>
    </row>
    <row r="23" spans="2:5" x14ac:dyDescent="0.35">
      <c r="B23" s="70" t="s">
        <v>36</v>
      </c>
      <c r="C23" s="65">
        <f>SUM(C17:C22)</f>
        <v>101286.90000000001</v>
      </c>
      <c r="D23" s="68"/>
      <c r="E23" s="57">
        <f>SUM(E17:E22)</f>
        <v>54319.151601000005</v>
      </c>
    </row>
    <row r="24" spans="2:5" x14ac:dyDescent="0.35">
      <c r="B24" s="23"/>
      <c r="C24" s="24"/>
      <c r="D24" s="25"/>
    </row>
    <row r="25" spans="2:5" x14ac:dyDescent="0.35">
      <c r="B25" s="117" t="s">
        <v>146</v>
      </c>
      <c r="C25" s="117"/>
      <c r="D25" s="117"/>
      <c r="E25" s="117"/>
    </row>
    <row r="26" spans="2:5" x14ac:dyDescent="0.35">
      <c r="B26" s="113" t="s">
        <v>147</v>
      </c>
      <c r="C26" s="113"/>
      <c r="D26" s="113"/>
      <c r="E26" s="32">
        <v>6</v>
      </c>
    </row>
    <row r="27" spans="2:5" ht="14.5" customHeight="1" x14ac:dyDescent="0.35">
      <c r="B27" s="113" t="s">
        <v>148</v>
      </c>
      <c r="C27" s="113"/>
      <c r="D27" s="113"/>
      <c r="E27" s="32">
        <v>6</v>
      </c>
    </row>
    <row r="28" spans="2:5" ht="14.5" customHeight="1" x14ac:dyDescent="0.35">
      <c r="B28" s="114" t="s">
        <v>149</v>
      </c>
      <c r="C28" s="114"/>
      <c r="D28" s="114"/>
      <c r="E28" s="33">
        <f>SUM(E18:E22)/E26</f>
        <v>3098.3662709999994</v>
      </c>
    </row>
    <row r="29" spans="2:5" ht="14.5" customHeight="1" x14ac:dyDescent="0.35">
      <c r="B29" s="114" t="s">
        <v>64</v>
      </c>
      <c r="C29" s="114"/>
      <c r="D29" s="114"/>
      <c r="E29" s="33">
        <f>((E28*FACTORES!E12*FACTORES!E13)+(E28*E27))*2</f>
        <v>140541.89405255998</v>
      </c>
    </row>
    <row r="30" spans="2:5" ht="14.5" customHeight="1" x14ac:dyDescent="0.35">
      <c r="B30" s="114" t="s">
        <v>67</v>
      </c>
      <c r="C30" s="114"/>
      <c r="D30" s="114"/>
      <c r="E30" s="33">
        <f>E29/FACTORES!E15</f>
        <v>7807.8830029199989</v>
      </c>
    </row>
    <row r="31" spans="2:5" ht="14.5" customHeight="1" x14ac:dyDescent="0.35">
      <c r="B31" s="113" t="s">
        <v>152</v>
      </c>
      <c r="C31" s="113"/>
      <c r="D31" s="113"/>
      <c r="E31" s="32">
        <v>8</v>
      </c>
    </row>
    <row r="32" spans="2:5" ht="14.5" customHeight="1" x14ac:dyDescent="0.35">
      <c r="B32" s="113" t="s">
        <v>153</v>
      </c>
      <c r="C32" s="113"/>
      <c r="D32" s="113"/>
      <c r="E32" s="32">
        <v>12</v>
      </c>
    </row>
    <row r="33" spans="2:11" ht="14.5" customHeight="1" x14ac:dyDescent="0.35">
      <c r="B33" s="114" t="s">
        <v>149</v>
      </c>
      <c r="C33" s="114"/>
      <c r="D33" s="114"/>
      <c r="E33" s="33">
        <f>E17/E31</f>
        <v>4466.1192468750005</v>
      </c>
    </row>
    <row r="34" spans="2:11" x14ac:dyDescent="0.35">
      <c r="B34" s="114" t="s">
        <v>64</v>
      </c>
      <c r="C34" s="114"/>
      <c r="D34" s="114"/>
      <c r="E34" s="33">
        <f>((E33*FACTORES!E12*FACTORES!E13)+(E33*E32))*2</f>
        <v>256176.60000075001</v>
      </c>
    </row>
    <row r="35" spans="2:11" x14ac:dyDescent="0.35">
      <c r="B35" s="114" t="s">
        <v>67</v>
      </c>
      <c r="C35" s="114"/>
      <c r="D35" s="114"/>
      <c r="E35" s="33">
        <f>E34/FACTORES!E15</f>
        <v>14232.033333375</v>
      </c>
    </row>
    <row r="36" spans="2:11" x14ac:dyDescent="0.35">
      <c r="B36" s="113" t="s">
        <v>154</v>
      </c>
      <c r="C36" s="113"/>
      <c r="D36" s="113"/>
      <c r="E36" s="73">
        <f>'FLUJO MPCL'!E29</f>
        <v>14</v>
      </c>
    </row>
    <row r="37" spans="2:11" x14ac:dyDescent="0.35">
      <c r="B37" s="113" t="s">
        <v>155</v>
      </c>
      <c r="C37" s="113"/>
      <c r="D37" s="113"/>
      <c r="E37" s="73">
        <f>'FLUJO MPCL'!E30</f>
        <v>21</v>
      </c>
    </row>
    <row r="38" spans="2:11" x14ac:dyDescent="0.35">
      <c r="B38" s="114" t="s">
        <v>149</v>
      </c>
      <c r="C38" s="114"/>
      <c r="D38" s="114"/>
      <c r="E38" s="33">
        <f>(C23-E23)/E36</f>
        <v>3354.8391713571432</v>
      </c>
    </row>
    <row r="39" spans="2:11" x14ac:dyDescent="0.35">
      <c r="B39" s="114" t="s">
        <v>64</v>
      </c>
      <c r="C39" s="114"/>
      <c r="D39" s="114"/>
      <c r="E39" s="33">
        <f>((E38*FACTORES!E12*FACTORES!E13)+(E38*E37))*2</f>
        <v>252820.67995347432</v>
      </c>
    </row>
    <row r="40" spans="2:11" x14ac:dyDescent="0.35">
      <c r="B40" s="114" t="s">
        <v>67</v>
      </c>
      <c r="C40" s="114"/>
      <c r="D40" s="114"/>
      <c r="E40" s="33">
        <f>E39/FACTORES!E14</f>
        <v>42136.77999224572</v>
      </c>
    </row>
    <row r="41" spans="2:11" x14ac:dyDescent="0.35">
      <c r="B41" s="71"/>
      <c r="C41" s="71"/>
      <c r="D41" s="71"/>
      <c r="E41" s="72"/>
    </row>
    <row r="42" spans="2:11" x14ac:dyDescent="0.35">
      <c r="B42" s="71"/>
      <c r="C42" s="71"/>
      <c r="D42" s="71"/>
      <c r="E42" s="72"/>
    </row>
    <row r="43" spans="2:11" x14ac:dyDescent="0.35">
      <c r="B43" s="116" t="s">
        <v>7</v>
      </c>
      <c r="C43" s="116"/>
      <c r="D43" s="116" t="s">
        <v>10</v>
      </c>
      <c r="E43" s="116"/>
      <c r="F43" s="116" t="s">
        <v>11</v>
      </c>
      <c r="G43" s="116"/>
      <c r="H43" s="19" t="s">
        <v>8</v>
      </c>
      <c r="I43" s="22" t="s">
        <v>9</v>
      </c>
      <c r="J43" s="22"/>
      <c r="K43" s="34"/>
    </row>
    <row r="44" spans="2:11" x14ac:dyDescent="0.35">
      <c r="B44" s="21"/>
      <c r="C44" s="21"/>
      <c r="D44" s="99"/>
      <c r="E44" s="99"/>
      <c r="F44" s="21"/>
      <c r="G44" s="21"/>
      <c r="H44" s="2"/>
      <c r="I44" s="20"/>
      <c r="J44" s="20"/>
      <c r="K44" s="34"/>
    </row>
    <row r="45" spans="2:11" ht="42.5" customHeight="1" x14ac:dyDescent="0.35">
      <c r="B45" s="99" t="s">
        <v>12</v>
      </c>
      <c r="C45" s="102"/>
      <c r="D45" s="103" t="s">
        <v>13</v>
      </c>
      <c r="E45" s="103"/>
      <c r="F45" s="99" t="s">
        <v>78</v>
      </c>
      <c r="G45" s="99"/>
      <c r="H45" s="26">
        <f>C23</f>
        <v>101286.90000000001</v>
      </c>
      <c r="I45" s="20" t="s">
        <v>1</v>
      </c>
      <c r="J45" s="20"/>
      <c r="K45" s="34"/>
    </row>
    <row r="46" spans="2:11" ht="14.5" customHeight="1" x14ac:dyDescent="0.35">
      <c r="B46" s="102"/>
      <c r="C46" s="102"/>
      <c r="D46" s="103"/>
      <c r="E46" s="103"/>
      <c r="F46" s="102" t="s">
        <v>15</v>
      </c>
      <c r="G46" s="102"/>
      <c r="H46" s="3">
        <f>C17*FACTORES!C4</f>
        <v>58186.268899473027</v>
      </c>
      <c r="I46" s="84" t="s">
        <v>16</v>
      </c>
      <c r="J46" s="84"/>
      <c r="K46" s="34"/>
    </row>
    <row r="47" spans="2:11" ht="14.5" customHeight="1" x14ac:dyDescent="0.35">
      <c r="B47" s="102"/>
      <c r="C47" s="102"/>
      <c r="D47" s="103"/>
      <c r="E47" s="103"/>
      <c r="F47" s="102" t="s">
        <v>17</v>
      </c>
      <c r="G47" s="102"/>
      <c r="H47" s="59">
        <f>C18*FACTORES!C5</f>
        <v>199980.1398675497</v>
      </c>
      <c r="I47" s="84" t="s">
        <v>16</v>
      </c>
      <c r="J47" s="84"/>
      <c r="K47" s="34"/>
    </row>
    <row r="48" spans="2:11" ht="14.5" customHeight="1" x14ac:dyDescent="0.35">
      <c r="B48" s="102"/>
      <c r="C48" s="102"/>
      <c r="D48" s="103"/>
      <c r="E48" s="103"/>
      <c r="F48" s="102" t="s">
        <v>18</v>
      </c>
      <c r="G48" s="102"/>
      <c r="H48" s="59">
        <f>C19*FACTORES!C6</f>
        <v>27880.637241600005</v>
      </c>
      <c r="I48" s="84" t="s">
        <v>16</v>
      </c>
      <c r="J48" s="84"/>
      <c r="K48" s="34"/>
    </row>
    <row r="49" spans="2:11" ht="14.5" customHeight="1" x14ac:dyDescent="0.35">
      <c r="B49" s="102"/>
      <c r="C49" s="102"/>
      <c r="D49" s="103"/>
      <c r="E49" s="103"/>
      <c r="F49" s="102" t="s">
        <v>19</v>
      </c>
      <c r="G49" s="102"/>
      <c r="H49" s="59">
        <f>C20*FACTORES!C7</f>
        <v>6664.6780200000012</v>
      </c>
      <c r="I49" s="84" t="s">
        <v>16</v>
      </c>
      <c r="J49" s="84"/>
      <c r="K49" s="34"/>
    </row>
    <row r="50" spans="2:11" ht="14.5" customHeight="1" x14ac:dyDescent="0.35">
      <c r="B50" s="102"/>
      <c r="C50" s="102"/>
      <c r="D50" s="103"/>
      <c r="E50" s="103"/>
      <c r="F50" s="102" t="s">
        <v>20</v>
      </c>
      <c r="G50" s="102"/>
      <c r="H50" s="59">
        <f>C21*FACTORES!C8</f>
        <v>7067.1921606000005</v>
      </c>
      <c r="I50" s="84" t="s">
        <v>16</v>
      </c>
      <c r="J50" s="84"/>
      <c r="K50" s="34"/>
    </row>
    <row r="51" spans="2:11" ht="29.5" customHeight="1" x14ac:dyDescent="0.35">
      <c r="B51" s="102"/>
      <c r="C51" s="102"/>
      <c r="D51" s="103"/>
      <c r="E51" s="103"/>
      <c r="F51" s="104" t="s">
        <v>21</v>
      </c>
      <c r="G51" s="104"/>
      <c r="H51" s="2">
        <f>SUM(H46:H50)</f>
        <v>299778.91618922271</v>
      </c>
      <c r="I51" s="86" t="s">
        <v>16</v>
      </c>
      <c r="J51" s="86"/>
      <c r="K51" s="34"/>
    </row>
    <row r="52" spans="2:11" ht="24" customHeight="1" x14ac:dyDescent="0.35"/>
    <row r="53" spans="2:11" ht="45" customHeight="1" x14ac:dyDescent="0.35">
      <c r="D53" s="125" t="s">
        <v>157</v>
      </c>
      <c r="E53" s="125"/>
      <c r="F53" s="105" t="s">
        <v>55</v>
      </c>
      <c r="G53" s="106"/>
    </row>
    <row r="54" spans="2:11" ht="14.5" customHeight="1" x14ac:dyDescent="0.35">
      <c r="B54" s="108" t="s">
        <v>156</v>
      </c>
      <c r="C54" s="108"/>
      <c r="D54" s="125"/>
      <c r="E54" s="125"/>
      <c r="F54" s="111" t="s">
        <v>69</v>
      </c>
      <c r="G54" s="111"/>
      <c r="H54" s="35">
        <f>(($E$30+$E$35+$E$40)*FACTORES!C20*FACTORES!C21)/1000</f>
        <v>659.51181982024877</v>
      </c>
      <c r="I54" s="84" t="s">
        <v>16</v>
      </c>
      <c r="J54" s="84"/>
    </row>
    <row r="55" spans="2:11" ht="14.5" customHeight="1" x14ac:dyDescent="0.35">
      <c r="B55" s="108"/>
      <c r="C55" s="108"/>
      <c r="D55" s="125"/>
      <c r="E55" s="125"/>
      <c r="F55" s="111" t="s">
        <v>93</v>
      </c>
      <c r="G55" s="111"/>
      <c r="H55" s="35">
        <f>(($E$30+$E$35+$E$40)*FACTORES!D20*FACTORES!D21)/1000</f>
        <v>6.648705739636819E-2</v>
      </c>
      <c r="I55" s="84" t="s">
        <v>16</v>
      </c>
      <c r="J55" s="84"/>
    </row>
    <row r="56" spans="2:11" ht="14.5" customHeight="1" x14ac:dyDescent="0.35">
      <c r="B56" s="108"/>
      <c r="C56" s="108"/>
      <c r="D56" s="125"/>
      <c r="E56" s="125"/>
      <c r="F56" s="111" t="s">
        <v>94</v>
      </c>
      <c r="G56" s="111"/>
      <c r="H56" s="35">
        <f>(($E$30+$E$35+$E$40)*FACTORES!E20*FACTORES!E21)/1000</f>
        <v>0.62925250750134176</v>
      </c>
      <c r="I56" s="84" t="s">
        <v>16</v>
      </c>
      <c r="J56" s="84"/>
    </row>
    <row r="57" spans="2:11" ht="29.5" customHeight="1" x14ac:dyDescent="0.35">
      <c r="B57" s="108"/>
      <c r="C57" s="108"/>
      <c r="D57" s="125"/>
      <c r="E57" s="125"/>
      <c r="F57" s="104" t="s">
        <v>56</v>
      </c>
      <c r="G57" s="104"/>
      <c r="H57" s="36">
        <f>SUM(H54:H56)</f>
        <v>660.2075593851464</v>
      </c>
      <c r="I57" s="86" t="s">
        <v>16</v>
      </c>
      <c r="J57" s="86"/>
    </row>
    <row r="58" spans="2:11" ht="24" customHeight="1" x14ac:dyDescent="0.35"/>
    <row r="59" spans="2:11" ht="45" customHeight="1" x14ac:dyDescent="0.35">
      <c r="D59" s="135" t="s">
        <v>159</v>
      </c>
      <c r="E59" s="135"/>
      <c r="F59" s="105" t="s">
        <v>160</v>
      </c>
      <c r="G59" s="106"/>
    </row>
    <row r="60" spans="2:11" ht="14.5" customHeight="1" x14ac:dyDescent="0.35">
      <c r="B60" s="108" t="s">
        <v>158</v>
      </c>
      <c r="C60" s="108"/>
      <c r="D60" s="135"/>
      <c r="E60" s="135"/>
      <c r="F60" s="111" t="s">
        <v>161</v>
      </c>
      <c r="G60" s="111"/>
      <c r="H60" s="43">
        <f>E17*FACTORES!D39*FACTORES!D21</f>
        <v>4001.6428452000005</v>
      </c>
      <c r="I60" s="84" t="s">
        <v>16</v>
      </c>
      <c r="J60" s="84"/>
    </row>
    <row r="61" spans="2:11" ht="14.5" customHeight="1" x14ac:dyDescent="0.35">
      <c r="B61" s="108"/>
      <c r="C61" s="108"/>
      <c r="D61" s="135"/>
      <c r="E61" s="135"/>
      <c r="F61" s="136" t="s">
        <v>162</v>
      </c>
      <c r="G61" s="111"/>
      <c r="H61" s="43">
        <f>(E18*FACTORES!D46)*-1</f>
        <v>-25365.4809408</v>
      </c>
      <c r="I61" s="84" t="s">
        <v>16</v>
      </c>
      <c r="J61" s="84"/>
    </row>
    <row r="62" spans="2:11" ht="14.5" customHeight="1" x14ac:dyDescent="0.35">
      <c r="B62" s="108"/>
      <c r="C62" s="108"/>
      <c r="D62" s="135"/>
      <c r="E62" s="135"/>
      <c r="F62" s="136" t="s">
        <v>163</v>
      </c>
      <c r="G62" s="111"/>
      <c r="H62" s="43">
        <f>(E19*FACTORES!D47)*-1</f>
        <v>-13489.30831248</v>
      </c>
      <c r="I62" s="84" t="s">
        <v>16</v>
      </c>
      <c r="J62" s="84"/>
    </row>
    <row r="63" spans="2:11" ht="14.5" customHeight="1" x14ac:dyDescent="0.35">
      <c r="B63" s="108"/>
      <c r="C63" s="108"/>
      <c r="D63" s="135"/>
      <c r="E63" s="135"/>
      <c r="F63" s="136" t="s">
        <v>164</v>
      </c>
      <c r="G63" s="111"/>
      <c r="H63" s="43">
        <f>(E20*FACTORES!D48)*-1</f>
        <v>-1652.8401489600001</v>
      </c>
      <c r="I63" s="84" t="s">
        <v>16</v>
      </c>
      <c r="J63" s="84"/>
    </row>
    <row r="64" spans="2:11" ht="14.5" customHeight="1" x14ac:dyDescent="0.35">
      <c r="B64" s="108"/>
      <c r="C64" s="108"/>
      <c r="D64" s="135"/>
      <c r="E64" s="135"/>
      <c r="F64" s="136" t="s">
        <v>165</v>
      </c>
      <c r="G64" s="111"/>
      <c r="H64" s="43">
        <f>(E21*FACTORES!D49)*-1</f>
        <v>-14639.603378399999</v>
      </c>
      <c r="I64" s="84" t="s">
        <v>16</v>
      </c>
      <c r="J64" s="84"/>
    </row>
    <row r="65" spans="2:10" ht="29.5" customHeight="1" x14ac:dyDescent="0.35">
      <c r="B65" s="108"/>
      <c r="C65" s="108"/>
      <c r="D65" s="135"/>
      <c r="E65" s="135"/>
      <c r="F65" s="104" t="s">
        <v>166</v>
      </c>
      <c r="G65" s="104"/>
      <c r="H65" s="49">
        <f>SUM(H60:H64)</f>
        <v>-51145.589935440003</v>
      </c>
      <c r="I65" s="86" t="s">
        <v>16</v>
      </c>
      <c r="J65" s="86"/>
    </row>
    <row r="66" spans="2:10" ht="24" customHeight="1" x14ac:dyDescent="0.35"/>
    <row r="67" spans="2:10" ht="45" customHeight="1" x14ac:dyDescent="0.35">
      <c r="D67" s="107" t="s">
        <v>84</v>
      </c>
      <c r="E67" s="107"/>
      <c r="F67" s="105" t="s">
        <v>87</v>
      </c>
      <c r="G67" s="106"/>
    </row>
    <row r="68" spans="2:10" ht="14.5" customHeight="1" x14ac:dyDescent="0.35">
      <c r="B68" s="108" t="s">
        <v>85</v>
      </c>
      <c r="C68" s="109"/>
      <c r="D68" s="107"/>
      <c r="E68" s="107"/>
      <c r="F68" s="110" t="s">
        <v>88</v>
      </c>
      <c r="G68" s="111"/>
      <c r="H68" s="43">
        <f>((C17-E17)*FACTORES!E32*FACTORES!E33*FACTORES!E26*FACTORES!D21)/1000</f>
        <v>74830.721205240028</v>
      </c>
      <c r="I68" s="84" t="s">
        <v>16</v>
      </c>
      <c r="J68" s="84"/>
    </row>
    <row r="69" spans="2:10" x14ac:dyDescent="0.35">
      <c r="B69" s="108"/>
      <c r="C69" s="109"/>
      <c r="D69" s="107"/>
      <c r="E69" s="107"/>
      <c r="F69" s="110" t="s">
        <v>89</v>
      </c>
      <c r="G69" s="102"/>
      <c r="H69" s="43">
        <f>((C17-E17)*FACTORES!E28*FACTORES!E26*FACTORES!E27*FACTORES!D21)/1000</f>
        <v>20172.087347892484</v>
      </c>
      <c r="I69" s="84" t="s">
        <v>16</v>
      </c>
      <c r="J69" s="84"/>
    </row>
    <row r="70" spans="2:10" x14ac:dyDescent="0.35">
      <c r="B70" s="108"/>
      <c r="C70" s="109"/>
      <c r="D70" s="107"/>
      <c r="E70" s="107"/>
      <c r="F70" s="110" t="s">
        <v>90</v>
      </c>
      <c r="G70" s="102"/>
      <c r="H70" s="35">
        <f>((C23-E23)*FACTORES!E29*FACTORES!C20*FACTORES!C21)/1000</f>
        <v>263.22397013193347</v>
      </c>
      <c r="I70" s="84" t="s">
        <v>16</v>
      </c>
      <c r="J70" s="84"/>
    </row>
    <row r="71" spans="2:10" ht="14.5" customHeight="1" x14ac:dyDescent="0.35">
      <c r="B71" s="108"/>
      <c r="C71" s="109"/>
      <c r="D71" s="107"/>
      <c r="E71" s="107"/>
      <c r="F71" s="110" t="s">
        <v>91</v>
      </c>
      <c r="G71" s="102"/>
      <c r="H71" s="35">
        <f>((C23-E23)*FACTORES!E29*FACTORES!D20*FACTORES!D21)/1000</f>
        <v>2.6536275293794872E-2</v>
      </c>
      <c r="I71" s="84" t="s">
        <v>16</v>
      </c>
      <c r="J71" s="84"/>
    </row>
    <row r="72" spans="2:10" ht="14.5" customHeight="1" x14ac:dyDescent="0.35">
      <c r="B72" s="109"/>
      <c r="C72" s="109"/>
      <c r="D72" s="107"/>
      <c r="E72" s="107"/>
      <c r="F72" s="110" t="s">
        <v>92</v>
      </c>
      <c r="G72" s="111"/>
      <c r="H72" s="35">
        <f>((C23-E23)*FACTORES!E29*FACTORES!E20*FACTORES!E21)/1000</f>
        <v>0.25114689117341576</v>
      </c>
      <c r="I72" s="84" t="s">
        <v>16</v>
      </c>
      <c r="J72" s="84"/>
    </row>
    <row r="73" spans="2:10" ht="14.5" customHeight="1" x14ac:dyDescent="0.35">
      <c r="B73" s="109"/>
      <c r="C73" s="109"/>
      <c r="D73" s="107"/>
      <c r="E73" s="107"/>
      <c r="F73" s="110" t="s">
        <v>95</v>
      </c>
      <c r="G73" s="111"/>
      <c r="H73" s="35">
        <f>((C23-E23)*FACTORES!E30*FACTORES!E31)/1000</f>
        <v>6.5676350251385687</v>
      </c>
      <c r="I73" s="84" t="s">
        <v>16</v>
      </c>
      <c r="J73" s="84"/>
    </row>
    <row r="74" spans="2:10" ht="29.5" customHeight="1" x14ac:dyDescent="0.35">
      <c r="B74" s="109"/>
      <c r="C74" s="109"/>
      <c r="D74" s="107"/>
      <c r="E74" s="107"/>
      <c r="F74" s="112" t="s">
        <v>96</v>
      </c>
      <c r="G74" s="104"/>
      <c r="H74" s="49">
        <f>SUM(H68:H73)</f>
        <v>95272.877841456066</v>
      </c>
      <c r="I74" s="86" t="s">
        <v>16</v>
      </c>
      <c r="J74" s="86"/>
    </row>
    <row r="76" spans="2:10" ht="15" thickBot="1" x14ac:dyDescent="0.4"/>
    <row r="77" spans="2:10" ht="15" customHeight="1" thickTop="1" x14ac:dyDescent="0.35">
      <c r="B77" s="96" t="s">
        <v>183</v>
      </c>
      <c r="C77" s="96"/>
      <c r="D77" s="96"/>
      <c r="E77" s="96"/>
      <c r="F77" s="96"/>
      <c r="G77" s="96"/>
      <c r="H77" s="100">
        <f>H51+H57+H65+H74</f>
        <v>344566.41165462392</v>
      </c>
      <c r="I77" s="98" t="s">
        <v>16</v>
      </c>
      <c r="J77" s="98"/>
    </row>
    <row r="78" spans="2:10" x14ac:dyDescent="0.35">
      <c r="B78" s="97"/>
      <c r="C78" s="97"/>
      <c r="D78" s="97"/>
      <c r="E78" s="97"/>
      <c r="F78" s="97"/>
      <c r="G78" s="97"/>
      <c r="H78" s="101"/>
      <c r="I78" s="99"/>
      <c r="J78" s="99"/>
    </row>
    <row r="82" spans="2:9" x14ac:dyDescent="0.35">
      <c r="B82" s="94" t="s">
        <v>118</v>
      </c>
      <c r="C82" s="95"/>
      <c r="D82" s="95"/>
      <c r="E82" s="95"/>
      <c r="F82" s="95"/>
      <c r="G82" s="95" t="s">
        <v>119</v>
      </c>
      <c r="H82" s="95"/>
      <c r="I82" s="63" t="s">
        <v>28</v>
      </c>
    </row>
    <row r="83" spans="2:9" x14ac:dyDescent="0.35">
      <c r="B83" s="91" t="s">
        <v>136</v>
      </c>
      <c r="C83" s="92"/>
      <c r="D83" s="92"/>
      <c r="E83" s="92"/>
      <c r="F83" s="92"/>
      <c r="G83" s="93">
        <f>SUM(G84:H88)</f>
        <v>299778.91618922271</v>
      </c>
      <c r="H83" s="93"/>
      <c r="I83" s="58">
        <f>G83/$G$106</f>
        <v>0.87001781383643995</v>
      </c>
    </row>
    <row r="84" spans="2:9" x14ac:dyDescent="0.35">
      <c r="B84" s="81" t="s">
        <v>120</v>
      </c>
      <c r="C84" s="84"/>
      <c r="D84" s="84"/>
      <c r="E84" s="84"/>
      <c r="F84" s="84"/>
      <c r="G84" s="83">
        <f>H46</f>
        <v>58186.268899473027</v>
      </c>
      <c r="H84" s="83"/>
      <c r="I84" s="60">
        <f>G84/$G$106</f>
        <v>0.16886808154068139</v>
      </c>
    </row>
    <row r="85" spans="2:9" x14ac:dyDescent="0.35">
      <c r="B85" s="81" t="s">
        <v>121</v>
      </c>
      <c r="C85" s="84"/>
      <c r="D85" s="84"/>
      <c r="E85" s="84"/>
      <c r="F85" s="84"/>
      <c r="G85" s="83">
        <f>H47</f>
        <v>199980.1398675497</v>
      </c>
      <c r="H85" s="83"/>
      <c r="I85" s="60">
        <f t="shared" ref="I85:I88" si="1">G85/$G$106</f>
        <v>0.58038199053481676</v>
      </c>
    </row>
    <row r="86" spans="2:9" x14ac:dyDescent="0.35">
      <c r="B86" s="81" t="s">
        <v>122</v>
      </c>
      <c r="C86" s="84"/>
      <c r="D86" s="84"/>
      <c r="E86" s="84"/>
      <c r="F86" s="84"/>
      <c r="G86" s="83">
        <f>H48</f>
        <v>27880.637241600005</v>
      </c>
      <c r="H86" s="83"/>
      <c r="I86" s="60">
        <f t="shared" si="1"/>
        <v>8.091513362464986E-2</v>
      </c>
    </row>
    <row r="87" spans="2:9" x14ac:dyDescent="0.35">
      <c r="B87" s="81" t="s">
        <v>123</v>
      </c>
      <c r="C87" s="84"/>
      <c r="D87" s="84"/>
      <c r="E87" s="84"/>
      <c r="F87" s="84"/>
      <c r="G87" s="83">
        <f>H49</f>
        <v>6664.6780200000012</v>
      </c>
      <c r="H87" s="83"/>
      <c r="I87" s="60">
        <f t="shared" si="1"/>
        <v>1.9342216172481549E-2</v>
      </c>
    </row>
    <row r="88" spans="2:9" x14ac:dyDescent="0.35">
      <c r="B88" s="81" t="s">
        <v>124</v>
      </c>
      <c r="C88" s="84"/>
      <c r="D88" s="84"/>
      <c r="E88" s="84"/>
      <c r="F88" s="84"/>
      <c r="G88" s="83">
        <f>H50</f>
        <v>7067.1921606000005</v>
      </c>
      <c r="H88" s="83"/>
      <c r="I88" s="60">
        <f t="shared" si="1"/>
        <v>2.0510391963810447E-2</v>
      </c>
    </row>
    <row r="89" spans="2:9" x14ac:dyDescent="0.35">
      <c r="B89" s="91" t="s">
        <v>190</v>
      </c>
      <c r="C89" s="92"/>
      <c r="D89" s="92"/>
      <c r="E89" s="92"/>
      <c r="F89" s="92"/>
      <c r="G89" s="93">
        <f>SUM(G90:H92)</f>
        <v>660.2075593851464</v>
      </c>
      <c r="H89" s="93"/>
      <c r="I89" s="58">
        <f>G89/$G$106</f>
        <v>1.9160531527574003E-3</v>
      </c>
    </row>
    <row r="90" spans="2:9" x14ac:dyDescent="0.35">
      <c r="B90" s="81" t="s">
        <v>126</v>
      </c>
      <c r="C90" s="84"/>
      <c r="D90" s="84"/>
      <c r="E90" s="84"/>
      <c r="F90" s="84"/>
      <c r="G90" s="83">
        <f>H54</f>
        <v>659.51181982024877</v>
      </c>
      <c r="H90" s="83"/>
      <c r="I90" s="60">
        <f>G90/$G$106</f>
        <v>1.9140339786842321E-3</v>
      </c>
    </row>
    <row r="91" spans="2:9" x14ac:dyDescent="0.35">
      <c r="B91" s="81" t="s">
        <v>127</v>
      </c>
      <c r="C91" s="84"/>
      <c r="D91" s="84"/>
      <c r="E91" s="84"/>
      <c r="F91" s="84"/>
      <c r="G91" s="83">
        <f>H55</f>
        <v>6.648705739636819E-2</v>
      </c>
      <c r="H91" s="83"/>
      <c r="I91" s="60">
        <f t="shared" ref="I91:I92" si="2">G91/$G$106</f>
        <v>1.9295861450074095E-7</v>
      </c>
    </row>
    <row r="92" spans="2:9" x14ac:dyDescent="0.35">
      <c r="B92" s="88" t="s">
        <v>128</v>
      </c>
      <c r="C92" s="89"/>
      <c r="D92" s="89"/>
      <c r="E92" s="89"/>
      <c r="F92" s="89"/>
      <c r="G92" s="90">
        <f>H56</f>
        <v>0.62925250750134176</v>
      </c>
      <c r="H92" s="90"/>
      <c r="I92" s="60">
        <f t="shared" si="2"/>
        <v>1.8262154586677268E-6</v>
      </c>
    </row>
    <row r="93" spans="2:9" x14ac:dyDescent="0.35">
      <c r="B93" s="91" t="s">
        <v>184</v>
      </c>
      <c r="C93" s="92"/>
      <c r="D93" s="92"/>
      <c r="E93" s="92"/>
      <c r="F93" s="92"/>
      <c r="G93" s="93">
        <f>SUM(G94:H98)</f>
        <v>-51145.589935440003</v>
      </c>
      <c r="H93" s="93"/>
      <c r="I93" s="58">
        <f>G93/$G$106</f>
        <v>-0.14843463612670924</v>
      </c>
    </row>
    <row r="94" spans="2:9" x14ac:dyDescent="0.35">
      <c r="B94" s="81" t="s">
        <v>185</v>
      </c>
      <c r="C94" s="84"/>
      <c r="D94" s="84"/>
      <c r="E94" s="84"/>
      <c r="F94" s="84"/>
      <c r="G94" s="83">
        <f>H60</f>
        <v>4001.6428452000005</v>
      </c>
      <c r="H94" s="83"/>
      <c r="I94" s="60">
        <f>G94/$G$106</f>
        <v>1.1613560433775091E-2</v>
      </c>
    </row>
    <row r="95" spans="2:9" x14ac:dyDescent="0.35">
      <c r="B95" s="81" t="s">
        <v>186</v>
      </c>
      <c r="C95" s="84"/>
      <c r="D95" s="84" t="e">
        <f>(#REF!*K96)*-1</f>
        <v>#REF!</v>
      </c>
      <c r="E95" s="84"/>
      <c r="F95" s="84"/>
      <c r="G95" s="83">
        <f>H61</f>
        <v>-25365.4809408</v>
      </c>
      <c r="H95" s="83"/>
      <c r="I95" s="60">
        <f t="shared" ref="I95:I98" si="3">G95/$G$106</f>
        <v>-7.3615651679436137E-2</v>
      </c>
    </row>
    <row r="96" spans="2:9" x14ac:dyDescent="0.35">
      <c r="B96" s="81" t="s">
        <v>187</v>
      </c>
      <c r="C96" s="84"/>
      <c r="D96" s="84" t="e">
        <f>(#REF!*K97)*-1</f>
        <v>#REF!</v>
      </c>
      <c r="E96" s="84"/>
      <c r="F96" s="84"/>
      <c r="G96" s="83">
        <f>H62</f>
        <v>-13489.30831248</v>
      </c>
      <c r="H96" s="83"/>
      <c r="I96" s="60">
        <f t="shared" si="3"/>
        <v>-3.9148645533102641E-2</v>
      </c>
    </row>
    <row r="97" spans="2:9" x14ac:dyDescent="0.35">
      <c r="B97" s="81" t="s">
        <v>188</v>
      </c>
      <c r="C97" s="84"/>
      <c r="D97" s="84" t="e">
        <f>(#REF!*K98)*-1</f>
        <v>#REF!</v>
      </c>
      <c r="E97" s="84"/>
      <c r="F97" s="84"/>
      <c r="G97" s="83">
        <f>H63</f>
        <v>-1652.8401489600001</v>
      </c>
      <c r="H97" s="83"/>
      <c r="I97" s="60">
        <f t="shared" si="3"/>
        <v>-4.7968696107754229E-3</v>
      </c>
    </row>
    <row r="98" spans="2:9" x14ac:dyDescent="0.35">
      <c r="B98" s="88" t="s">
        <v>189</v>
      </c>
      <c r="C98" s="89"/>
      <c r="D98" s="89" t="e">
        <f>(#REF!*J70)*-1</f>
        <v>#REF!</v>
      </c>
      <c r="E98" s="89"/>
      <c r="F98" s="89"/>
      <c r="G98" s="90">
        <f>H64</f>
        <v>-14639.603378399999</v>
      </c>
      <c r="H98" s="90"/>
      <c r="I98" s="62">
        <f t="shared" si="3"/>
        <v>-4.2487029737170098E-2</v>
      </c>
    </row>
    <row r="99" spans="2:9" x14ac:dyDescent="0.35">
      <c r="B99" s="85" t="s">
        <v>137</v>
      </c>
      <c r="C99" s="86"/>
      <c r="D99" s="86"/>
      <c r="E99" s="86"/>
      <c r="F99" s="86"/>
      <c r="G99" s="87">
        <f>SUM(G100:H105)</f>
        <v>95272.877841456066</v>
      </c>
      <c r="H99" s="87"/>
      <c r="I99" s="61">
        <f>G99/$G$106</f>
        <v>0.27650076913751193</v>
      </c>
    </row>
    <row r="100" spans="2:9" x14ac:dyDescent="0.35">
      <c r="B100" s="81" t="s">
        <v>129</v>
      </c>
      <c r="C100" s="82"/>
      <c r="D100" s="82"/>
      <c r="E100" s="82"/>
      <c r="F100" s="82"/>
      <c r="G100" s="83">
        <f>H68</f>
        <v>74830.721205240028</v>
      </c>
      <c r="H100" s="83"/>
      <c r="I100" s="60">
        <f>G100/$G$106</f>
        <v>0.21717358011159424</v>
      </c>
    </row>
    <row r="101" spans="2:9" x14ac:dyDescent="0.35">
      <c r="B101" s="81" t="s">
        <v>130</v>
      </c>
      <c r="C101" s="82"/>
      <c r="D101" s="82"/>
      <c r="E101" s="82"/>
      <c r="F101" s="82"/>
      <c r="G101" s="83">
        <f t="shared" ref="G101:G105" si="4">H69</f>
        <v>20172.087347892484</v>
      </c>
      <c r="H101" s="83"/>
      <c r="I101" s="60">
        <f t="shared" ref="I101:I105" si="5">G101/$G$106</f>
        <v>5.8543394438898388E-2</v>
      </c>
    </row>
    <row r="102" spans="2:9" x14ac:dyDescent="0.35">
      <c r="B102" s="81" t="s">
        <v>131</v>
      </c>
      <c r="C102" s="82"/>
      <c r="D102" s="82"/>
      <c r="E102" s="82"/>
      <c r="F102" s="82"/>
      <c r="G102" s="83">
        <f t="shared" si="4"/>
        <v>263.22397013193347</v>
      </c>
      <c r="H102" s="83"/>
      <c r="I102" s="60">
        <f t="shared" si="5"/>
        <v>7.6392811727620154E-4</v>
      </c>
    </row>
    <row r="103" spans="2:9" x14ac:dyDescent="0.35">
      <c r="B103" s="81" t="s">
        <v>132</v>
      </c>
      <c r="C103" s="82"/>
      <c r="D103" s="82"/>
      <c r="E103" s="82"/>
      <c r="F103" s="82"/>
      <c r="G103" s="83">
        <f t="shared" si="4"/>
        <v>2.6536275293794872E-2</v>
      </c>
      <c r="H103" s="83"/>
      <c r="I103" s="60">
        <f t="shared" si="5"/>
        <v>7.7013528876382479E-8</v>
      </c>
    </row>
    <row r="104" spans="2:9" x14ac:dyDescent="0.35">
      <c r="B104" s="81" t="s">
        <v>133</v>
      </c>
      <c r="C104" s="82"/>
      <c r="D104" s="82"/>
      <c r="E104" s="82"/>
      <c r="F104" s="82"/>
      <c r="G104" s="83">
        <f t="shared" si="4"/>
        <v>0.25114689117341576</v>
      </c>
      <c r="H104" s="83"/>
      <c r="I104" s="60">
        <f t="shared" si="5"/>
        <v>7.2887804115147711E-7</v>
      </c>
    </row>
    <row r="105" spans="2:9" x14ac:dyDescent="0.35">
      <c r="B105" s="81" t="s">
        <v>134</v>
      </c>
      <c r="C105" s="84"/>
      <c r="D105" s="84"/>
      <c r="E105" s="84"/>
      <c r="F105" s="84"/>
      <c r="G105" s="83">
        <f t="shared" si="4"/>
        <v>6.5676350251385687</v>
      </c>
      <c r="H105" s="83"/>
      <c r="I105" s="60">
        <f t="shared" si="5"/>
        <v>1.9060578173015995E-5</v>
      </c>
    </row>
    <row r="106" spans="2:9" x14ac:dyDescent="0.35">
      <c r="B106" s="78" t="s">
        <v>135</v>
      </c>
      <c r="C106" s="79"/>
      <c r="D106" s="79"/>
      <c r="E106" s="79"/>
      <c r="F106" s="79"/>
      <c r="G106" s="80">
        <f>G83+G89+G93+G99</f>
        <v>344566.41165462392</v>
      </c>
      <c r="H106" s="80"/>
      <c r="I106" s="76">
        <f>I83+I89+I93+I99</f>
        <v>1</v>
      </c>
    </row>
    <row r="138" spans="5:5" x14ac:dyDescent="0.35">
      <c r="E138" s="77"/>
    </row>
  </sheetData>
  <mergeCells count="143">
    <mergeCell ref="B68:C74"/>
    <mergeCell ref="F68:G68"/>
    <mergeCell ref="I68:J68"/>
    <mergeCell ref="F69:G69"/>
    <mergeCell ref="I69:J69"/>
    <mergeCell ref="F70:G70"/>
    <mergeCell ref="I70:J70"/>
    <mergeCell ref="F71:G71"/>
    <mergeCell ref="I71:J71"/>
    <mergeCell ref="F72:G72"/>
    <mergeCell ref="I72:J72"/>
    <mergeCell ref="F73:G73"/>
    <mergeCell ref="I73:J73"/>
    <mergeCell ref="F74:G74"/>
    <mergeCell ref="I74:J74"/>
    <mergeCell ref="D67:E74"/>
    <mergeCell ref="F67:G67"/>
    <mergeCell ref="B9:F9"/>
    <mergeCell ref="B10:F10"/>
    <mergeCell ref="B13:F13"/>
    <mergeCell ref="B2:I2"/>
    <mergeCell ref="B3:I3"/>
    <mergeCell ref="B4:I4"/>
    <mergeCell ref="B5:I5"/>
    <mergeCell ref="B7:F7"/>
    <mergeCell ref="B8:F8"/>
    <mergeCell ref="B32:D32"/>
    <mergeCell ref="B33:D33"/>
    <mergeCell ref="B43:C43"/>
    <mergeCell ref="D43:E43"/>
    <mergeCell ref="F43:G43"/>
    <mergeCell ref="D44:E44"/>
    <mergeCell ref="B25:E25"/>
    <mergeCell ref="B26:D26"/>
    <mergeCell ref="B30:D30"/>
    <mergeCell ref="B31:D31"/>
    <mergeCell ref="B34:D34"/>
    <mergeCell ref="B35:D35"/>
    <mergeCell ref="B36:D36"/>
    <mergeCell ref="B37:D37"/>
    <mergeCell ref="B38:D38"/>
    <mergeCell ref="B39:D39"/>
    <mergeCell ref="B40:D40"/>
    <mergeCell ref="I49:J49"/>
    <mergeCell ref="F50:G50"/>
    <mergeCell ref="I50:J50"/>
    <mergeCell ref="F51:G51"/>
    <mergeCell ref="I51:J51"/>
    <mergeCell ref="D53:E57"/>
    <mergeCell ref="F53:G53"/>
    <mergeCell ref="B45:C51"/>
    <mergeCell ref="D45:E51"/>
    <mergeCell ref="F45:G45"/>
    <mergeCell ref="F46:G46"/>
    <mergeCell ref="I46:J46"/>
    <mergeCell ref="F47:G47"/>
    <mergeCell ref="I47:J47"/>
    <mergeCell ref="F48:G48"/>
    <mergeCell ref="I48:J48"/>
    <mergeCell ref="F49:G49"/>
    <mergeCell ref="B54:C57"/>
    <mergeCell ref="F54:G54"/>
    <mergeCell ref="I54:J54"/>
    <mergeCell ref="F55:G55"/>
    <mergeCell ref="I55:J55"/>
    <mergeCell ref="F56:G56"/>
    <mergeCell ref="I56:J56"/>
    <mergeCell ref="F57:G57"/>
    <mergeCell ref="I57:J57"/>
    <mergeCell ref="D59:E65"/>
    <mergeCell ref="F59:G59"/>
    <mergeCell ref="B60:C65"/>
    <mergeCell ref="F60:G60"/>
    <mergeCell ref="I60:J60"/>
    <mergeCell ref="F61:G61"/>
    <mergeCell ref="I61:J61"/>
    <mergeCell ref="F64:G64"/>
    <mergeCell ref="I64:J64"/>
    <mergeCell ref="F65:G65"/>
    <mergeCell ref="I65:J65"/>
    <mergeCell ref="F62:G62"/>
    <mergeCell ref="F63:G63"/>
    <mergeCell ref="I62:J62"/>
    <mergeCell ref="I63:J63"/>
    <mergeCell ref="B77:G78"/>
    <mergeCell ref="H77:H78"/>
    <mergeCell ref="I77:J78"/>
    <mergeCell ref="B82:F82"/>
    <mergeCell ref="G82:H82"/>
    <mergeCell ref="B83:F83"/>
    <mergeCell ref="G83:H83"/>
    <mergeCell ref="B91:F91"/>
    <mergeCell ref="G91:H91"/>
    <mergeCell ref="B84:F84"/>
    <mergeCell ref="G84:H84"/>
    <mergeCell ref="B85:F85"/>
    <mergeCell ref="G85:H85"/>
    <mergeCell ref="B86:F86"/>
    <mergeCell ref="B87:F87"/>
    <mergeCell ref="G87:H87"/>
    <mergeCell ref="B88:F88"/>
    <mergeCell ref="G88:H88"/>
    <mergeCell ref="B89:F89"/>
    <mergeCell ref="G89:H89"/>
    <mergeCell ref="B105:F105"/>
    <mergeCell ref="G105:H105"/>
    <mergeCell ref="G86:H86"/>
    <mergeCell ref="B93:F93"/>
    <mergeCell ref="G93:H93"/>
    <mergeCell ref="B94:F94"/>
    <mergeCell ref="B95:F95"/>
    <mergeCell ref="B96:F96"/>
    <mergeCell ref="B97:F97"/>
    <mergeCell ref="B98:F98"/>
    <mergeCell ref="G98:H98"/>
    <mergeCell ref="G97:H97"/>
    <mergeCell ref="G96:H96"/>
    <mergeCell ref="G95:H95"/>
    <mergeCell ref="G94:H94"/>
    <mergeCell ref="B106:F106"/>
    <mergeCell ref="G106:H106"/>
    <mergeCell ref="B11:F11"/>
    <mergeCell ref="B12:F12"/>
    <mergeCell ref="B15:E15"/>
    <mergeCell ref="B27:D27"/>
    <mergeCell ref="B28:D28"/>
    <mergeCell ref="B29:D29"/>
    <mergeCell ref="B102:F102"/>
    <mergeCell ref="G102:H102"/>
    <mergeCell ref="B103:F103"/>
    <mergeCell ref="G103:H103"/>
    <mergeCell ref="B104:F104"/>
    <mergeCell ref="G104:H104"/>
    <mergeCell ref="B99:F99"/>
    <mergeCell ref="G99:H99"/>
    <mergeCell ref="B100:F100"/>
    <mergeCell ref="G100:H100"/>
    <mergeCell ref="B101:F101"/>
    <mergeCell ref="G101:H101"/>
    <mergeCell ref="B90:F90"/>
    <mergeCell ref="G90:H90"/>
    <mergeCell ref="B92:F92"/>
    <mergeCell ref="G92:H9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9CB44-5744-4729-B1CF-768D1082E9B2}">
  <dimension ref="B2:N49"/>
  <sheetViews>
    <sheetView workbookViewId="0">
      <selection activeCell="B2" sqref="B2:N2"/>
    </sheetView>
  </sheetViews>
  <sheetFormatPr baseColWidth="10" defaultRowHeight="14.5" x14ac:dyDescent="0.35"/>
  <cols>
    <col min="1" max="1" width="7.6328125" style="4" customWidth="1"/>
    <col min="2" max="2" width="20.08984375" style="4" customWidth="1"/>
    <col min="3" max="3" width="12.7265625" style="4" customWidth="1"/>
    <col min="4" max="4" width="16.6328125" style="4" customWidth="1"/>
    <col min="5" max="5" width="19.90625" style="4" customWidth="1"/>
    <col min="6" max="6" width="14.54296875" style="4" customWidth="1"/>
    <col min="7" max="7" width="14.453125" style="4" customWidth="1"/>
    <col min="8" max="8" width="12.81640625" style="4" customWidth="1"/>
    <col min="9" max="9" width="14" style="4" customWidth="1"/>
    <col min="10" max="12" width="10.90625" style="4"/>
    <col min="13" max="13" width="13.6328125" style="4" customWidth="1"/>
    <col min="14" max="14" width="15.7265625" style="4" customWidth="1"/>
    <col min="15" max="16384" width="10.90625" style="4"/>
  </cols>
  <sheetData>
    <row r="2" spans="2:14" x14ac:dyDescent="0.35">
      <c r="B2" s="137" t="s">
        <v>109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</row>
    <row r="3" spans="2:14" x14ac:dyDescent="0.35">
      <c r="B3" s="15" t="s">
        <v>37</v>
      </c>
      <c r="C3" s="138" t="s">
        <v>38</v>
      </c>
      <c r="D3" s="138"/>
      <c r="E3" s="138"/>
      <c r="F3" s="138" t="s">
        <v>39</v>
      </c>
      <c r="G3" s="138"/>
      <c r="H3" s="138"/>
      <c r="I3" s="138"/>
      <c r="J3" s="138"/>
      <c r="K3" s="138"/>
      <c r="L3" s="138"/>
      <c r="M3" s="138"/>
      <c r="N3" s="138"/>
    </row>
    <row r="4" spans="2:14" x14ac:dyDescent="0.35">
      <c r="B4" s="14" t="s">
        <v>40</v>
      </c>
      <c r="C4" s="13">
        <v>0.81427333333333363</v>
      </c>
      <c r="D4" s="139" t="s">
        <v>41</v>
      </c>
      <c r="E4" s="139"/>
      <c r="F4" s="139" t="s">
        <v>42</v>
      </c>
      <c r="G4" s="139"/>
      <c r="H4" s="139"/>
      <c r="I4" s="139"/>
      <c r="J4" s="139"/>
      <c r="K4" s="139"/>
      <c r="L4" s="139"/>
      <c r="M4" s="139"/>
      <c r="N4" s="139"/>
    </row>
    <row r="5" spans="2:14" x14ac:dyDescent="0.35">
      <c r="B5" s="14" t="s">
        <v>43</v>
      </c>
      <c r="C5" s="13">
        <v>17.660044150110377</v>
      </c>
      <c r="D5" s="139" t="s">
        <v>44</v>
      </c>
      <c r="E5" s="139"/>
      <c r="F5" s="139" t="s">
        <v>45</v>
      </c>
      <c r="G5" s="139"/>
      <c r="H5" s="139"/>
      <c r="I5" s="139"/>
      <c r="J5" s="139"/>
      <c r="K5" s="139"/>
      <c r="L5" s="139"/>
      <c r="M5" s="139"/>
      <c r="N5" s="139"/>
    </row>
    <row r="6" spans="2:14" x14ac:dyDescent="0.35">
      <c r="B6" s="14" t="s">
        <v>46</v>
      </c>
      <c r="C6" s="13">
        <v>2.72</v>
      </c>
      <c r="D6" s="139" t="s">
        <v>47</v>
      </c>
      <c r="E6" s="139"/>
      <c r="F6" s="139" t="s">
        <v>48</v>
      </c>
      <c r="G6" s="139"/>
      <c r="H6" s="139"/>
      <c r="I6" s="139"/>
      <c r="J6" s="139"/>
      <c r="K6" s="139"/>
      <c r="L6" s="139"/>
      <c r="M6" s="139"/>
      <c r="N6" s="139"/>
    </row>
    <row r="7" spans="2:14" x14ac:dyDescent="0.35">
      <c r="B7" s="14" t="s">
        <v>49</v>
      </c>
      <c r="C7" s="13">
        <v>1.75</v>
      </c>
      <c r="D7" s="139" t="s">
        <v>50</v>
      </c>
      <c r="E7" s="139"/>
      <c r="F7" s="139" t="s">
        <v>51</v>
      </c>
      <c r="G7" s="139"/>
      <c r="H7" s="139"/>
      <c r="I7" s="139"/>
      <c r="J7" s="139"/>
      <c r="K7" s="139"/>
      <c r="L7" s="139"/>
      <c r="M7" s="139"/>
      <c r="N7" s="139"/>
    </row>
    <row r="8" spans="2:14" x14ac:dyDescent="0.35">
      <c r="B8" s="14" t="s">
        <v>26</v>
      </c>
      <c r="C8" s="13">
        <v>6.0150000000000006</v>
      </c>
      <c r="D8" s="139" t="s">
        <v>52</v>
      </c>
      <c r="E8" s="139"/>
      <c r="F8" s="139" t="s">
        <v>53</v>
      </c>
      <c r="G8" s="139"/>
      <c r="H8" s="139"/>
      <c r="I8" s="139"/>
      <c r="J8" s="139"/>
      <c r="K8" s="139"/>
      <c r="L8" s="139"/>
      <c r="M8" s="139"/>
      <c r="N8" s="139"/>
    </row>
    <row r="11" spans="2:14" x14ac:dyDescent="0.35">
      <c r="B11" s="141" t="s">
        <v>79</v>
      </c>
      <c r="C11" s="141"/>
      <c r="D11" s="141"/>
      <c r="E11" s="37" t="s">
        <v>80</v>
      </c>
      <c r="F11" s="37" t="s">
        <v>81</v>
      </c>
      <c r="G11" s="142" t="s">
        <v>82</v>
      </c>
      <c r="H11" s="142"/>
      <c r="I11" s="142"/>
    </row>
    <row r="12" spans="2:14" ht="14.5" customHeight="1" x14ac:dyDescent="0.35">
      <c r="B12" s="140" t="s">
        <v>57</v>
      </c>
      <c r="C12" s="140"/>
      <c r="D12" s="140"/>
      <c r="E12" s="31">
        <v>4.17</v>
      </c>
      <c r="F12" s="38" t="s">
        <v>59</v>
      </c>
      <c r="G12" s="146" t="s">
        <v>83</v>
      </c>
      <c r="H12" s="146"/>
      <c r="I12" s="146"/>
    </row>
    <row r="13" spans="2:14" x14ac:dyDescent="0.35">
      <c r="B13" s="140" t="s">
        <v>58</v>
      </c>
      <c r="C13" s="140"/>
      <c r="D13" s="140"/>
      <c r="E13" s="31">
        <v>4</v>
      </c>
      <c r="F13" s="38" t="s">
        <v>60</v>
      </c>
      <c r="G13" s="146"/>
      <c r="H13" s="146"/>
      <c r="I13" s="146"/>
    </row>
    <row r="14" spans="2:14" x14ac:dyDescent="0.35">
      <c r="B14" s="140" t="s">
        <v>150</v>
      </c>
      <c r="C14" s="140"/>
      <c r="D14" s="140"/>
      <c r="E14" s="31">
        <v>6</v>
      </c>
      <c r="F14" s="31" t="s">
        <v>65</v>
      </c>
      <c r="G14" s="146"/>
      <c r="H14" s="146"/>
      <c r="I14" s="146"/>
    </row>
    <row r="15" spans="2:14" x14ac:dyDescent="0.35">
      <c r="B15" s="140" t="s">
        <v>151</v>
      </c>
      <c r="C15" s="140"/>
      <c r="D15" s="140"/>
      <c r="E15" s="31">
        <f>E14*3</f>
        <v>18</v>
      </c>
      <c r="F15" s="31" t="s">
        <v>65</v>
      </c>
      <c r="G15" s="146"/>
      <c r="H15" s="146"/>
      <c r="I15" s="146"/>
    </row>
    <row r="18" spans="2:10" x14ac:dyDescent="0.35">
      <c r="B18" s="138" t="s">
        <v>77</v>
      </c>
      <c r="C18" s="138"/>
      <c r="D18" s="138"/>
      <c r="E18" s="138"/>
      <c r="F18" s="138"/>
      <c r="G18" s="138"/>
      <c r="H18" s="138"/>
      <c r="I18" s="138"/>
      <c r="J18" s="138"/>
    </row>
    <row r="19" spans="2:10" ht="43.5" x14ac:dyDescent="0.35">
      <c r="B19" s="15"/>
      <c r="C19" s="15" t="s">
        <v>70</v>
      </c>
      <c r="D19" s="15" t="s">
        <v>71</v>
      </c>
      <c r="E19" s="15" t="s">
        <v>72</v>
      </c>
      <c r="F19" s="138" t="s">
        <v>73</v>
      </c>
      <c r="G19" s="138"/>
      <c r="H19" s="138"/>
      <c r="I19" s="138"/>
      <c r="J19" s="138"/>
    </row>
    <row r="20" spans="2:10" x14ac:dyDescent="0.35">
      <c r="B20" s="14" t="s">
        <v>74</v>
      </c>
      <c r="C20" s="50">
        <v>10.2765</v>
      </c>
      <c r="D20" s="51">
        <v>3.6999999999999998E-5</v>
      </c>
      <c r="E20" s="52">
        <v>3.6999999999999998E-5</v>
      </c>
      <c r="F20" s="139" t="s">
        <v>75</v>
      </c>
      <c r="G20" s="139"/>
      <c r="H20" s="139"/>
      <c r="I20" s="139"/>
      <c r="J20" s="139"/>
    </row>
    <row r="21" spans="2:10" x14ac:dyDescent="0.35">
      <c r="B21" s="14" t="s">
        <v>76</v>
      </c>
      <c r="C21" s="53">
        <v>1</v>
      </c>
      <c r="D21" s="52">
        <v>28</v>
      </c>
      <c r="E21" s="53">
        <v>265</v>
      </c>
      <c r="F21" s="139"/>
      <c r="G21" s="139"/>
      <c r="H21" s="139"/>
      <c r="I21" s="139"/>
      <c r="J21" s="139"/>
    </row>
    <row r="24" spans="2:10" x14ac:dyDescent="0.35">
      <c r="B24" s="143" t="s">
        <v>108</v>
      </c>
      <c r="C24" s="143"/>
      <c r="D24" s="143"/>
      <c r="E24" s="143"/>
      <c r="F24" s="143"/>
      <c r="G24" s="143"/>
      <c r="H24" s="143"/>
    </row>
    <row r="25" spans="2:10" x14ac:dyDescent="0.35">
      <c r="B25" s="143" t="s">
        <v>97</v>
      </c>
      <c r="C25" s="143"/>
      <c r="D25" s="45" t="s">
        <v>9</v>
      </c>
      <c r="E25" s="46" t="s">
        <v>98</v>
      </c>
      <c r="F25" s="144" t="s">
        <v>73</v>
      </c>
      <c r="G25" s="144"/>
      <c r="H25" s="144"/>
    </row>
    <row r="26" spans="2:10" x14ac:dyDescent="0.35">
      <c r="B26" s="145" t="s">
        <v>100</v>
      </c>
      <c r="C26" s="145"/>
      <c r="D26" s="39" t="s">
        <v>101</v>
      </c>
      <c r="E26" s="41">
        <v>0.68</v>
      </c>
      <c r="F26" s="147" t="s">
        <v>191</v>
      </c>
      <c r="G26" s="148"/>
      <c r="H26" s="149"/>
    </row>
    <row r="27" spans="2:10" ht="30" customHeight="1" x14ac:dyDescent="0.35">
      <c r="B27" s="145" t="s">
        <v>110</v>
      </c>
      <c r="C27" s="145"/>
      <c r="D27" s="39" t="s">
        <v>99</v>
      </c>
      <c r="E27" s="40">
        <v>37</v>
      </c>
      <c r="F27" s="150"/>
      <c r="G27" s="151"/>
      <c r="H27" s="152"/>
    </row>
    <row r="28" spans="2:10" ht="30" customHeight="1" x14ac:dyDescent="0.35">
      <c r="B28" s="145" t="s">
        <v>111</v>
      </c>
      <c r="C28" s="145"/>
      <c r="D28" s="39" t="s">
        <v>102</v>
      </c>
      <c r="E28" s="41">
        <v>0.80142312579415498</v>
      </c>
      <c r="F28" s="150"/>
      <c r="G28" s="151"/>
      <c r="H28" s="152"/>
    </row>
    <row r="29" spans="2:10" ht="30" customHeight="1" x14ac:dyDescent="0.35">
      <c r="B29" s="145" t="s">
        <v>112</v>
      </c>
      <c r="C29" s="145"/>
      <c r="D29" s="39" t="s">
        <v>113</v>
      </c>
      <c r="E29" s="41">
        <v>0.54535646724862374</v>
      </c>
      <c r="F29" s="150"/>
      <c r="G29" s="151"/>
      <c r="H29" s="152"/>
    </row>
    <row r="30" spans="2:10" ht="30" customHeight="1" x14ac:dyDescent="0.35">
      <c r="B30" s="145" t="s">
        <v>115</v>
      </c>
      <c r="C30" s="145"/>
      <c r="D30" s="39" t="s">
        <v>114</v>
      </c>
      <c r="E30" s="41">
        <v>0.7408363938618856</v>
      </c>
      <c r="F30" s="150"/>
      <c r="G30" s="151"/>
      <c r="H30" s="152"/>
    </row>
    <row r="31" spans="2:10" ht="30" customHeight="1" x14ac:dyDescent="0.35">
      <c r="B31" s="145" t="s">
        <v>116</v>
      </c>
      <c r="C31" s="145"/>
      <c r="D31" s="39" t="s">
        <v>117</v>
      </c>
      <c r="E31" s="41">
        <v>0.18875</v>
      </c>
      <c r="F31" s="153"/>
      <c r="G31" s="154"/>
      <c r="H31" s="155"/>
    </row>
    <row r="32" spans="2:10" ht="30" customHeight="1" x14ac:dyDescent="0.35">
      <c r="B32" s="145" t="s">
        <v>103</v>
      </c>
      <c r="C32" s="145"/>
      <c r="D32" s="39" t="s">
        <v>104</v>
      </c>
      <c r="E32" s="42">
        <v>200</v>
      </c>
      <c r="F32" s="145" t="s">
        <v>105</v>
      </c>
      <c r="G32" s="145"/>
      <c r="H32" s="145"/>
    </row>
    <row r="33" spans="2:10" ht="30" customHeight="1" x14ac:dyDescent="0.35">
      <c r="B33" s="156" t="s">
        <v>106</v>
      </c>
      <c r="C33" s="156"/>
      <c r="D33" s="47" t="s">
        <v>28</v>
      </c>
      <c r="E33" s="48">
        <v>0.55000000000000004</v>
      </c>
      <c r="F33" s="156" t="s">
        <v>107</v>
      </c>
      <c r="G33" s="156"/>
      <c r="H33" s="156"/>
    </row>
    <row r="36" spans="2:10" x14ac:dyDescent="0.35">
      <c r="B36" s="138" t="s">
        <v>167</v>
      </c>
      <c r="C36" s="138"/>
      <c r="D36" s="138"/>
      <c r="E36" s="138"/>
      <c r="F36" s="138"/>
      <c r="G36" s="138"/>
      <c r="H36" s="138"/>
      <c r="I36" s="138"/>
      <c r="J36" s="138"/>
    </row>
    <row r="37" spans="2:10" x14ac:dyDescent="0.35">
      <c r="B37" s="138" t="s">
        <v>168</v>
      </c>
      <c r="C37" s="138" t="s">
        <v>169</v>
      </c>
      <c r="D37" s="138"/>
      <c r="E37" s="138" t="s">
        <v>170</v>
      </c>
      <c r="F37" s="138"/>
      <c r="G37" s="138" t="s">
        <v>73</v>
      </c>
      <c r="H37" s="138"/>
      <c r="I37" s="138"/>
      <c r="J37" s="138"/>
    </row>
    <row r="38" spans="2:10" x14ac:dyDescent="0.35">
      <c r="B38" s="138"/>
      <c r="C38" s="55" t="s">
        <v>171</v>
      </c>
      <c r="D38" s="55" t="s">
        <v>172</v>
      </c>
      <c r="E38" s="55" t="s">
        <v>171</v>
      </c>
      <c r="F38" s="55" t="s">
        <v>172</v>
      </c>
      <c r="G38" s="138"/>
      <c r="H38" s="138"/>
      <c r="I38" s="138"/>
      <c r="J38" s="138"/>
    </row>
    <row r="39" spans="2:10" x14ac:dyDescent="0.35">
      <c r="B39" s="47" t="s">
        <v>173</v>
      </c>
      <c r="C39" s="75">
        <v>0.01</v>
      </c>
      <c r="D39" s="75">
        <v>4.0000000000000001E-3</v>
      </c>
      <c r="E39" s="75">
        <v>5.9999999999999995E-4</v>
      </c>
      <c r="F39" s="75">
        <v>2.9999999999999997E-4</v>
      </c>
      <c r="G39" s="145" t="s">
        <v>174</v>
      </c>
      <c r="H39" s="145"/>
      <c r="I39" s="145"/>
      <c r="J39" s="145"/>
    </row>
    <row r="40" spans="2:10" ht="29" x14ac:dyDescent="0.35">
      <c r="B40" s="47" t="s">
        <v>175</v>
      </c>
      <c r="C40" s="75">
        <v>2E-3</v>
      </c>
      <c r="D40" s="75">
        <v>1E-3</v>
      </c>
      <c r="E40" s="75" t="s">
        <v>176</v>
      </c>
      <c r="F40" s="75" t="s">
        <v>176</v>
      </c>
      <c r="G40" s="145"/>
      <c r="H40" s="145"/>
      <c r="I40" s="145"/>
      <c r="J40" s="145"/>
    </row>
    <row r="43" spans="2:10" x14ac:dyDescent="0.35">
      <c r="B43" s="158" t="s">
        <v>177</v>
      </c>
      <c r="C43" s="158"/>
      <c r="D43" s="158"/>
      <c r="E43" s="158"/>
      <c r="F43" s="158"/>
      <c r="G43" s="158"/>
    </row>
    <row r="44" spans="2:10" x14ac:dyDescent="0.35">
      <c r="B44" s="143" t="s">
        <v>14</v>
      </c>
      <c r="C44" s="138" t="s">
        <v>178</v>
      </c>
      <c r="D44" s="138"/>
      <c r="E44" s="143" t="s">
        <v>73</v>
      </c>
      <c r="F44" s="143"/>
      <c r="G44" s="143"/>
    </row>
    <row r="45" spans="2:10" x14ac:dyDescent="0.35">
      <c r="B45" s="143"/>
      <c r="C45" s="54" t="s">
        <v>179</v>
      </c>
      <c r="D45" s="54" t="s">
        <v>180</v>
      </c>
      <c r="E45" s="143"/>
      <c r="F45" s="143"/>
      <c r="G45" s="143"/>
    </row>
    <row r="46" spans="2:10" x14ac:dyDescent="0.35">
      <c r="B46" s="39" t="s">
        <v>23</v>
      </c>
      <c r="C46" s="74">
        <v>0.6</v>
      </c>
      <c r="D46" s="74">
        <v>3.2</v>
      </c>
      <c r="E46" s="157" t="s">
        <v>181</v>
      </c>
      <c r="F46" s="157"/>
      <c r="G46" s="157"/>
    </row>
    <row r="47" spans="2:10" x14ac:dyDescent="0.35">
      <c r="B47" s="39" t="s">
        <v>24</v>
      </c>
      <c r="C47" s="74">
        <v>0.95</v>
      </c>
      <c r="D47" s="74">
        <v>1.88</v>
      </c>
      <c r="E47" s="157"/>
      <c r="F47" s="157"/>
      <c r="G47" s="157"/>
    </row>
    <row r="48" spans="2:10" x14ac:dyDescent="0.35">
      <c r="B48" s="39" t="s">
        <v>25</v>
      </c>
      <c r="C48" s="74">
        <v>0.18</v>
      </c>
      <c r="D48" s="74">
        <v>0.62</v>
      </c>
      <c r="E48" s="157"/>
      <c r="F48" s="157"/>
      <c r="G48" s="157"/>
    </row>
    <row r="49" spans="2:7" x14ac:dyDescent="0.35">
      <c r="B49" s="39" t="s">
        <v>26</v>
      </c>
      <c r="C49" s="74">
        <v>1.4</v>
      </c>
      <c r="D49" s="74">
        <v>17.8</v>
      </c>
      <c r="E49" s="157"/>
      <c r="F49" s="157"/>
      <c r="G49" s="157"/>
    </row>
  </sheetData>
  <mergeCells count="48">
    <mergeCell ref="E46:G49"/>
    <mergeCell ref="G39:J40"/>
    <mergeCell ref="B43:G43"/>
    <mergeCell ref="B44:B45"/>
    <mergeCell ref="C44:D44"/>
    <mergeCell ref="E44:G45"/>
    <mergeCell ref="B36:J36"/>
    <mergeCell ref="B37:B38"/>
    <mergeCell ref="C37:D37"/>
    <mergeCell ref="E37:F37"/>
    <mergeCell ref="G37:J38"/>
    <mergeCell ref="B32:C32"/>
    <mergeCell ref="F32:H32"/>
    <mergeCell ref="B33:C33"/>
    <mergeCell ref="F33:H33"/>
    <mergeCell ref="B28:C28"/>
    <mergeCell ref="B27:C27"/>
    <mergeCell ref="B29:C29"/>
    <mergeCell ref="B30:C30"/>
    <mergeCell ref="B31:C31"/>
    <mergeCell ref="F26:H31"/>
    <mergeCell ref="B24:H24"/>
    <mergeCell ref="B25:C25"/>
    <mergeCell ref="F25:H25"/>
    <mergeCell ref="B26:C26"/>
    <mergeCell ref="B14:D14"/>
    <mergeCell ref="B18:J18"/>
    <mergeCell ref="F19:J19"/>
    <mergeCell ref="F20:J21"/>
    <mergeCell ref="B15:D15"/>
    <mergeCell ref="G12:I15"/>
    <mergeCell ref="D5:E5"/>
    <mergeCell ref="F5:N5"/>
    <mergeCell ref="B12:D12"/>
    <mergeCell ref="B13:D13"/>
    <mergeCell ref="B11:D11"/>
    <mergeCell ref="G11:I11"/>
    <mergeCell ref="D6:E6"/>
    <mergeCell ref="F6:N6"/>
    <mergeCell ref="D7:E7"/>
    <mergeCell ref="F7:N7"/>
    <mergeCell ref="D8:E8"/>
    <mergeCell ref="F8:N8"/>
    <mergeCell ref="B2:N2"/>
    <mergeCell ref="C3:E3"/>
    <mergeCell ref="F3:N3"/>
    <mergeCell ref="D4:E4"/>
    <mergeCell ref="F4:N4"/>
  </mergeCells>
  <phoneticPr fontId="6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FLUJO MPCL</vt:lpstr>
      <vt:lpstr>FLUJO EC</vt:lpstr>
      <vt:lpstr>FACTORES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Edilberto Guevara Castaño</dc:creator>
  <cp:lastModifiedBy>Edilberto Guevara Castaño</cp:lastModifiedBy>
  <dcterms:created xsi:type="dcterms:W3CDTF">2019-11-15T17:49:40Z</dcterms:created>
  <dcterms:modified xsi:type="dcterms:W3CDTF">2020-03-09T14:55:58Z</dcterms:modified>
</cp:coreProperties>
</file>